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1" l="1"/>
  <c r="H8" s="1"/>
  <c r="H10" s="1"/>
  <c r="H101"/>
  <c r="J8" s="1"/>
  <c r="J10" s="1"/>
  <c r="B101"/>
  <c r="C8" s="1"/>
  <c r="C101"/>
  <c r="D101"/>
  <c r="F101"/>
  <c r="G101"/>
  <c r="O9"/>
  <c r="I102"/>
  <c r="H17" s="1"/>
  <c r="H20" s="1"/>
  <c r="C102"/>
  <c r="B102"/>
  <c r="C17" s="1"/>
  <c r="F102"/>
  <c r="G102"/>
  <c r="B20"/>
  <c r="O19"/>
  <c r="C20"/>
  <c r="C10"/>
  <c r="D102"/>
  <c r="H102"/>
  <c r="E101"/>
  <c r="E8" s="1"/>
  <c r="E10" s="1"/>
  <c r="E102"/>
  <c r="E17" s="1"/>
  <c r="E20" s="1"/>
  <c r="N6" i="17"/>
  <c r="I8" i="18" l="1"/>
  <c r="I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P28" i="48"/>
  <c r="Q11"/>
  <c r="O28"/>
  <c r="K22" i="14"/>
  <c r="K20" i="59"/>
  <c r="L20"/>
  <c r="L10"/>
  <c r="E10"/>
  <c r="K78" i="14"/>
  <c r="K8" i="59"/>
  <c r="K10" s="1"/>
  <c r="E90" i="14"/>
  <c r="E18" i="59"/>
  <c r="E20" s="1"/>
  <c r="N10"/>
  <c r="P32" i="48"/>
  <c r="D14"/>
  <c r="Q14" s="1"/>
  <c r="G22" i="14"/>
  <c r="O22"/>
  <c r="P22"/>
  <c r="P25" i="48"/>
  <c r="N78" i="14"/>
  <c r="K90"/>
  <c r="L90"/>
  <c r="H90"/>
  <c r="L13" i="15"/>
  <c r="N13"/>
  <c r="F77" i="14"/>
  <c r="O78"/>
  <c r="N88"/>
  <c r="E78"/>
  <c r="H77"/>
  <c r="H9" i="59" s="1"/>
  <c r="H10" s="1"/>
  <c r="O88" i="14"/>
  <c r="G89"/>
  <c r="G78"/>
  <c r="O31" i="48"/>
  <c r="O27"/>
  <c r="O29"/>
  <c r="P31"/>
  <c r="O24"/>
  <c r="O30"/>
  <c r="P24"/>
  <c r="P30"/>
  <c r="R9" i="14"/>
  <c r="R25"/>
  <c r="C89" l="1"/>
  <c r="C19" i="59" s="1"/>
  <c r="G19"/>
  <c r="G20" s="1"/>
  <c r="B77" i="14"/>
  <c r="B9" i="59" s="1"/>
  <c r="F9"/>
  <c r="N90" i="14"/>
  <c r="N18" i="59"/>
  <c r="N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90" i="14"/>
  <c r="M17" i="59"/>
  <c r="M20" s="1"/>
  <c r="M78" i="14"/>
  <c r="M8" i="59"/>
  <c r="M1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B78" i="14"/>
  <c r="B4" i="6" s="1"/>
  <c r="B8" i="59"/>
  <c r="B10" s="1"/>
  <c r="C78" i="14"/>
  <c r="C8" i="59"/>
  <c r="C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1" i="48" l="1"/>
  <c r="E32"/>
  <c r="E28"/>
  <c r="E30"/>
  <c r="E24"/>
  <c r="E29"/>
  <c r="M32"/>
  <c r="M25"/>
  <c r="M29"/>
  <c r="M26"/>
  <c r="M24"/>
  <c r="M22"/>
  <c r="M30"/>
  <c r="M23"/>
  <c r="L27"/>
  <c r="L29"/>
  <c r="L32"/>
  <c r="L24"/>
  <c r="L28"/>
  <c r="L22"/>
  <c r="L31"/>
  <c r="L30"/>
  <c r="C24" i="14"/>
  <c r="C26" s="1"/>
  <c r="B7" i="48"/>
  <c r="O4"/>
  <c r="P11" i="14"/>
  <c r="I22" i="48"/>
  <c r="I31"/>
  <c r="I26"/>
  <c r="I32"/>
  <c r="I25"/>
  <c r="I27"/>
  <c r="I24"/>
  <c r="I28"/>
  <c r="I29"/>
  <c r="I30"/>
  <c r="K5"/>
  <c r="L10" i="14"/>
  <c r="L16" s="1"/>
  <c r="L27" s="1"/>
  <c r="D30" i="48"/>
  <c r="D29"/>
  <c r="D28"/>
  <c r="D24"/>
  <c r="D31"/>
  <c r="D32"/>
  <c r="P4"/>
  <c r="Q11" i="14"/>
  <c r="E11"/>
  <c r="D4" i="48"/>
  <c r="D22" s="1"/>
  <c r="H29"/>
  <c r="H26"/>
  <c r="H32"/>
  <c r="H25"/>
  <c r="H24"/>
  <c r="H28"/>
  <c r="H30"/>
  <c r="H22"/>
  <c r="H23"/>
  <c r="D11" i="14"/>
  <c r="C4" i="48"/>
  <c r="G32"/>
  <c r="G26"/>
  <c r="G30"/>
  <c r="G29"/>
  <c r="G24"/>
  <c r="G22"/>
  <c r="G25"/>
  <c r="G23"/>
  <c r="P5"/>
  <c r="P23" s="1"/>
  <c r="Q10" i="14"/>
  <c r="K32" i="48"/>
  <c r="K28"/>
  <c r="K26"/>
  <c r="K31"/>
  <c r="K30"/>
  <c r="K22"/>
  <c r="K29"/>
  <c r="K25"/>
  <c r="K24"/>
  <c r="K27"/>
  <c r="J27"/>
  <c r="J29"/>
  <c r="J32"/>
  <c r="J31"/>
  <c r="J30"/>
  <c r="J28"/>
  <c r="J24"/>
  <c r="C11" i="14"/>
  <c r="B4" i="48"/>
  <c r="F32"/>
  <c r="F27"/>
  <c r="F29"/>
  <c r="F30"/>
  <c r="F28"/>
  <c r="F31"/>
  <c r="F24"/>
  <c r="N27"/>
  <c r="N32"/>
  <c r="N29"/>
  <c r="N31"/>
  <c r="N30"/>
  <c r="N28"/>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R18" s="1"/>
  <c r="G13" i="48"/>
  <c r="H13"/>
  <c r="H31" s="1"/>
  <c r="I18" i="14"/>
  <c r="P22" i="16"/>
  <c r="Q43" i="14" s="1"/>
  <c r="P8" i="48"/>
  <c r="P26" s="1"/>
  <c r="Q13" i="14"/>
  <c r="B9" i="48"/>
  <c r="C20" i="14"/>
  <c r="C22" s="1"/>
  <c r="O5" i="48"/>
  <c r="O23" s="1"/>
  <c r="P10" i="14"/>
  <c r="P22" i="48"/>
  <c r="P33" s="1"/>
  <c r="P15"/>
  <c r="K15"/>
  <c r="K23"/>
  <c r="K33"/>
  <c r="O22"/>
  <c r="E9"/>
  <c r="F20" i="14"/>
  <c r="F22" s="1"/>
  <c r="D9" i="48"/>
  <c r="D27" s="1"/>
  <c r="E20" i="14"/>
  <c r="E22" s="1"/>
  <c r="K24"/>
  <c r="K26" s="1"/>
  <c r="J7" i="48"/>
  <c r="J25" s="1"/>
  <c r="J10" i="14"/>
  <c r="J16" s="1"/>
  <c r="J27" s="1"/>
  <c r="I5" i="48"/>
  <c r="Q16" i="14"/>
  <c r="Q27" s="1"/>
  <c r="F4" i="48"/>
  <c r="F22" s="1"/>
  <c r="G11" i="14"/>
  <c r="M12" i="22"/>
  <c r="N18" i="14"/>
  <c r="M13" i="48"/>
  <c r="M31" s="1"/>
  <c r="L46" i="14"/>
  <c r="L61" s="1"/>
  <c r="L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M9"/>
  <c r="N20" i="14"/>
  <c r="H20"/>
  <c r="G9" i="48"/>
  <c r="N19" i="14"/>
  <c r="N22" s="1"/>
  <c r="N27" s="1"/>
  <c r="N63" s="1"/>
  <c r="M10" i="48"/>
  <c r="M28" s="1"/>
  <c r="E7"/>
  <c r="E25" s="1"/>
  <c r="F24" i="14"/>
  <c r="F26" s="1"/>
  <c r="I23" i="48"/>
  <c r="I33" s="1"/>
  <c r="I15"/>
  <c r="E27"/>
  <c r="O33"/>
  <c r="Q46" i="14"/>
  <c r="Q61" s="1"/>
  <c r="Q63" s="1"/>
  <c r="K11"/>
  <c r="J4" i="48"/>
  <c r="O8"/>
  <c r="O26" s="1"/>
  <c r="P13" i="14"/>
  <c r="G31" i="48"/>
  <c r="Q13"/>
  <c r="H19" i="14"/>
  <c r="R19" s="1"/>
  <c r="G10" i="48"/>
  <c r="O15"/>
  <c r="P16" i="14"/>
  <c r="P27"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R22" l="1"/>
  <c r="R20"/>
  <c r="G27" i="48"/>
  <c r="G33" s="1"/>
  <c r="G15"/>
  <c r="I20" i="14"/>
  <c r="I22" s="1"/>
  <c r="I27" s="1"/>
  <c r="H9" i="48"/>
  <c r="E20" i="15"/>
  <c r="F40" i="14" s="1"/>
  <c r="E5" i="48"/>
  <c r="E23" s="1"/>
  <c r="F10" i="14"/>
  <c r="E22" i="48"/>
  <c r="Q4"/>
  <c r="M27"/>
  <c r="M33" s="1"/>
  <c r="M15"/>
  <c r="G28"/>
  <c r="Q10"/>
  <c r="J22"/>
  <c r="K10" i="14"/>
  <c r="J5" i="48"/>
  <c r="J23" s="1"/>
  <c r="H22" i="14"/>
  <c r="H27" s="1"/>
  <c r="R11"/>
  <c r="M61"/>
  <c r="M27"/>
  <c r="E16"/>
  <c r="E27" s="1"/>
  <c r="E63" s="1"/>
  <c r="L15" i="48"/>
  <c r="R24" i="14"/>
  <c r="R26" s="1"/>
  <c r="L33" i="48"/>
  <c r="Q7"/>
  <c r="D23"/>
  <c r="D33" s="1"/>
  <c r="D15"/>
  <c r="C16" i="14"/>
  <c r="C27" s="1"/>
  <c r="B3" i="6" s="1"/>
  <c r="B12" s="1"/>
  <c r="F23" i="48"/>
  <c r="N23"/>
  <c r="Q5"/>
  <c r="B15"/>
  <c r="F18" i="16"/>
  <c r="E18"/>
  <c r="N18"/>
  <c r="N22" s="1"/>
  <c r="O43" i="14" s="1"/>
  <c r="O46" s="1"/>
  <c r="O61" s="1"/>
  <c r="J18" i="16"/>
  <c r="G18" i="22"/>
  <c r="H50" i="14" s="1"/>
  <c r="H52" s="1"/>
  <c r="H61"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J22" i="16" l="1"/>
  <c r="K43" i="14" s="1"/>
  <c r="K46" s="1"/>
  <c r="K61" s="1"/>
  <c r="K13"/>
  <c r="K16" s="1"/>
  <c r="K27" s="1"/>
  <c r="J8" i="48"/>
  <c r="F16" i="14"/>
  <c r="F27" s="1"/>
  <c r="H27" i="48"/>
  <c r="H33" s="1"/>
  <c r="H15"/>
  <c r="Q9"/>
  <c r="H63" i="14"/>
  <c r="R10"/>
  <c r="F46"/>
  <c r="F61" s="1"/>
  <c r="E8" i="48"/>
  <c r="F13" i="14"/>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J26" i="48"/>
  <c r="J33" s="1"/>
  <c r="J15"/>
  <c r="E26"/>
  <c r="E33" s="1"/>
  <c r="E15"/>
  <c r="F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<sst xmlns="http://schemas.openxmlformats.org/spreadsheetml/2006/main" count="2438" uniqueCount="917">
  <si>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</si>
  <si>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</si>
  <si>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</si>
  <si>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</si>
  <si>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</si>
  <si>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</si>
  <si>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</si>
  <si>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</si>
  <si>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</si>
  <si>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</si>
  <si>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</si>
  <si>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</si>
  <si>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</si>
  <si>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</si>
  <si>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</si>
  <si>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</si>
  <si>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</si>
  <si>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</si>
  <si>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</si>
  <si>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</si>
  <si>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</si>
  <si>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</si>
  <si>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</si>
  <si>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</si>
  <si>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</si>
  <si>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</si>
  <si>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</si>
  <si>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</si>
  <si>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</si>
  <si>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</si>
  <si>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</si>
  <si>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</si>
  <si>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</si>
  <si>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</si>
  <si>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</si>
  <si>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</si>
  <si>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</si>
  <si>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</si>
  <si>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</si>
  <si>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</si>
  <si>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</si>
  <si>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</si>
  <si>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</si>
  <si>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</si>
  <si>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</si>
  <si>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</si>
  <si>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</si>
  <si>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</si>
  <si>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</si>
  <si>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</si>
  <si>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</si>
  <si>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</si>
  <si>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</si>
  <si>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</si>
  <si>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</si>
  <si>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</si>
  <si>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</si>
  <si>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</si>
  <si>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</si>
  <si>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</si>
  <si>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</si>
  <si>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</si>
  <si>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</si>
  <si>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</si>
  <si>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</si>
  <si>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</si>
  <si>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</si>
  <si>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</si>
  <si>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</si>
  <si>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</si>
  <si>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</si>
  <si>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</si>
  <si>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</si>
  <si>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</si>
  <si>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</si>
  <si>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</si>
  <si>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</si>
  <si>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</si>
  <si>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</si>
  <si>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</si>
  <si>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</si>
  <si>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</si>
  <si>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</si>
  <si>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</si>
  <si>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</si>
  <si>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</si>
  <si>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</si>
  <si>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</si>
  <si>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</si>
  <si>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</si>
  <si>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</si>
  <si>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</si>
  <si>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</si>
  <si>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</si>
  <si>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</si>
  <si>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</si>
  <si>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</si>
  <si>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</si>
  <si>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</si>
  <si>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</si>
  <si>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</si>
  <si>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</si>
  <si>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</si>
  <si>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</si>
  <si>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</si>
  <si>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</si>
  <si>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</si>
  <si>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</si>
  <si>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</si>
  <si>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</si>
  <si>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</si>
  <si>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</si>
  <si>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</si>
  <si>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</si>
  <si>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</si>
  <si>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</si>
  <si>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</si>
  <si>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</si>
  <si>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</si>
  <si>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</si>
  <si>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</si>
  <si>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</si>
  <si>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</si>
  <si>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</si>
  <si>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</si>
  <si>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</si>
  <si>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</si>
  <si>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</si>
  <si>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</si>
  <si>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</si>
  <si>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</si>
  <si>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</si>
  <si>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</si>
  <si>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</si>
  <si>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</si>
  <si>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</si>
  <si>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</si>
  <si>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</si>
  <si>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</si>
  <si>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</si>
  <si>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</si>
  <si>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</si>
  <si>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</si>
  <si>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</si>
  <si>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</si>
  <si>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</si>
  <si>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</si>
  <si>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</si>
  <si>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</si>
  <si>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</si>
  <si>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</si>
  <si>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</si>
  <si>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</si>
  <si>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</si>
  <si>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</si>
  <si>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</si>
  <si>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</si>
  <si>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</si>
  <si>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</si>
  <si>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</si>
  <si>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</si>
  <si>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</si>
  <si>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</si>
  <si>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</si>
  <si>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</si>
  <si>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</si>
  <si>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</si>
  <si>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</si>
  <si>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</si>
  <si>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</si>
  <si>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</si>
  <si>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</si>
  <si>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</si>
  <si>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</si>
  <si>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</si>
  <si>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</si>
  <si>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</si>
  <si>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</si>
  <si>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</si>
  <si>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</si>
  <si>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</si>
  <si>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</si>
  <si>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</si>
  <si>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</si>
  <si>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</si>
  <si>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</si>
  <si>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</si>
  <si>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</si>
  <si>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</si>
  <si>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</si>
  <si>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</si>
  <si>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</si>
  <si>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</si>
  <si>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</si>
  <si>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</si>
  <si>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</si>
  <si>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</si>
  <si>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</si>
  <si>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</si>
  <si>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</si>
  <si>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</si>
  <si>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</si>
  <si>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</si>
  <si>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</si>
  <si>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</si>
  <si>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</si>
  <si>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</si>
  <si>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</si>
  <si>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</si>
  <si>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</si>
  <si>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</si>
  <si>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</si>
  <si>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</si>
  <si>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</si>
  <si>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</si>
  <si>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</si>
  <si>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</si>
  <si>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</si>
  <si>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</si>
  <si>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</si>
  <si>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</si>
  <si>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</si>
  <si>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</si>
  <si>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</si>
  <si>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</si>
  <si>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</si>
  <si>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</si>
  <si>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</si>
  <si>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</si>
  <si>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</si>
  <si>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</si>
  <si>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</si>
  <si>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</si>
  <si>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</si>
  <si>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</si>
  <si>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</si>
  <si>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</si>
  <si>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</si>
  <si>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</si>
  <si>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</si>
  <si>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</si>
  <si>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</si>
  <si>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</si>
  <si>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</si>
  <si>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</si>
  <si>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</si>
  <si>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</si>
  <si>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</si>
  <si>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</si>
  <si>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</si>
  <si>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</si>
  <si>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</si>
  <si>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</si>
  <si>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</si>
  <si>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</si>
  <si>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</si>
  <si>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</si>
  <si>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</si>
  <si>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</si>
  <si>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</si>
  <si>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</si>
  <si>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</si>
  <si>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</si>
  <si>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</si>
  <si>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</si>
  <si>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</si>
  <si>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</si>
  <si>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</si>
  <si>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</si>
  <si>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</si>
  <si>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</si>
  <si>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</si>
  <si>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</si>
  <si>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</si>
  <si>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</si>
  <si>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</si>
  <si>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</si>
  <si>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</si>
  <si>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</si>
  <si>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</si>
  <si>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</si>
  <si>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</si>
  <si>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</si>
  <si>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</si>
  <si>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</si>
  <si>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</si>
  <si>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</si>
  <si>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</si>
  <si>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</si>
  <si>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</si>
  <si>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</si>
  <si>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</si>
  <si>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</si>
  <si>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</si>
  <si>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</si>
  <si>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</si>
  <si>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</si>
  <si>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</si>
  <si>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</si>
  <si>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</si>
  <si>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</si>
  <si>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</si>
  <si>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</si>
  <si>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</si>
  <si>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</si>
  <si>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</si>
  <si>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</si>
  <si>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</si>
  <si>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</si>
  <si>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</si>
  <si>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</si>
  <si>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</si>
  <si>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</si>
  <si>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</si>
  <si>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</si>
  <si>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</si>
  <si>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</si>
  <si>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</si>
  <si>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</si>
  <si>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</si>
  <si>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</si>
  <si>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</si>
  <si>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</si>
  <si>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</si>
  <si>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</si>
  <si>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</si>
  <si>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</si>
  <si>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</si>
  <si>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</si>
  <si>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</si>
  <si>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</si>
  <si>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</si>
  <si>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</si>
  <si>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</si>
  <si>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</si>
  <si>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</si>
  <si>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</si>
  <si>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</si>
  <si>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</si>
  <si>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</si>
  <si>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</si>
  <si>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</si>
  <si>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</si>
  <si>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</si>
  <si>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</si>
  <si>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</si>
  <si>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</si>
  <si>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</si>
  <si>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</si>
  <si>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</si>
  <si>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</si>
  <si>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</si>
  <si>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</si>
  <si>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</si>
  <si>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</si>
  <si>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</si>
  <si>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</si>
  <si>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</si>
  <si>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</si>
  <si>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</si>
  <si>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</si>
  <si>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</si>
  <si>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</si>
  <si>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</si>
  <si>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</si>
  <si>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</si>
  <si>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</si>
  <si>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</si>
  <si>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</si>
  <si>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</si>
  <si>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</si>
  <si>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</si>
  <si>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</si>
  <si>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</si>
  <si>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</si>
  <si>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</si>
  <si>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</si>
  <si>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</si>
  <si>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</si>
  <si>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</si>
  <si>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</si>
  <si>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</si>
  <si>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</si>
  <si>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</si>
  <si>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</si>
  <si>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</si>
  <si>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</si>
  <si>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</si>
  <si>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</si>
  <si>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</si>
  <si>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</si>
  <si>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</si>
  <si>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</si>
  <si>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</si>
  <si>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</si>
  <si>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</si>
  <si>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</si>
  <si>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</si>
  <si>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</si>
  <si>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</si>
  <si>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</si>
  <si>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</si>
  <si>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</si>
  <si>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</si>
  <si>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</si>
  <si>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</si>
  <si>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</si>
  <si>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</si>
  <si>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</si>
  <si>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</si>
  <si>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</si>
  <si>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</si>
  <si>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</si>
  <si>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</si>
  <si>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</si>
  <si>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</si>
  <si>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</si>
  <si>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</si>
  <si>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</si>
  <si>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</si>
  <si>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</si>
  <si>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</si>
  <si>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</si>
  <si>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</si>
  <si>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</si>
  <si>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</si>
  <si>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</si>
  <si>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</si>
  <si>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</si>
  <si>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</si>
  <si>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</si>
  <si>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</si>
  <si>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</si>
  <si>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</si>
  <si>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</si>
  <si>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</si>
  <si>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</si>
  <si>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</si>
  <si>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</si>
  <si>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</si>
  <si>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</si>
  <si>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</si>
  <si>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</si>
  <si>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</si>
  <si>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</si>
  <si>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</si>
  <si>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</si>
  <si>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</si>
  <si>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</si>
  <si>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</si>
  <si>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</si>
  <si>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</si>
  <si>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</si>
  <si>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</si>
  <si>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</si>
  <si>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</si>
  <si>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</si>
  <si>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</si>
  <si>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</si>
  <si>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</si>
  <si>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</si>
  <si>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</si>
  <si>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</si>
  <si>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</si>
  <si>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</si>
  <si>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</si>
  <si>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</si>
  <si>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</si>
  <si>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</si>
  <si>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</si>
  <si>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</si>
  <si>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</si>
  <si>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</si>
  <si>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</si>
  <si>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</si>
  <si>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</si>
  <si>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</si>
  <si>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</si>
  <si>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</si>
  <si>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</si>
  <si>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</si>
  <si>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</si>
  <si>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</si>
  <si>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</si>
  <si>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</si>
  <si>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</si>
  <si>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</si>
  <si>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</si>
  <si>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</si>
  <si>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</si>
  <si>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</si>
  <si>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</si>
  <si>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</si>
  <si>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</si>
  <si>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</si>
  <si>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</si>
  <si>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</si>
  <si>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</si>
  <si>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</si>
  <si>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</si>
  <si>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</si>
  <si>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</si>
  <si>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</si>
  <si>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</si>
  <si>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</si>
  <si>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</si>
  <si>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</si>
  <si>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</si>
  <si>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</si>
  <si>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</si>
  <si>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</si>
  <si>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</si>
  <si>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</si>
  <si>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</si>
  <si>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</si>
  <si>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</si>
  <si>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</si>
  <si>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</si>
  <si>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</si>
  <si>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</si>
  <si>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</si>
  <si>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</si>
  <si>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</si>
  <si>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</si>
  <si>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</si>
  <si>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</si>
  <si>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</si>
  <si>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</si>
  <si>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</si>
  <si>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</si>
  <si>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</si>
  <si>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</si>
  <si>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</si>
  <si>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</si>
  <si>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</si>
  <si>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</si>
  <si>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</si>
  <si>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</si>
  <si>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</si>
  <si>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</si>
  <si>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</si>
  <si>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</si>
  <si>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</si>
  <si>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</si>
  <si>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</si>
  <si>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</si>
  <si>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</si>
  <si>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</si>
  <si>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</si>
  <si>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</si>
  <si>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</si>
  <si>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</si>
  <si>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</si>
  <si>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</si>
  <si>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</si>
  <si>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</si>
  <si>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</si>
  <si>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</si>
  <si>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</si>
  <si>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</si>
  <si>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</si>
  <si>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</si>
  <si>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</si>
  <si>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</si>
  <si>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</si>
  <si>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</si>
  <si>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</si>
  <si>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</si>
  <si>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</si>
  <si>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</si>
  <si>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</si>
  <si>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</si>
  <si>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</si>
  <si>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</si>
  <si>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</si>
  <si>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</si>
  <si>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</si>
  <si>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</si>
  <si>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</si>
  <si>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</si>
  <si>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</si>
  <si>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</si>
  <si>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</si>
  <si>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</si>
  <si>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</si>
  <si>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</si>
  <si>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</si>
  <si>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</si>
  <si>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</si>
  <si>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</si>
  <si>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</si>
  <si>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</si>
  <si>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</si>
  <si>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</si>
  <si>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</si>
  <si>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</si>
  <si>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</si>
  <si>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</si>
  <si>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</si>
  <si>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</si>
  <si>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</si>
  <si>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</si>
  <si>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</si>
  <si>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</si>
  <si>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</si>
  <si>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</si>
  <si>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</si>
  <si>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</si>
  <si>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</si>
  <si>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</si>
  <si>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</si>
  <si>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</si>
  <si>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</si>
  <si>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</si>
  <si>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</si>
  <si>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</si>
  <si>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</si>
  <si>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</si>
  <si>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</si>
  <si>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</si>
  <si>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</si>
  <si>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</si>
  <si>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</si>
  <si>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</si>
  <si>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</si>
  <si>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</si>
  <si>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</si>
  <si>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</si>
  <si>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</si>
  <si>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</si>
  <si>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</si>
  <si>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</si>
  <si>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</si>
  <si>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</si>
  <si>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</si>
  <si>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</si>
  <si>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</si>
  <si>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</si>
  <si>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</si>
  <si>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</si>
  <si>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</si>
  <si>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</si>
  <si>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</si>
  <si>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</si>
  <si>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</si>
  <si>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</si>
  <si>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</si>
  <si>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</si>
  <si>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</si>
  <si>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</si>
  <si>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</si>
  <si>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</si>
  <si>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</si>
  <si>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</si>
  <si>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</si>
  <si>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</si>
  <si>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</si>
  <si>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</si>
  <si>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</si>
  <si>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</si>
  <si>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</si>
  <si>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</si>
  <si>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</si>
  <si>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</si>
  <si>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</si>
  <si>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</si>
  <si>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</si>
  <si>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</si>
  <si>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</si>
  <si>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</si>
  <si>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</si>
  <si>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</si>
  <si>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</si>
  <si>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</si>
  <si>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</si>
  <si>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</si>
  <si>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</si>
  <si>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</si>
  <si>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</si>
  <si>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</si>
  <si>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</si>
  <si>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</si>
  <si>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</si>
  <si>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</si>
  <si>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</si>
  <si>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</si>
  <si>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</si>
  <si>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</si>
  <si>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</si>
  <si>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</si>
  <si>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</si>
  <si>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</si>
  <si>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</si>
  <si>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</si>
  <si>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</si>
  <si>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</si>
  <si>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</si>
  <si>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</si>
  <si>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</si>
  <si>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</si>
  <si>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</si>
  <si>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</si>
  <si>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</si>
  <si>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</si>
  <si>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</si>
  <si>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</si>
  <si>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</si>
  <si>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</si>
  <si>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</si>
  <si>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</si>
  <si>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</si>
  <si>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</si>
  <si>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</si>
  <si>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</si>
  <si>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</si>
  <si>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</si>
  <si>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</si>
  <si>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</si>
  <si>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</si>
  <si>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</si>
  <si>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</si>
  <si>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</si>
  <si>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</si>
  <si>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</si>
  <si>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</si>
  <si>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</si>
  <si>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</si>
  <si>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</si>
  <si>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</si>
  <si>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</si>
  <si>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</si>
  <si>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</si>
  <si>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</si>
  <si>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</si>
  <si>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</si>
  <si>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</si>
  <si>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</si>
  <si>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</si>
  <si>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</si>
  <si>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</si>
  <si>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</si>
  <si>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</si>
  <si>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</si>
  <si>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</si>
  <si>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</si>
  <si>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</si>
  <si>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</si>
  <si>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</si>
  <si>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</si>
  <si>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</si>
  <si>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</si>
  <si>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</si>
  <si>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</si>
  <si>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</si>
  <si>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</si>
  <si>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</si>
  <si>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</si>
  <si>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</si>
  <si>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</si>
  <si>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</si>
  <si>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</si>
  <si>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</si>
  <si>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</si>
  <si>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</si>
  <si>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</si>
  <si>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</si>
  <si>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</si>
  <si>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</si>
  <si>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</si>
  <si>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</si>
  <si>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</si>
  <si>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</si>
  <si>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</si>
  <si>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</si>
  <si>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</si>
  <si>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</si>
  <si>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</si>
  <si>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</si>
  <si>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</si>
  <si>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</si>
  <si>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</si>
  <si>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</si>
  <si>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</si>
  <si>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</si>
  <si>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</si>
  <si>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</si>
  <si>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</si>
  <si>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</si>
  <si>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</si>
  <si>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</si>
  <si>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</si>
  <si>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</si>
  <si>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</si>
  <si>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</si>
  <si>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</si>
  <si>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</si>
  <si>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</si>
  <si>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</si>
  <si>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</si>
  <si>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</si>
  <si>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</si>
  <si>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</si>
  <si>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</si>
  <si>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</si>
  <si>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</si>
  <si>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</si>
  <si>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</si>
  <si>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</si>
  <si>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</si>
  <si>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</si>
  <si>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</si>
  <si>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</si>
  <si>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</si>
  <si>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</si>
  <si>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</si>
  <si>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</si>
  <si>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</si>
  <si>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</si>
  <si>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</si>
  <si>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</si>
  <si>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</si>
  <si>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</si>
  <si>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</si>
  <si>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</si>
  <si>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</si>
  <si>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</si>
  <si>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</si>
  <si>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</si>
  <si>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</si>
  <si>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</si>
  <si>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</si>
  <si>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</si>
  <si>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</si>
  <si>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</si>
  <si>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</si>
  <si>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</si>
  <si>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</si>
  <si>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</si>
  <si>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</si>
  <si>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</si>
  <si>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</si>
  <si>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</si>
  <si>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</si>
  <si>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</si>
  <si>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</si>
  <si>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</si>
  <si>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</si>
  <si>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</si>
  <si>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</si>
  <si>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</si>
  <si>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</si>
  <si>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</si>
  <si>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</si>
  <si>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</si>
  <si>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</si>
  <si>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</si>
  <si>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</si>
  <si>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</si>
  <si>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</si>
  <si>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</si>
  <si>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</si>
  <si>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</si>
  <si>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</si>
  <si>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</si>
  <si>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</si>
  <si>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</si>
  <si>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</si>
  <si>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</si>
  <si>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</si>
  <si>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</si>
  <si>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</si>
  <si>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</si>
  <si>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</si>
  <si>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</si>
  <si>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</si>
  <si>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</si>
  <si>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</si>
  <si>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</si>
  <si>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</si>
  <si>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</si>
  <si>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</si>
  <si>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</si>
  <si>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</si>
  <si>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</si>
  <si>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</si>
  <si>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</si>
  <si>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</si>
  <si>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</si>
  <si>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</si>
  <si>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</si>
  <si>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</si>
  <si>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</si>
  <si>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</si>
  <si>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</si>
  <si>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</si>
  <si>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</si>
  <si>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</si>
  <si>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</si>
  <si>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</si>
  <si>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</si>
  <si>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</si>
  <si>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</si>
  <si>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</si>
  <si>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23094</t>
  </si>
  <si>
    <t>ZAVENTEM</t>
  </si>
  <si>
    <t>Cultuurgrond (ha)</t>
  </si>
  <si>
    <t>Paarden&amp;pony's 200 - 600 kg</t>
  </si>
  <si>
    <t>Paarden&amp;pony's &lt; 200 kg</t>
  </si>
  <si>
    <t>op basis van VEA (maart 2018) en Inventaris Hernieuwbare Energiebronnen (juni 2018)</t>
  </si>
  <si>
    <t>VEA (juni 2018)</t>
  </si>
  <si>
    <t>d'Ieteren nv_St-Stevens-Woluwe</t>
  </si>
  <si>
    <t>Maliestraat 50 , 1050 Brussel</t>
  </si>
  <si>
    <t>WKK-0343 D'Ieteren Zaventem</t>
  </si>
  <si>
    <t>interne verbrandingsmotor</t>
  </si>
  <si>
    <t>WKK interne verbrandinsgmotor (gas)</t>
  </si>
  <si>
    <t>Leuvensesteenweg 326 , 1932 Sint-Stevens-Woluwe</t>
  </si>
  <si>
    <t>IVERLEK</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</si>
</sst>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248105.43667090361</c:v>
                </c:pt>
                <c:pt idx="1">
                  <c:v>410193.86524447124</c:v>
                </c:pt>
                <c:pt idx="2">
                  <c:v>2925.2550000000001</c:v>
                </c:pt>
                <c:pt idx="3">
                  <c:v>1534.4667629280573</c:v>
                </c:pt>
                <c:pt idx="4">
                  <c:v>69307.739211070322</c:v>
                </c:pt>
                <c:pt idx="5">
                  <c:v>496123.86869961256</c:v>
                </c:pt>
                <c:pt idx="6">
                  <c:v>9865.6658438163558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3552"/>
        <c:axId val="181385088"/>
      </c:barChart>
      <c:catAx>
        <c:axId val="181383552"/>
        <c:scaling>
          <c:orientation val="minMax"/>
        </c:scaling>
        <c:axPos val="b"/>
        <c:numFmt formatCode="General" sourceLinked="0"/>
        <c:tickLblPos val="nextTo"/>
        <c:crossAx val="181385088"/>
        <c:crosses val="autoZero"/>
        <c:auto val="1"/>
        <c:lblAlgn val="ctr"/>
        <c:lblOffset val="100"/>
      </c:catAx>
      <c:valAx>
        <c:axId val="181385088"/>
        <c:scaling>
          <c:orientation val="minMax"/>
        </c:scaling>
        <c:axPos val="l"/>
        <c:majorGridlines/>
        <c:numFmt formatCode="#,##0" sourceLinked="1"/>
        <c:tickLblPos val="nextTo"/>
        <c:crossAx val="181383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248105.43667090361</c:v>
                </c:pt>
                <c:pt idx="1">
                  <c:v>410193.86524447124</c:v>
                </c:pt>
                <c:pt idx="2">
                  <c:v>2925.2550000000001</c:v>
                </c:pt>
                <c:pt idx="3">
                  <c:v>1534.4667629280573</c:v>
                </c:pt>
                <c:pt idx="4">
                  <c:v>69307.739211070322</c:v>
                </c:pt>
                <c:pt idx="5">
                  <c:v>496123.86869961256</c:v>
                </c:pt>
                <c:pt idx="6">
                  <c:v>9865.6658438163558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49091.104301169369</c:v>
                </c:pt>
                <c:pt idx="2">
                  <c:v>88156.917237999616</c:v>
                </c:pt>
                <c:pt idx="3">
                  <c:v>638.34987144653201</c:v>
                </c:pt>
                <c:pt idx="4">
                  <c:v>388.98551119477042</c:v>
                </c:pt>
                <c:pt idx="5">
                  <c:v>14204.500645171953</c:v>
                </c:pt>
                <c:pt idx="6">
                  <c:v>125327.7825328701</c:v>
                </c:pt>
                <c:pt idx="7">
                  <c:v>2521.9744097584926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4544"/>
        <c:axId val="181494528"/>
      </c:barChart>
      <c:catAx>
        <c:axId val="181484544"/>
        <c:scaling>
          <c:orientation val="minMax"/>
        </c:scaling>
        <c:axPos val="b"/>
        <c:numFmt formatCode="General" sourceLinked="0"/>
        <c:tickLblPos val="nextTo"/>
        <c:crossAx val="181494528"/>
        <c:crosses val="autoZero"/>
        <c:auto val="1"/>
        <c:lblAlgn val="ctr"/>
        <c:lblOffset val="100"/>
      </c:catAx>
      <c:valAx>
        <c:axId val="181494528"/>
        <c:scaling>
          <c:orientation val="minMax"/>
        </c:scaling>
        <c:axPos val="l"/>
        <c:majorGridlines/>
        <c:numFmt formatCode="#,##0" sourceLinked="1"/>
        <c:tickLblPos val="nextTo"/>
        <c:crossAx val="1814845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49091.104301169369</c:v>
                </c:pt>
                <c:pt idx="2">
                  <c:v>88156.917237999616</c:v>
                </c:pt>
                <c:pt idx="3">
                  <c:v>638.34987144653201</c:v>
                </c:pt>
                <c:pt idx="4">
                  <c:v>388.98551119477042</c:v>
                </c:pt>
                <c:pt idx="5">
                  <c:v>14204.500645171953</c:v>
                </c:pt>
                <c:pt idx="6">
                  <c:v>125327.7825328701</c:v>
                </c:pt>
                <c:pt idx="7">
                  <c:v>2521.9744097584926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23094</v>
      </c>
      <c r="B6" s="398"/>
      <c r="C6" s="399"/>
    </row>
    <row r="7" spans="1:7" s="396" customFormat="1" ht="15.75" customHeight="1">
      <c r="A7" s="400" t="str">
        <f>txtMunicipality</f>
        <v>ZAVENTEM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0.21822024796010331</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0.21822024796010331</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23094</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13304</v>
      </c>
      <c r="C9" s="338">
        <v>13822</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753</v>
      </c>
    </row>
    <row r="15" spans="1:6">
      <c r="A15" s="1295" t="s">
        <v>184</v>
      </c>
      <c r="B15" s="335">
        <v>0</v>
      </c>
    </row>
    <row r="16" spans="1:6">
      <c r="A16" s="1295" t="s">
        <v>6</v>
      </c>
      <c r="B16" s="335">
        <v>0</v>
      </c>
    </row>
    <row r="17" spans="1:6">
      <c r="A17" s="1295" t="s">
        <v>7</v>
      </c>
      <c r="B17" s="335">
        <v>2</v>
      </c>
    </row>
    <row r="18" spans="1:6">
      <c r="A18" s="1295" t="s">
        <v>8</v>
      </c>
      <c r="B18" s="335">
        <v>4</v>
      </c>
    </row>
    <row r="19" spans="1:6">
      <c r="A19" s="1295" t="s">
        <v>9</v>
      </c>
      <c r="B19" s="335">
        <v>7</v>
      </c>
    </row>
    <row r="20" spans="1:6">
      <c r="A20" s="1295" t="s">
        <v>10</v>
      </c>
      <c r="B20" s="335">
        <v>4</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0</v>
      </c>
    </row>
    <row r="27" spans="1:6">
      <c r="A27" s="1295" t="s">
        <v>17</v>
      </c>
      <c r="B27" s="335">
        <v>0</v>
      </c>
    </row>
    <row r="28" spans="1:6" s="341" customFormat="1">
      <c r="A28" s="1296" t="s">
        <v>18</v>
      </c>
      <c r="B28" s="1296">
        <v>0</v>
      </c>
    </row>
    <row r="29" spans="1:6">
      <c r="A29" s="1296" t="s">
        <v>906</v>
      </c>
      <c r="B29" s="1296">
        <v>17</v>
      </c>
      <c r="C29" s="341"/>
      <c r="D29" s="341"/>
      <c r="E29" s="341"/>
      <c r="F29" s="341"/>
    </row>
    <row r="30" spans="1:6">
      <c r="A30" s="1291" t="s">
        <v>907</v>
      </c>
      <c r="B30" s="1291">
        <v>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16179.6075238378</v>
      </c>
    </row>
    <row r="37" spans="1:6">
      <c r="A37" s="1295" t="s">
        <v>25</v>
      </c>
      <c r="B37" s="1295" t="s">
        <v>28</v>
      </c>
      <c r="C37" s="335">
        <v>0</v>
      </c>
      <c r="D37" s="335">
        <v>0</v>
      </c>
      <c r="E37" s="335">
        <v>0</v>
      </c>
      <c r="F37" s="335">
        <v>0</v>
      </c>
    </row>
    <row r="38" spans="1:6">
      <c r="A38" s="1295" t="s">
        <v>25</v>
      </c>
      <c r="B38" s="1295" t="s">
        <v>29</v>
      </c>
      <c r="C38" s="335">
        <v>2</v>
      </c>
      <c r="D38" s="335">
        <v>29609.165368774102</v>
      </c>
      <c r="E38" s="335">
        <v>8</v>
      </c>
      <c r="F38" s="335">
        <v>53741.083097465103</v>
      </c>
    </row>
    <row r="39" spans="1:6">
      <c r="A39" s="1295" t="s">
        <v>30</v>
      </c>
      <c r="B39" s="1295" t="s">
        <v>31</v>
      </c>
      <c r="C39" s="335">
        <v>10419</v>
      </c>
      <c r="D39" s="335">
        <v>204838227.647782</v>
      </c>
      <c r="E39" s="335">
        <v>13560</v>
      </c>
      <c r="F39" s="335">
        <v>49352460.465682298</v>
      </c>
    </row>
    <row r="40" spans="1:6">
      <c r="A40" s="1295" t="s">
        <v>30</v>
      </c>
      <c r="B40" s="1295" t="s">
        <v>29</v>
      </c>
      <c r="C40" s="335">
        <v>0</v>
      </c>
      <c r="D40" s="335">
        <v>0</v>
      </c>
      <c r="E40" s="335">
        <v>1</v>
      </c>
      <c r="F40" s="335">
        <v>796.07965676319998</v>
      </c>
    </row>
    <row r="41" spans="1:6">
      <c r="A41" s="1295" t="s">
        <v>32</v>
      </c>
      <c r="B41" s="1295" t="s">
        <v>33</v>
      </c>
      <c r="C41" s="335">
        <v>82</v>
      </c>
      <c r="D41" s="335">
        <v>5393191.8289497998</v>
      </c>
      <c r="E41" s="335">
        <v>168</v>
      </c>
      <c r="F41" s="335">
        <v>3132725.8084571199</v>
      </c>
    </row>
    <row r="42" spans="1:6">
      <c r="A42" s="1295" t="s">
        <v>32</v>
      </c>
      <c r="B42" s="1295" t="s">
        <v>34</v>
      </c>
      <c r="C42" s="335">
        <v>0</v>
      </c>
      <c r="D42" s="335">
        <v>0</v>
      </c>
      <c r="E42" s="335">
        <v>4</v>
      </c>
      <c r="F42" s="335">
        <v>435500.84156173503</v>
      </c>
    </row>
    <row r="43" spans="1:6">
      <c r="A43" s="1295" t="s">
        <v>32</v>
      </c>
      <c r="B43" s="1295" t="s">
        <v>35</v>
      </c>
      <c r="C43" s="335">
        <v>0</v>
      </c>
      <c r="D43" s="335">
        <v>0</v>
      </c>
      <c r="E43" s="335">
        <v>0</v>
      </c>
      <c r="F43" s="335">
        <v>0</v>
      </c>
    </row>
    <row r="44" spans="1:6">
      <c r="A44" s="1295" t="s">
        <v>32</v>
      </c>
      <c r="B44" s="1295" t="s">
        <v>36</v>
      </c>
      <c r="C44" s="335">
        <v>9</v>
      </c>
      <c r="D44" s="335">
        <v>14924114.6786818</v>
      </c>
      <c r="E44" s="335">
        <v>26</v>
      </c>
      <c r="F44" s="335">
        <v>19025746.4900622</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4</v>
      </c>
      <c r="D47" s="335">
        <v>52368.293280106802</v>
      </c>
      <c r="E47" s="335">
        <v>10</v>
      </c>
      <c r="F47" s="335">
        <v>826109.54278077499</v>
      </c>
    </row>
    <row r="48" spans="1:6">
      <c r="A48" s="1295" t="s">
        <v>32</v>
      </c>
      <c r="B48" s="1295" t="s">
        <v>29</v>
      </c>
      <c r="C48" s="335">
        <v>58</v>
      </c>
      <c r="D48" s="335">
        <v>5679727.3112115897</v>
      </c>
      <c r="E48" s="335">
        <v>71</v>
      </c>
      <c r="F48" s="335">
        <v>5238834.15721549</v>
      </c>
    </row>
    <row r="49" spans="1:6">
      <c r="A49" s="1295" t="s">
        <v>32</v>
      </c>
      <c r="B49" s="1295" t="s">
        <v>40</v>
      </c>
      <c r="C49" s="335">
        <v>0</v>
      </c>
      <c r="D49" s="335">
        <v>0</v>
      </c>
      <c r="E49" s="335">
        <v>0</v>
      </c>
      <c r="F49" s="335">
        <v>0</v>
      </c>
    </row>
    <row r="50" spans="1:6">
      <c r="A50" s="1295" t="s">
        <v>32</v>
      </c>
      <c r="B50" s="1295" t="s">
        <v>41</v>
      </c>
      <c r="C50" s="335">
        <v>7</v>
      </c>
      <c r="D50" s="335">
        <v>1142984.1392800701</v>
      </c>
      <c r="E50" s="335">
        <v>10</v>
      </c>
      <c r="F50" s="335">
        <v>627523.94517126505</v>
      </c>
    </row>
    <row r="51" spans="1:6">
      <c r="A51" s="1295" t="s">
        <v>42</v>
      </c>
      <c r="B51" s="1295" t="s">
        <v>43</v>
      </c>
      <c r="C51" s="335">
        <v>0</v>
      </c>
      <c r="D51" s="335">
        <v>0</v>
      </c>
      <c r="E51" s="335">
        <v>10</v>
      </c>
      <c r="F51" s="335">
        <v>44220.820512201302</v>
      </c>
    </row>
    <row r="52" spans="1:6">
      <c r="A52" s="1295" t="s">
        <v>42</v>
      </c>
      <c r="B52" s="1295" t="s">
        <v>29</v>
      </c>
      <c r="C52" s="335">
        <v>10</v>
      </c>
      <c r="D52" s="335">
        <v>168299.664857055</v>
      </c>
      <c r="E52" s="335">
        <v>9</v>
      </c>
      <c r="F52" s="335">
        <v>255494.853214128</v>
      </c>
    </row>
    <row r="53" spans="1:6">
      <c r="A53" s="1295" t="s">
        <v>44</v>
      </c>
      <c r="B53" s="1295" t="s">
        <v>45</v>
      </c>
      <c r="C53" s="335">
        <v>344</v>
      </c>
      <c r="D53" s="335">
        <v>17759495.3308919</v>
      </c>
      <c r="E53" s="335">
        <v>617</v>
      </c>
      <c r="F53" s="335">
        <v>15184829.4401887</v>
      </c>
    </row>
    <row r="54" spans="1:6">
      <c r="A54" s="1295" t="s">
        <v>46</v>
      </c>
      <c r="B54" s="1295" t="s">
        <v>47</v>
      </c>
      <c r="C54" s="335">
        <v>0</v>
      </c>
      <c r="D54" s="335">
        <v>0</v>
      </c>
      <c r="E54" s="335">
        <v>2</v>
      </c>
      <c r="F54" s="335">
        <v>2925255</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69</v>
      </c>
      <c r="D57" s="335">
        <v>6356051.1908911904</v>
      </c>
      <c r="E57" s="335">
        <v>100</v>
      </c>
      <c r="F57" s="335">
        <v>3587668.35226289</v>
      </c>
    </row>
    <row r="58" spans="1:6">
      <c r="A58" s="1295" t="s">
        <v>49</v>
      </c>
      <c r="B58" s="1295" t="s">
        <v>51</v>
      </c>
      <c r="C58" s="335">
        <v>22</v>
      </c>
      <c r="D58" s="335">
        <v>2790691.8261140198</v>
      </c>
      <c r="E58" s="335">
        <v>43</v>
      </c>
      <c r="F58" s="335">
        <v>1416101.6592333701</v>
      </c>
    </row>
    <row r="59" spans="1:6">
      <c r="A59" s="1295" t="s">
        <v>49</v>
      </c>
      <c r="B59" s="1295" t="s">
        <v>52</v>
      </c>
      <c r="C59" s="335">
        <v>230</v>
      </c>
      <c r="D59" s="335">
        <v>30425719.299055502</v>
      </c>
      <c r="E59" s="335">
        <v>446</v>
      </c>
      <c r="F59" s="335">
        <v>42424706.844127797</v>
      </c>
    </row>
    <row r="60" spans="1:6">
      <c r="A60" s="1295" t="s">
        <v>49</v>
      </c>
      <c r="B60" s="1295" t="s">
        <v>53</v>
      </c>
      <c r="C60" s="335">
        <v>133</v>
      </c>
      <c r="D60" s="335">
        <v>9640134.3806667402</v>
      </c>
      <c r="E60" s="335">
        <v>154</v>
      </c>
      <c r="F60" s="335">
        <v>6693901.4694461897</v>
      </c>
    </row>
    <row r="61" spans="1:6">
      <c r="A61" s="1295" t="s">
        <v>49</v>
      </c>
      <c r="B61" s="1295" t="s">
        <v>54</v>
      </c>
      <c r="C61" s="335">
        <v>572</v>
      </c>
      <c r="D61" s="335">
        <v>81896340.3749329</v>
      </c>
      <c r="E61" s="335">
        <v>1432</v>
      </c>
      <c r="F61" s="335">
        <v>145969996.12582201</v>
      </c>
    </row>
    <row r="62" spans="1:6">
      <c r="A62" s="1295" t="s">
        <v>49</v>
      </c>
      <c r="B62" s="1295" t="s">
        <v>55</v>
      </c>
      <c r="C62" s="335">
        <v>6</v>
      </c>
      <c r="D62" s="335">
        <v>1593316.9177580101</v>
      </c>
      <c r="E62" s="335">
        <v>4</v>
      </c>
      <c r="F62" s="335">
        <v>352251.10636011302</v>
      </c>
    </row>
    <row r="63" spans="1:6">
      <c r="A63" s="1295" t="s">
        <v>49</v>
      </c>
      <c r="B63" s="1295" t="s">
        <v>29</v>
      </c>
      <c r="C63" s="335">
        <v>207</v>
      </c>
      <c r="D63" s="335">
        <v>18793276.725977201</v>
      </c>
      <c r="E63" s="335">
        <v>236</v>
      </c>
      <c r="F63" s="335">
        <v>28043057.336818099</v>
      </c>
    </row>
    <row r="64" spans="1:6">
      <c r="A64" s="1295" t="s">
        <v>56</v>
      </c>
      <c r="B64" s="1295" t="s">
        <v>57</v>
      </c>
      <c r="C64" s="335">
        <v>0</v>
      </c>
      <c r="D64" s="335">
        <v>0</v>
      </c>
      <c r="E64" s="335">
        <v>0</v>
      </c>
      <c r="F64" s="335">
        <v>0</v>
      </c>
    </row>
    <row r="65" spans="1:6">
      <c r="A65" s="1295" t="s">
        <v>56</v>
      </c>
      <c r="B65" s="1295" t="s">
        <v>29</v>
      </c>
      <c r="C65" s="335">
        <v>7</v>
      </c>
      <c r="D65" s="335">
        <v>863730.93767424405</v>
      </c>
      <c r="E65" s="335">
        <v>4</v>
      </c>
      <c r="F65" s="335">
        <v>17487.744358350501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11</v>
      </c>
      <c r="D68" s="335">
        <v>409467.41305814299</v>
      </c>
      <c r="E68" s="335">
        <v>25</v>
      </c>
      <c r="F68" s="335">
        <v>379933.27708117501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93897780</v>
      </c>
      <c r="E73" s="335">
        <v>148053890.91572654</v>
      </c>
    </row>
    <row r="74" spans="1:6">
      <c r="A74" s="1295" t="s">
        <v>64</v>
      </c>
      <c r="B74" s="1295" t="s">
        <v>727</v>
      </c>
      <c r="C74" s="1295" t="s">
        <v>728</v>
      </c>
      <c r="D74" s="335">
        <v>2300032.3654764351</v>
      </c>
      <c r="E74" s="335">
        <v>5400772.2305160547</v>
      </c>
    </row>
    <row r="75" spans="1:6">
      <c r="A75" s="1295" t="s">
        <v>65</v>
      </c>
      <c r="B75" s="1295" t="s">
        <v>725</v>
      </c>
      <c r="C75" s="1295" t="s">
        <v>729</v>
      </c>
      <c r="D75" s="335">
        <v>32788746</v>
      </c>
      <c r="E75" s="335">
        <v>53565514.208524846</v>
      </c>
    </row>
    <row r="76" spans="1:6">
      <c r="A76" s="1295" t="s">
        <v>65</v>
      </c>
      <c r="B76" s="1295" t="s">
        <v>727</v>
      </c>
      <c r="C76" s="1295" t="s">
        <v>730</v>
      </c>
      <c r="D76" s="335">
        <v>88953.5</v>
      </c>
      <c r="E76" s="335">
        <v>337222.62431334355</v>
      </c>
    </row>
    <row r="77" spans="1:6">
      <c r="A77" s="1295" t="s">
        <v>66</v>
      </c>
      <c r="B77" s="1295" t="s">
        <v>725</v>
      </c>
      <c r="C77" s="1295" t="s">
        <v>731</v>
      </c>
      <c r="D77" s="335">
        <v>452049188</v>
      </c>
      <c r="E77" s="335">
        <v>515307697.79307371</v>
      </c>
    </row>
    <row r="78" spans="1:6">
      <c r="A78" s="1291" t="s">
        <v>66</v>
      </c>
      <c r="B78" s="1291" t="s">
        <v>727</v>
      </c>
      <c r="C78" s="1291" t="s">
        <v>732</v>
      </c>
      <c r="D78" s="1291">
        <v>38045242</v>
      </c>
      <c r="E78" s="1291">
        <v>42961522.127922006</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2606391.2690471299</v>
      </c>
      <c r="C83" s="335">
        <v>2583561.0606130995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1616.2249999999999</v>
      </c>
    </row>
    <row r="92" spans="1:6">
      <c r="A92" s="1291" t="s">
        <v>69</v>
      </c>
      <c r="B92" s="338">
        <v>3370.54</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7180</v>
      </c>
    </row>
    <row r="98" spans="1:6">
      <c r="A98" s="1295" t="s">
        <v>72</v>
      </c>
      <c r="B98" s="335">
        <v>4</v>
      </c>
    </row>
    <row r="99" spans="1:6">
      <c r="A99" s="1295" t="s">
        <v>73</v>
      </c>
      <c r="B99" s="335">
        <v>38</v>
      </c>
    </row>
    <row r="100" spans="1:6">
      <c r="A100" s="1295" t="s">
        <v>74</v>
      </c>
      <c r="B100" s="335">
        <v>729</v>
      </c>
    </row>
    <row r="101" spans="1:6">
      <c r="A101" s="1295" t="s">
        <v>75</v>
      </c>
      <c r="B101" s="335">
        <v>33</v>
      </c>
    </row>
    <row r="102" spans="1:6">
      <c r="A102" s="1295" t="s">
        <v>76</v>
      </c>
      <c r="B102" s="335">
        <v>215</v>
      </c>
    </row>
    <row r="103" spans="1:6">
      <c r="A103" s="1295" t="s">
        <v>77</v>
      </c>
      <c r="B103" s="335">
        <v>81</v>
      </c>
    </row>
    <row r="104" spans="1:6">
      <c r="A104" s="1295" t="s">
        <v>78</v>
      </c>
      <c r="B104" s="335">
        <v>2411</v>
      </c>
    </row>
    <row r="105" spans="1:6">
      <c r="A105" s="1291" t="s">
        <v>79</v>
      </c>
      <c r="B105" s="1291">
        <v>11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8</v>
      </c>
      <c r="C123" s="335">
        <v>9</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46</v>
      </c>
    </row>
    <row r="130" spans="1:6">
      <c r="A130" s="1295" t="s">
        <v>295</v>
      </c>
      <c r="B130" s="335">
        <v>1</v>
      </c>
    </row>
    <row r="131" spans="1:6">
      <c r="A131" s="1295" t="s">
        <v>296</v>
      </c>
      <c r="B131" s="335">
        <v>3</v>
      </c>
    </row>
    <row r="132" spans="1:6">
      <c r="A132" s="1291" t="s">
        <v>297</v>
      </c>
      <c r="B132" s="338">
        <v>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327986.00659224502</v>
      </c>
      <c r="C3" s="43" t="s">
        <v>170</v>
      </c>
      <c r="D3" s="43"/>
      <c r="E3" s="156"/>
      <c r="F3" s="43"/>
      <c r="G3" s="43"/>
      <c r="H3" s="43"/>
      <c r="I3" s="43"/>
      <c r="J3" s="43"/>
      <c r="K3" s="96"/>
    </row>
    <row r="4" spans="1:11">
      <c r="A4" s="366" t="s">
        <v>171</v>
      </c>
      <c r="B4" s="49">
        <f>IF(ISERROR('SEAP template'!B78),0,'SEAP template'!B78)</f>
        <v>4986.7649999999994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190.35529411764713</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0.21822024796010331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271.93613445378156</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1144.2857142857142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2925.2550000000001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2925.2550000000001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0.21822024796010331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638.34987144653201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49353.256545339063</v>
      </c>
      <c r="C5" s="17">
        <f>IF(ISERROR('Eigen informatie GS &amp; warmtenet'!B57),0,'Eigen informatie GS &amp; warmtenet'!B57)</f>
        <v>0</v>
      </c>
      <c r="D5" s="30">
        <f>(SUM(HH_hh_gas_kWh,HH_rest_gas_kWh)/1000)*0.902</f>
        <v>184764.08133829938</v>
      </c>
      <c r="E5" s="17">
        <f>B46*B57</f>
        <v>2846.6386326479915</v>
      </c>
      <c r="F5" s="17">
        <f>B51*B62</f>
        <v>0</v>
      </c>
      <c r="G5" s="18"/>
      <c r="H5" s="17"/>
      <c r="I5" s="17"/>
      <c r="J5" s="17">
        <f>B50*B61+C50*C61</f>
        <v>0</v>
      </c>
      <c r="K5" s="17"/>
      <c r="L5" s="17"/>
      <c r="M5" s="17"/>
      <c r="N5" s="17">
        <f>B48*B59+C48*C59</f>
        <v>9267.651821283871</v>
      </c>
      <c r="O5" s="17">
        <f>B69*B70*B71</f>
        <v>85.983333333333334</v>
      </c>
      <c r="P5" s="17">
        <f>B77*B78*B79/1000-B77*B78*B79/1000/B80</f>
        <v>171.6</v>
      </c>
    </row>
    <row r="6" spans="1:16">
      <c r="A6" s="16" t="s">
        <v>634</v>
      </c>
      <c r="B6" s="783">
        <f>kWh_PV_kleiner_dan_10kW</f>
        <v>1616.2249999999999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50969.481545339062</v>
      </c>
      <c r="C8" s="21">
        <f>C5</f>
        <v>0</v>
      </c>
      <c r="D8" s="21">
        <f>D5</f>
        <v>184764.08133829938</v>
      </c>
      <c r="E8" s="21">
        <f>E5</f>
        <v>2846.6386326479915</v>
      </c>
      <c r="F8" s="21">
        <f>F5</f>
        <v>0</v>
      </c>
      <c r="G8" s="21"/>
      <c r="H8" s="21"/>
      <c r="I8" s="21"/>
      <c r="J8" s="21">
        <f>J5</f>
        <v>0</v>
      </c>
      <c r="K8" s="21"/>
      <c r="L8" s="21">
        <f>L5</f>
        <v>0</v>
      </c>
      <c r="M8" s="21">
        <f>M5</f>
        <v>0</v>
      </c>
      <c r="N8" s="21">
        <f>N5</f>
        <v>9267.651821283871</v>
      </c>
      <c r="O8" s="21">
        <f>O5</f>
        <v>85.983333333333334</v>
      </c>
      <c r="P8" s="21">
        <f>P5</f>
        <v>171.6</v>
      </c>
    </row>
    <row r="9" spans="1:16">
      <c r="B9" s="19"/>
      <c r="C9" s="19"/>
      <c r="D9" s="261"/>
      <c r="E9" s="19"/>
      <c r="F9" s="19"/>
      <c r="G9" s="19"/>
      <c r="H9" s="19"/>
      <c r="I9" s="19"/>
      <c r="J9" s="19"/>
      <c r="K9" s="19"/>
      <c r="L9" s="19"/>
      <c r="M9" s="19"/>
      <c r="N9" s="19"/>
      <c r="O9" s="19"/>
      <c r="P9" s="19"/>
    </row>
    <row r="10" spans="1:16">
      <c r="A10" s="24" t="s">
        <v>214</v>
      </c>
      <c r="B10" s="25">
        <f ca="1">'EF ele_warmte'!B12</f>
        <v>0.21822024796010331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11122.5729012218</v>
      </c>
      <c r="C12" s="23">
        <f ca="1">C10*C8</f>
        <v>0</v>
      </c>
      <c r="D12" s="23">
        <f>D8*D10</f>
        <v>37322.344430336474</v>
      </c>
      <c r="E12" s="23">
        <f>E10*E8</f>
        <v>646.18696961109413</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7180</v>
      </c>
      <c r="C18" s="168" t="s">
        <v>111</v>
      </c>
      <c r="D18" s="230"/>
      <c r="E18" s="15"/>
    </row>
    <row r="19" spans="1:7">
      <c r="A19" s="173" t="s">
        <v>72</v>
      </c>
      <c r="B19" s="37">
        <f>aantalw2001_ander</f>
        <v>4</v>
      </c>
      <c r="C19" s="168" t="s">
        <v>111</v>
      </c>
      <c r="D19" s="231"/>
      <c r="E19" s="15"/>
    </row>
    <row r="20" spans="1:7">
      <c r="A20" s="173" t="s">
        <v>73</v>
      </c>
      <c r="B20" s="37">
        <f>aantalw2001_propaan</f>
        <v>38</v>
      </c>
      <c r="C20" s="169">
        <f>IF(ISERROR(B20/SUM($B$20,$B$21,$B$22)*100),0,B20/SUM($B$20,$B$21,$B$22)*100)</f>
        <v>4.75</v>
      </c>
      <c r="D20" s="231"/>
      <c r="E20" s="15"/>
    </row>
    <row r="21" spans="1:7">
      <c r="A21" s="173" t="s">
        <v>74</v>
      </c>
      <c r="B21" s="37">
        <f>aantalw2001_elektriciteit</f>
        <v>729</v>
      </c>
      <c r="C21" s="169">
        <f>IF(ISERROR(B21/SUM($B$20,$B$21,$B$22)*100),0,B21/SUM($B$20,$B$21,$B$22)*100)</f>
        <v>91.125</v>
      </c>
      <c r="D21" s="231"/>
      <c r="E21" s="15"/>
    </row>
    <row r="22" spans="1:7">
      <c r="A22" s="173" t="s">
        <v>75</v>
      </c>
      <c r="B22" s="37">
        <f>aantalw2001_hout</f>
        <v>33</v>
      </c>
      <c r="C22" s="169">
        <f>IF(ISERROR(B22/SUM($B$20,$B$21,$B$22)*100),0,B22/SUM($B$20,$B$21,$B$22)*100)</f>
        <v>4.125</v>
      </c>
      <c r="D22" s="231"/>
      <c r="E22" s="15"/>
    </row>
    <row r="23" spans="1:7">
      <c r="A23" s="173" t="s">
        <v>76</v>
      </c>
      <c r="B23" s="37">
        <f>aantalw2001_niet_gespec</f>
        <v>215</v>
      </c>
      <c r="C23" s="168" t="s">
        <v>111</v>
      </c>
      <c r="D23" s="230"/>
      <c r="E23" s="15"/>
    </row>
    <row r="24" spans="1:7">
      <c r="A24" s="173" t="s">
        <v>77</v>
      </c>
      <c r="B24" s="37">
        <f>aantalw2001_steenkool</f>
        <v>81</v>
      </c>
      <c r="C24" s="168" t="s">
        <v>111</v>
      </c>
      <c r="D24" s="231"/>
      <c r="E24" s="15"/>
    </row>
    <row r="25" spans="1:7">
      <c r="A25" s="173" t="s">
        <v>78</v>
      </c>
      <c r="B25" s="37">
        <f>aantalw2001_stookolie</f>
        <v>2411</v>
      </c>
      <c r="C25" s="168" t="s">
        <v>111</v>
      </c>
      <c r="D25" s="230"/>
      <c r="E25" s="52"/>
    </row>
    <row r="26" spans="1:7">
      <c r="A26" s="173" t="s">
        <v>79</v>
      </c>
      <c r="B26" s="37">
        <f>aantalw2001_WP</f>
        <v>11</v>
      </c>
      <c r="C26" s="168" t="s">
        <v>111</v>
      </c>
      <c r="D26" s="230"/>
      <c r="E26" s="15"/>
    </row>
    <row r="27" spans="1:7" s="15" customFormat="1">
      <c r="A27" s="173"/>
      <c r="B27" s="29"/>
      <c r="C27" s="36"/>
      <c r="D27" s="230"/>
    </row>
    <row r="28" spans="1:7" s="15" customFormat="1">
      <c r="A28" s="232" t="s">
        <v>745</v>
      </c>
      <c r="B28" s="37">
        <f>aantalHuishoudens2011</f>
        <v>13304</v>
      </c>
      <c r="C28" s="36"/>
      <c r="D28" s="230"/>
    </row>
    <row r="29" spans="1:7" s="15" customFormat="1">
      <c r="A29" s="232" t="s">
        <v>746</v>
      </c>
      <c r="B29" s="37">
        <f>SUM(HH_hh_gas_aantal,HH_rest_gas_aantal)</f>
        <v>10419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10419</v>
      </c>
      <c r="C32" s="169">
        <f>IF(ISERROR(B32/SUM($B$32,$B$34,$B$35,$B$36,$B$38,$B$39)*100),0,B32/SUM($B$32,$B$34,$B$35,$B$36,$B$38,$B$39)*100)</f>
        <v>78.367807446408406</v>
      </c>
      <c r="D32" s="235"/>
      <c r="G32" s="15"/>
    </row>
    <row r="33" spans="1:7">
      <c r="A33" s="173" t="s">
        <v>72</v>
      </c>
      <c r="B33" s="34" t="s">
        <v>111</v>
      </c>
      <c r="C33" s="169"/>
      <c r="D33" s="235"/>
      <c r="G33" s="15"/>
    </row>
    <row r="34" spans="1:7">
      <c r="A34" s="173" t="s">
        <v>73</v>
      </c>
      <c r="B34" s="33">
        <f>IF((($B$28-$B$32-$B$39-$B$77-$B$38)*C20/100)&lt;0,0,($B$28-$B$32-$B$39-$B$77-$B$38)*C20/100)</f>
        <v>136.61000000000001</v>
      </c>
      <c r="C34" s="169">
        <f>IF(ISERROR(B34/SUM($B$32,$B$34,$B$35,$B$36,$B$38,$B$39)*100),0,B34/SUM($B$32,$B$34,$B$35,$B$36,$B$38,$B$39)*100)</f>
        <v>1.0275291462956</v>
      </c>
      <c r="D34" s="235"/>
      <c r="G34" s="15"/>
    </row>
    <row r="35" spans="1:7">
      <c r="A35" s="173" t="s">
        <v>74</v>
      </c>
      <c r="B35" s="33">
        <f>IF((($B$28-$B$32-$B$39-$B$77-$B$38)*C21/100)&lt;0,0,($B$28-$B$32-$B$39-$B$77-$B$38)*C21/100)</f>
        <v>2620.7550000000001</v>
      </c>
      <c r="C35" s="169">
        <f>IF(ISERROR(B35/SUM($B$32,$B$34,$B$35,$B$36,$B$38,$B$39)*100),0,B35/SUM($B$32,$B$34,$B$35,$B$36,$B$38,$B$39)*100)</f>
        <v>19.71233546446032</v>
      </c>
      <c r="D35" s="235"/>
      <c r="G35" s="15"/>
    </row>
    <row r="36" spans="1:7">
      <c r="A36" s="173" t="s">
        <v>75</v>
      </c>
      <c r="B36" s="33">
        <f>IF((($B$28-$B$32-$B$39-$B$77-$B$38)*C22/100)&lt;0,0,($B$28-$B$32-$B$39-$B$77-$B$38)*C22/100)</f>
        <v>118.63500000000001</v>
      </c>
      <c r="C36" s="169">
        <f>IF(ISERROR(B36/SUM($B$32,$B$34,$B$35,$B$36,$B$38,$B$39)*100),0,B36/SUM($B$32,$B$34,$B$35,$B$36,$B$38,$B$39)*100)</f>
        <v>0.89232794283565253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10419</v>
      </c>
      <c r="C44" s="34" t="s">
        <v>111</v>
      </c>
      <c r="D44" s="176"/>
    </row>
    <row r="45" spans="1:7">
      <c r="A45" s="173" t="s">
        <v>72</v>
      </c>
      <c r="B45" s="33" t="str">
        <f t="shared" si="0"/>
        <v>-</v>
      </c>
      <c r="C45" s="34" t="s">
        <v>111</v>
      </c>
      <c r="D45" s="176"/>
    </row>
    <row r="46" spans="1:7">
      <c r="A46" s="173" t="s">
        <v>73</v>
      </c>
      <c r="B46" s="33">
        <f t="shared" si="0"/>
        <v>136.61000000000001</v>
      </c>
      <c r="C46" s="34" t="s">
        <v>111</v>
      </c>
      <c r="D46" s="176"/>
    </row>
    <row r="47" spans="1:7">
      <c r="A47" s="173" t="s">
        <v>74</v>
      </c>
      <c r="B47" s="33">
        <f t="shared" si="0"/>
        <v>2620.7550000000001</v>
      </c>
      <c r="C47" s="34" t="s">
        <v>111</v>
      </c>
      <c r="D47" s="176"/>
    </row>
    <row r="48" spans="1:7">
      <c r="A48" s="173" t="s">
        <v>75</v>
      </c>
      <c r="B48" s="33">
        <f t="shared" si="0"/>
        <v>118.63500000000001</v>
      </c>
      <c r="C48" s="33">
        <f>B48*10</f>
        <v>1186.3500000000001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228487.68289407049</v>
      </c>
      <c r="C5" s="17">
        <f>IF(ISERROR('Eigen informatie GS &amp; warmtenet'!B58),0,'Eigen informatie GS &amp; warmtenet'!B58)</f>
        <v>0</v>
      </c>
      <c r="D5" s="30">
        <f>SUM(D6:D12)</f>
        <v>136648.96870528682</v>
      </c>
      <c r="E5" s="17">
        <f>SUM(E6:E12)</f>
        <v>1914.1645642497585</v>
      </c>
      <c r="F5" s="17">
        <f>SUM(F6:F12)</f>
        <v>38480.270644101372</v>
      </c>
      <c r="G5" s="18"/>
      <c r="H5" s="17"/>
      <c r="I5" s="17"/>
      <c r="J5" s="17">
        <f>SUM(J6:J12)</f>
        <v>0</v>
      </c>
      <c r="K5" s="17"/>
      <c r="L5" s="17"/>
      <c r="M5" s="17"/>
      <c r="N5" s="17">
        <f>SUM(N6:N12)</f>
        <v>4947.300817715166</v>
      </c>
      <c r="O5" s="17">
        <f>B38*B39*B40</f>
        <v>1.5633333333333335</v>
      </c>
      <c r="P5" s="17">
        <f>B46*B47*B48/1000-B46*B47*B48/1000/B49</f>
        <v>57.2</v>
      </c>
      <c r="R5" s="32"/>
    </row>
    <row r="6" spans="1:18">
      <c r="A6" s="32" t="s">
        <v>54</v>
      </c>
      <c r="B6" s="37">
        <f>B26</f>
        <v>145969.99612582201</v>
      </c>
      <c r="C6" s="33"/>
      <c r="D6" s="37">
        <f>IF(ISERROR(TER_kantoor_gas_kWh/1000),0,TER_kantoor_gas_kWh/1000)*0.902</f>
        <v>73870.499018189483</v>
      </c>
      <c r="E6" s="33">
        <f>$C$26*'E Balans VL '!I12/100/3.6*1000000</f>
        <v>567.12433859759449</v>
      </c>
      <c r="F6" s="33">
        <f>$C$26*('E Balans VL '!L12+'E Balans VL '!N12)/100/3.6*1000000</f>
        <v>22200.708189667752</v>
      </c>
      <c r="G6" s="34"/>
      <c r="H6" s="33"/>
      <c r="I6" s="33"/>
      <c r="J6" s="33">
        <f>$C$26*('E Balans VL '!D12+'E Balans VL '!E12)/100/3.6*1000000</f>
        <v>0</v>
      </c>
      <c r="K6" s="33"/>
      <c r="L6" s="33"/>
      <c r="M6" s="33"/>
      <c r="N6" s="33">
        <f>$C$26*'E Balans VL '!Y12/100/3.6*1000000</f>
        <v>80.446954640217996</v>
      </c>
      <c r="O6" s="33"/>
      <c r="P6" s="33"/>
      <c r="R6" s="32"/>
    </row>
    <row r="7" spans="1:18">
      <c r="A7" s="32" t="s">
        <v>53</v>
      </c>
      <c r="B7" s="37">
        <f t="shared" ref="B7:B12" si="0">B27</f>
        <v>6693.9014694461894</v>
      </c>
      <c r="C7" s="33"/>
      <c r="D7" s="37">
        <f>IF(ISERROR(TER_horeca_gas_kWh/1000),0,TER_horeca_gas_kWh/1000)*0.902</f>
        <v>8695.4012113614008</v>
      </c>
      <c r="E7" s="33">
        <f>$C$27*'E Balans VL '!I9/100/3.6*1000000</f>
        <v>377.06925942664259</v>
      </c>
      <c r="F7" s="33">
        <f>$C$27*('E Balans VL '!L9+'E Balans VL '!N9)/100/3.6*1000000</f>
        <v>1930.1204280883308</v>
      </c>
      <c r="G7" s="34"/>
      <c r="H7" s="33"/>
      <c r="I7" s="33"/>
      <c r="J7" s="33">
        <f>$C$27*('E Balans VL '!D9+'E Balans VL '!E9)/100/3.6*1000000</f>
        <v>0</v>
      </c>
      <c r="K7" s="33"/>
      <c r="L7" s="33"/>
      <c r="M7" s="33"/>
      <c r="N7" s="33">
        <f>$C$27*'E Balans VL '!Y9/100/3.6*1000000</f>
        <v>1.8481514109292638</v>
      </c>
      <c r="O7" s="33"/>
      <c r="P7" s="33"/>
      <c r="R7" s="32"/>
    </row>
    <row r="8" spans="1:18">
      <c r="A8" s="6" t="s">
        <v>52</v>
      </c>
      <c r="B8" s="37">
        <f t="shared" si="0"/>
        <v>42424.706844127795</v>
      </c>
      <c r="C8" s="33"/>
      <c r="D8" s="37">
        <f>IF(ISERROR(TER_handel_gas_kWh/1000),0,TER_handel_gas_kWh/1000)*0.902</f>
        <v>27443.998807748063</v>
      </c>
      <c r="E8" s="33">
        <f>$C$28*'E Balans VL '!I13/100/3.6*1000000</f>
        <v>611.48395833639972</v>
      </c>
      <c r="F8" s="33">
        <f>$C$28*('E Balans VL '!L13+'E Balans VL '!N13)/100/3.6*1000000</f>
        <v>7370.1595835779699</v>
      </c>
      <c r="G8" s="34"/>
      <c r="H8" s="33"/>
      <c r="I8" s="33"/>
      <c r="J8" s="33">
        <f>$C$28*('E Balans VL '!D13+'E Balans VL '!E13)/100/3.6*1000000</f>
        <v>0</v>
      </c>
      <c r="K8" s="33"/>
      <c r="L8" s="33"/>
      <c r="M8" s="33"/>
      <c r="N8" s="33">
        <f>$C$28*'E Balans VL '!Y13/100/3.6*1000000</f>
        <v>127.10914452066348</v>
      </c>
      <c r="O8" s="33"/>
      <c r="P8" s="33"/>
      <c r="R8" s="32"/>
    </row>
    <row r="9" spans="1:18">
      <c r="A9" s="32" t="s">
        <v>51</v>
      </c>
      <c r="B9" s="37">
        <f t="shared" si="0"/>
        <v>1416.1016592333701</v>
      </c>
      <c r="C9" s="33"/>
      <c r="D9" s="37">
        <f>IF(ISERROR(TER_gezond_gas_kWh/1000),0,TER_gezond_gas_kWh/1000)*0.902</f>
        <v>2517.2040271548462</v>
      </c>
      <c r="E9" s="33">
        <f>$C$29*'E Balans VL '!I10/100/3.6*1000000</f>
        <v>1.512763612132193</v>
      </c>
      <c r="F9" s="33">
        <f>$C$29*('E Balans VL '!L10+'E Balans VL '!N10)/100/3.6*1000000</f>
        <v>231.0092175653584</v>
      </c>
      <c r="G9" s="34"/>
      <c r="H9" s="33"/>
      <c r="I9" s="33"/>
      <c r="J9" s="33">
        <f>$C$29*('E Balans VL '!D10+'E Balans VL '!E10)/100/3.6*1000000</f>
        <v>0</v>
      </c>
      <c r="K9" s="33"/>
      <c r="L9" s="33"/>
      <c r="M9" s="33"/>
      <c r="N9" s="33">
        <f>$C$29*'E Balans VL '!Y10/100/3.6*1000000</f>
        <v>14.577958570320865</v>
      </c>
      <c r="O9" s="33"/>
      <c r="P9" s="33"/>
      <c r="R9" s="32"/>
    </row>
    <row r="10" spans="1:18">
      <c r="A10" s="32" t="s">
        <v>50</v>
      </c>
      <c r="B10" s="37">
        <f t="shared" si="0"/>
        <v>3587.66835226289</v>
      </c>
      <c r="C10" s="33"/>
      <c r="D10" s="37">
        <f>IF(ISERROR(TER_ander_gas_kWh/1000),0,TER_ander_gas_kWh/1000)*0.902</f>
        <v>5733.1581741838536</v>
      </c>
      <c r="E10" s="33">
        <f>$C$30*'E Balans VL '!I14/100/3.6*1000000</f>
        <v>16.499141027189509</v>
      </c>
      <c r="F10" s="33">
        <f>$C$30*('E Balans VL '!L14+'E Balans VL '!N14)/100/3.6*1000000</f>
        <v>1075.3373704041167</v>
      </c>
      <c r="G10" s="34"/>
      <c r="H10" s="33"/>
      <c r="I10" s="33"/>
      <c r="J10" s="33">
        <f>$C$30*('E Balans VL '!D14+'E Balans VL '!E14)/100/3.6*1000000</f>
        <v>0</v>
      </c>
      <c r="K10" s="33"/>
      <c r="L10" s="33"/>
      <c r="M10" s="33"/>
      <c r="N10" s="33">
        <f>$C$30*'E Balans VL '!Y14/100/3.6*1000000</f>
        <v>2497.2539979206927</v>
      </c>
      <c r="O10" s="33"/>
      <c r="P10" s="33"/>
      <c r="R10" s="32"/>
    </row>
    <row r="11" spans="1:18">
      <c r="A11" s="32" t="s">
        <v>55</v>
      </c>
      <c r="B11" s="37">
        <f t="shared" si="0"/>
        <v>352.251106360113</v>
      </c>
      <c r="C11" s="33"/>
      <c r="D11" s="37">
        <f>IF(ISERROR(TER_onderwijs_gas_kWh/1000),0,TER_onderwijs_gas_kWh/1000)*0.902</f>
        <v>1437.1718598177251</v>
      </c>
      <c r="E11" s="33">
        <f>$C$31*'E Balans VL '!I11/100/3.6*1000000</f>
        <v>0.32675922526163015</v>
      </c>
      <c r="F11" s="33">
        <f>$C$31*('E Balans VL '!L11+'E Balans VL '!N11)/100/3.6*1000000</f>
        <v>123.73771775469325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28043.057336818099</v>
      </c>
      <c r="C12" s="33"/>
      <c r="D12" s="37">
        <f>IF(ISERROR(TER_rest_gas_kWh/1000),0,TER_rest_gas_kWh/1000)*0.902</f>
        <v>16951.535606831436</v>
      </c>
      <c r="E12" s="33">
        <f>$C$32*'E Balans VL '!I8/100/3.6*1000000</f>
        <v>340.1483440245384</v>
      </c>
      <c r="F12" s="33">
        <f>$C$32*('E Balans VL '!L8+'E Balans VL '!N8)/100/3.6*1000000</f>
        <v>5549.1981370431477</v>
      </c>
      <c r="G12" s="34"/>
      <c r="H12" s="33"/>
      <c r="I12" s="33"/>
      <c r="J12" s="33">
        <f>$C$32*('E Balans VL '!D8+'E Balans VL '!E8)/100/3.6*1000000</f>
        <v>0</v>
      </c>
      <c r="K12" s="33"/>
      <c r="L12" s="33"/>
      <c r="M12" s="33"/>
      <c r="N12" s="33">
        <f>$C$32*'E Balans VL '!Y8/100/3.6*1000000</f>
        <v>2226.0646106523413</v>
      </c>
      <c r="O12" s="33"/>
      <c r="P12" s="33"/>
      <c r="R12" s="32"/>
    </row>
    <row r="13" spans="1:18">
      <c r="A13" s="16" t="s">
        <v>497</v>
      </c>
      <c r="B13" s="249">
        <f ca="1">'lokale energieproductie'!N91+'lokale energieproductie'!N60</f>
        <v>801</v>
      </c>
      <c r="C13" s="249">
        <f ca="1">'lokale energieproductie'!O91+'lokale energieproductie'!O60</f>
        <v>1144.2857142857142</v>
      </c>
      <c r="D13" s="312">
        <f ca="1">('lokale energieproductie'!P60+'lokale energieproductie'!P91)*(-1)</f>
        <v>-2288.5714285714289</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229288.68289407049</v>
      </c>
      <c r="C16" s="21">
        <f t="shared" ca="1" si="1"/>
        <v>1144.2857142857142</v>
      </c>
      <c r="D16" s="21">
        <f t="shared" ca="1" si="1"/>
        <v>134360.3972767154</v>
      </c>
      <c r="E16" s="21">
        <f t="shared" si="1"/>
        <v>1914.1645642497585</v>
      </c>
      <c r="F16" s="21">
        <f t="shared" ca="1" si="1"/>
        <v>38480.270644101372</v>
      </c>
      <c r="G16" s="21">
        <f t="shared" si="1"/>
        <v>0</v>
      </c>
      <c r="H16" s="21">
        <f t="shared" si="1"/>
        <v>0</v>
      </c>
      <c r="I16" s="21">
        <f t="shared" si="1"/>
        <v>0</v>
      </c>
      <c r="J16" s="21">
        <f t="shared" si="1"/>
        <v>0</v>
      </c>
      <c r="K16" s="21">
        <f t="shared" si="1"/>
        <v>0</v>
      </c>
      <c r="L16" s="21">
        <f t="shared" ca="1" si="1"/>
        <v>0</v>
      </c>
      <c r="M16" s="21">
        <f t="shared" si="1"/>
        <v>0</v>
      </c>
      <c r="N16" s="21">
        <f t="shared" ca="1" si="1"/>
        <v>4947.300817715166</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0.21822024796010331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50035.43323558956</v>
      </c>
      <c r="C20" s="23">
        <f t="shared" ref="C20:P20" ca="1" si="2">C16*C18</f>
        <v>271.93613445378156</v>
      </c>
      <c r="D20" s="23">
        <f t="shared" ca="1" si="2"/>
        <v>27140.800249896514</v>
      </c>
      <c r="E20" s="23">
        <f t="shared" si="2"/>
        <v>434.51535608469521</v>
      </c>
      <c r="F20" s="23">
        <f t="shared" ca="1" si="2"/>
        <v>10274.232261975067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145969.99612582201</v>
      </c>
      <c r="C26" s="39">
        <f>IF(ISERROR(B26*3.6/1000000/'E Balans VL '!Z12*100),0,B26*3.6/1000000/'E Balans VL '!Z12*100)</f>
        <v>3.1004750218491308</v>
      </c>
      <c r="D26" s="239" t="s">
        <v>692</v>
      </c>
      <c r="F26" s="6"/>
    </row>
    <row r="27" spans="1:18">
      <c r="A27" s="233" t="s">
        <v>53</v>
      </c>
      <c r="B27" s="33">
        <f>IF(ISERROR(TER_horeca_ele_kWh/1000),0,TER_horeca_ele_kWh/1000)</f>
        <v>6693.9014694461894</v>
      </c>
      <c r="C27" s="39">
        <f>IF(ISERROR(B27*3.6/1000000/'E Balans VL '!Z9*100),0,B27*3.6/1000000/'E Balans VL '!Z9*100)</f>
        <v>0.52049160563349439</v>
      </c>
      <c r="D27" s="239" t="s">
        <v>692</v>
      </c>
      <c r="F27" s="6"/>
    </row>
    <row r="28" spans="1:18">
      <c r="A28" s="173" t="s">
        <v>52</v>
      </c>
      <c r="B28" s="33">
        <f>IF(ISERROR(TER_handel_ele_kWh/1000),0,TER_handel_ele_kWh/1000)</f>
        <v>42424.706844127795</v>
      </c>
      <c r="C28" s="39">
        <f>IF(ISERROR(B28*3.6/1000000/'E Balans VL '!Z13*100),0,B28*3.6/1000000/'E Balans VL '!Z13*100)</f>
        <v>1.2138207916958117</v>
      </c>
      <c r="D28" s="239" t="s">
        <v>692</v>
      </c>
      <c r="F28" s="6"/>
    </row>
    <row r="29" spans="1:18">
      <c r="A29" s="233" t="s">
        <v>51</v>
      </c>
      <c r="B29" s="33">
        <f>IF(ISERROR(TER_gezond_ele_kWh/1000),0,TER_gezond_ele_kWh/1000)</f>
        <v>1416.1016592333701</v>
      </c>
      <c r="C29" s="39">
        <f>IF(ISERROR(B29*3.6/1000000/'E Balans VL '!Z10*100),0,B29*3.6/1000000/'E Balans VL '!Z10*100)</f>
        <v>0.15438798711249055</v>
      </c>
      <c r="D29" s="239" t="s">
        <v>692</v>
      </c>
      <c r="F29" s="6"/>
    </row>
    <row r="30" spans="1:18">
      <c r="A30" s="233" t="s">
        <v>50</v>
      </c>
      <c r="B30" s="33">
        <f>IF(ISERROR(TER_ander_ele_kWh/1000),0,TER_ander_ele_kWh/1000)</f>
        <v>3587.66835226289</v>
      </c>
      <c r="C30" s="39">
        <f>IF(ISERROR(B30*3.6/1000000/'E Balans VL '!Z14*100),0,B30*3.6/1000000/'E Balans VL '!Z14*100)</f>
        <v>0.26253743158586634</v>
      </c>
      <c r="D30" s="239" t="s">
        <v>692</v>
      </c>
      <c r="F30" s="6"/>
    </row>
    <row r="31" spans="1:18">
      <c r="A31" s="233" t="s">
        <v>55</v>
      </c>
      <c r="B31" s="33">
        <f>IF(ISERROR(TER_onderwijs_ele_kWh/1000),0,TER_onderwijs_ele_kWh/1000)</f>
        <v>352.251106360113</v>
      </c>
      <c r="C31" s="39">
        <f>IF(ISERROR(B31*3.6/1000000/'E Balans VL '!Z11*100),0,B31*3.6/1000000/'E Balans VL '!Z11*100)</f>
        <v>7.0749896286887395E-2</v>
      </c>
      <c r="D31" s="239" t="s">
        <v>692</v>
      </c>
    </row>
    <row r="32" spans="1:18">
      <c r="A32" s="233" t="s">
        <v>260</v>
      </c>
      <c r="B32" s="33">
        <f>IF(ISERROR(TER_rest_ele_kWh/1000),0,TER_rest_ele_kWh/1000)</f>
        <v>28043.057336818099</v>
      </c>
      <c r="C32" s="39">
        <f>IF(ISERROR(B32*3.6/1000000/'E Balans VL '!Z8*100),0,B32*3.6/1000000/'E Balans VL '!Z8*100)</f>
        <v>0.22853389882826436</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29286.440785248582</v>
      </c>
      <c r="C5" s="17">
        <f>IF(ISERROR('Eigen informatie GS &amp; warmtenet'!B59),0,'Eigen informatie GS &amp; warmtenet'!B59)</f>
        <v>0</v>
      </c>
      <c r="D5" s="30">
        <f>SUM(D6:D15)</f>
        <v>24527.532398765838</v>
      </c>
      <c r="E5" s="17">
        <f>SUM(E6:E15)</f>
        <v>1748.6036617057321</v>
      </c>
      <c r="F5" s="17">
        <f>SUM(F6:F15)</f>
        <v>9203.5784245905579</v>
      </c>
      <c r="G5" s="18"/>
      <c r="H5" s="17"/>
      <c r="I5" s="17"/>
      <c r="J5" s="17">
        <f>SUM(J6:J15)</f>
        <v>13.435762775547591</v>
      </c>
      <c r="K5" s="17"/>
      <c r="L5" s="17"/>
      <c r="M5" s="17"/>
      <c r="N5" s="17">
        <f>SUM(N6:N15)</f>
        <v>4528.1481779840688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19025.7464900622</v>
      </c>
      <c r="C8" s="33"/>
      <c r="D8" s="37">
        <f>IF( ISERROR(IND_metaal_Gas_kWH/1000),0,IND_metaal_Gas_kWH/1000)*0.902</f>
        <v>13461.551440170984</v>
      </c>
      <c r="E8" s="33">
        <f>C30*'E Balans VL '!I18/100/3.6*1000000</f>
        <v>546.49085308595693</v>
      </c>
      <c r="F8" s="33">
        <f>C30*'E Balans VL '!L18/100/3.6*1000000+C30*'E Balans VL '!N18/100/3.6*1000000</f>
        <v>4879.7380570094501</v>
      </c>
      <c r="G8" s="34"/>
      <c r="H8" s="33"/>
      <c r="I8" s="33"/>
      <c r="J8" s="40">
        <f>C30*'E Balans VL '!D18/100/3.6*1000000+C30*'E Balans VL '!E18/100/3.6*1000000</f>
        <v>0</v>
      </c>
      <c r="K8" s="33"/>
      <c r="L8" s="33"/>
      <c r="M8" s="33"/>
      <c r="N8" s="33">
        <f>C30*'E Balans VL '!Y18/100/3.6*1000000</f>
        <v>516.58785425611995</v>
      </c>
      <c r="O8" s="33"/>
      <c r="P8" s="33"/>
      <c r="R8" s="32"/>
    </row>
    <row r="9" spans="1:18">
      <c r="A9" s="6" t="s">
        <v>33</v>
      </c>
      <c r="B9" s="37">
        <f t="shared" si="0"/>
        <v>3132.7258084571199</v>
      </c>
      <c r="C9" s="33"/>
      <c r="D9" s="37">
        <f>IF( ISERROR(IND_andere_gas_kWh/1000),0,IND_andere_gas_kWh/1000)*0.902</f>
        <v>4864.6590297127195</v>
      </c>
      <c r="E9" s="33">
        <f>C31*'E Balans VL '!I19/100/3.6*1000000</f>
        <v>847.9518518931842</v>
      </c>
      <c r="F9" s="33">
        <f>C31*'E Balans VL '!L19/100/3.6*1000000+C31*'E Balans VL '!N19/100/3.6*1000000</f>
        <v>2086.726900072526</v>
      </c>
      <c r="G9" s="34"/>
      <c r="H9" s="33"/>
      <c r="I9" s="33"/>
      <c r="J9" s="40">
        <f>C31*'E Balans VL '!D19/100/3.6*1000000+C31*'E Balans VL '!E19/100/3.6*1000000</f>
        <v>0</v>
      </c>
      <c r="K9" s="33"/>
      <c r="L9" s="33"/>
      <c r="M9" s="33"/>
      <c r="N9" s="33">
        <f>C31*'E Balans VL '!Y19/100/3.6*1000000</f>
        <v>1022.7829374304573</v>
      </c>
      <c r="O9" s="33"/>
      <c r="P9" s="33"/>
      <c r="R9" s="32"/>
    </row>
    <row r="10" spans="1:18">
      <c r="A10" s="6" t="s">
        <v>41</v>
      </c>
      <c r="B10" s="37">
        <f t="shared" si="0"/>
        <v>627.52394517126504</v>
      </c>
      <c r="C10" s="33"/>
      <c r="D10" s="37">
        <f>IF( ISERROR(IND_voed_gas_kWh/1000),0,IND_voed_gas_kWh/1000)*0.902</f>
        <v>1030.9716936306233</v>
      </c>
      <c r="E10" s="33">
        <f>C32*'E Balans VL '!I20/100/3.6*1000000</f>
        <v>51.182294666917443</v>
      </c>
      <c r="F10" s="33">
        <f>C32*'E Balans VL '!L20/100/3.6*1000000+C32*'E Balans VL '!N20/100/3.6*1000000</f>
        <v>935.6951362112892</v>
      </c>
      <c r="G10" s="34"/>
      <c r="H10" s="33"/>
      <c r="I10" s="33"/>
      <c r="J10" s="40">
        <f>C32*'E Balans VL '!D20/100/3.6*1000000+C32*'E Balans VL '!E20/100/3.6*1000000</f>
        <v>8.301380082730514E-3</v>
      </c>
      <c r="K10" s="33"/>
      <c r="L10" s="33"/>
      <c r="M10" s="33"/>
      <c r="N10" s="33">
        <f>C32*'E Balans VL '!Y20/100/3.6*1000000</f>
        <v>184.34439215891757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826.10954278077497</v>
      </c>
      <c r="C13" s="33"/>
      <c r="D13" s="37">
        <f>IF( ISERROR(IND_papier_gas_kWh/1000),0,IND_papier_gas_kWh/1000)*0.902</f>
        <v>47.236200538656341</v>
      </c>
      <c r="E13" s="33">
        <f>C35*'E Balans VL '!I23/100/3.6*1000000</f>
        <v>8.6550024485464565</v>
      </c>
      <c r="F13" s="33">
        <f>C35*'E Balans VL '!L23/100/3.6*1000000+C35*'E Balans VL '!N23/100/3.6*1000000</f>
        <v>61.644440506940718</v>
      </c>
      <c r="G13" s="34"/>
      <c r="H13" s="33"/>
      <c r="I13" s="33"/>
      <c r="J13" s="40">
        <f>C35*'E Balans VL '!D23/100/3.6*1000000+C35*'E Balans VL '!E23/100/3.6*1000000</f>
        <v>0</v>
      </c>
      <c r="K13" s="33"/>
      <c r="L13" s="33"/>
      <c r="M13" s="33"/>
      <c r="N13" s="33">
        <f>C35*'E Balans VL '!Y23/100/3.6*1000000</f>
        <v>1765.7229209997388</v>
      </c>
      <c r="O13" s="33"/>
      <c r="P13" s="33"/>
      <c r="R13" s="32"/>
    </row>
    <row r="14" spans="1:18">
      <c r="A14" s="6" t="s">
        <v>34</v>
      </c>
      <c r="B14" s="37">
        <f t="shared" si="0"/>
        <v>435.500841561735</v>
      </c>
      <c r="C14" s="33"/>
      <c r="D14" s="37">
        <f>IF( ISERROR(IND_chemie_gas_kWh/1000),0,IND_chemie_gas_kWh/1000)*0.902</f>
        <v>0</v>
      </c>
      <c r="E14" s="33">
        <f>C36*'E Balans VL '!I24/100/3.6*1000000</f>
        <v>2.0587147468244376</v>
      </c>
      <c r="F14" s="33">
        <f>C36*'E Balans VL '!L24/100/3.6*1000000+C36*'E Balans VL '!N24/100/3.6*1000000</f>
        <v>8.2307321456259075</v>
      </c>
      <c r="G14" s="34"/>
      <c r="H14" s="33"/>
      <c r="I14" s="33"/>
      <c r="J14" s="40">
        <f>C36*'E Balans VL '!D24/100/3.6*1000000+C36*'E Balans VL '!E24/100/3.6*1000000</f>
        <v>0</v>
      </c>
      <c r="K14" s="33"/>
      <c r="L14" s="33"/>
      <c r="M14" s="33"/>
      <c r="N14" s="33">
        <f>C36*'E Balans VL '!Y24/100/3.6*1000000</f>
        <v>10.57248712020351</v>
      </c>
      <c r="O14" s="33"/>
      <c r="P14" s="33"/>
      <c r="R14" s="32"/>
    </row>
    <row r="15" spans="1:18">
      <c r="A15" s="6" t="s">
        <v>270</v>
      </c>
      <c r="B15" s="37">
        <f t="shared" si="0"/>
        <v>5238.8341572154904</v>
      </c>
      <c r="C15" s="33"/>
      <c r="D15" s="37">
        <f>IF( ISERROR(IND_rest_gas_kWh/1000),0,IND_rest_gas_kWh/1000)*0.902</f>
        <v>5123.1140347128539</v>
      </c>
      <c r="E15" s="33">
        <f>C37*'E Balans VL '!I15/100/3.6*1000000</f>
        <v>292.26494486430249</v>
      </c>
      <c r="F15" s="33">
        <f>C37*'E Balans VL '!L15/100/3.6*1000000+C37*'E Balans VL '!N15/100/3.6*1000000</f>
        <v>1231.543158644726</v>
      </c>
      <c r="G15" s="34"/>
      <c r="H15" s="33"/>
      <c r="I15" s="33"/>
      <c r="J15" s="40">
        <f>C37*'E Balans VL '!D15/100/3.6*1000000+C37*'E Balans VL '!E15/100/3.6*1000000</f>
        <v>13.42746139546486</v>
      </c>
      <c r="K15" s="33"/>
      <c r="L15" s="33"/>
      <c r="M15" s="33"/>
      <c r="N15" s="33">
        <f>C37*'E Balans VL '!Y15/100/3.6*1000000</f>
        <v>1028.1375860186315</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29286.440785248582</v>
      </c>
      <c r="C18" s="21">
        <f>C5+C16</f>
        <v>0</v>
      </c>
      <c r="D18" s="21">
        <f>MAX((D5+D16),0)</f>
        <v>24527.532398765838</v>
      </c>
      <c r="E18" s="21">
        <f>MAX((E5+E16),0)</f>
        <v>1748.6036617057321</v>
      </c>
      <c r="F18" s="21">
        <f>MAX((F5+F16),0)</f>
        <v>9203.5784245905579</v>
      </c>
      <c r="G18" s="21"/>
      <c r="H18" s="21"/>
      <c r="I18" s="21"/>
      <c r="J18" s="21">
        <f>MAX((J5+J16),0)</f>
        <v>13.435762775547591</v>
      </c>
      <c r="K18" s="21"/>
      <c r="L18" s="21">
        <f>MAX((L5+L16),0)</f>
        <v>0</v>
      </c>
      <c r="M18" s="21"/>
      <c r="N18" s="21">
        <f>MAX((N5+N16),0)</f>
        <v>4528.1481779840688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0.21822024796010331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6390.8943700258278</v>
      </c>
      <c r="C22" s="23">
        <f ca="1">C18*C20</f>
        <v>0</v>
      </c>
      <c r="D22" s="23">
        <f>D18*D20</f>
        <v>4954.5615445506992</v>
      </c>
      <c r="E22" s="23">
        <f>E18*E20</f>
        <v>396.93303120720117</v>
      </c>
      <c r="F22" s="23">
        <f>F18*F20</f>
        <v>2457.3554393656791</v>
      </c>
      <c r="G22" s="23"/>
      <c r="H22" s="23"/>
      <c r="I22" s="23"/>
      <c r="J22" s="23">
        <f>J18*J20</f>
        <v>4.7562600225438469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19025.7464900622</v>
      </c>
      <c r="C30" s="39">
        <f>IF(ISERROR(B30*3.6/1000000/'E Balans VL '!Z18*100),0,B30*3.6/1000000/'E Balans VL '!Z18*100)</f>
        <v>1.8720848870649933</v>
      </c>
      <c r="D30" s="239" t="s">
        <v>692</v>
      </c>
    </row>
    <row r="31" spans="1:18">
      <c r="A31" s="6" t="s">
        <v>33</v>
      </c>
      <c r="B31" s="37">
        <f>IF( ISERROR(IND_ander_ele_kWh/1000),0,IND_ander_ele_kWh/1000)</f>
        <v>3132.7258084571199</v>
      </c>
      <c r="C31" s="39">
        <f>IF(ISERROR(B31*3.6/1000000/'E Balans VL '!Z19*100),0,B31*3.6/1000000/'E Balans VL '!Z19*100)</f>
        <v>0.13642771000754644</v>
      </c>
      <c r="D31" s="239" t="s">
        <v>692</v>
      </c>
    </row>
    <row r="32" spans="1:18">
      <c r="A32" s="173" t="s">
        <v>41</v>
      </c>
      <c r="B32" s="37">
        <f>IF( ISERROR(IND_voed_ele_kWh/1000),0,IND_voed_ele_kWh/1000)</f>
        <v>627.52394517126504</v>
      </c>
      <c r="C32" s="39">
        <f>IF(ISERROR(B32*3.6/1000000/'E Balans VL '!Z20*100),0,B32*3.6/1000000/'E Balans VL '!Z20*100)</f>
        <v>0.11906361871644888</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826.10954278077497</v>
      </c>
      <c r="C35" s="39">
        <f>IF(ISERROR(B35*3.6/1000000/'E Balans VL '!Z22*100),0,B35*3.6/1000000/'E Balans VL '!Z22*100)</f>
        <v>0.11615929724843685</v>
      </c>
      <c r="D35" s="239" t="s">
        <v>692</v>
      </c>
    </row>
    <row r="36" spans="1:5">
      <c r="A36" s="173" t="s">
        <v>34</v>
      </c>
      <c r="B36" s="37">
        <f>IF( ISERROR(IND_chemie_ele_kWh/1000),0,IND_chemie_ele_kWh/1000)</f>
        <v>435.500841561735</v>
      </c>
      <c r="C36" s="39">
        <f>IF(ISERROR(B36*3.6/1000000/'E Balans VL '!Z24*100),0,B36*3.6/1000000/'E Balans VL '!Z24*100)</f>
        <v>1.2691781403025487E-2</v>
      </c>
      <c r="D36" s="239" t="s">
        <v>692</v>
      </c>
    </row>
    <row r="37" spans="1:5">
      <c r="A37" s="173" t="s">
        <v>270</v>
      </c>
      <c r="B37" s="37">
        <f>IF( ISERROR(IND_rest_ele_kWh/1000),0,IND_rest_ele_kWh/1000)</f>
        <v>5238.8341572154904</v>
      </c>
      <c r="C37" s="39">
        <f>IF(ISERROR(B37*3.6/1000000/'E Balans VL '!Z15*100),0,B37*3.6/1000000/'E Balans VL '!Z15*100)</f>
        <v>4.0371651796048194E-2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299.71567372632927</v>
      </c>
      <c r="C5" s="17">
        <f>'Eigen informatie GS &amp; warmtenet'!B60</f>
        <v>0</v>
      </c>
      <c r="D5" s="30">
        <f>IF(ISERROR(SUM(LB_lb_gas_kWh,LB_rest_gas_kWh)/1000),0,SUM(LB_lb_gas_kWh,LB_rest_gas_kWh)/1000)*0.902</f>
        <v>151.80629770106361</v>
      </c>
      <c r="E5" s="17">
        <f>B17*'E Balans VL '!I25/3.6*1000000/100</f>
        <v>3.7768036012440831</v>
      </c>
      <c r="F5" s="17">
        <f>B17*('E Balans VL '!L25/3.6*1000000+'E Balans VL '!N25/3.6*1000000)/100</f>
        <v>1034.0941576185135</v>
      </c>
      <c r="G5" s="18"/>
      <c r="H5" s="17"/>
      <c r="I5" s="17"/>
      <c r="J5" s="17">
        <f>('E Balans VL '!D25+'E Balans VL '!E25)/3.6*1000000*landbouw!B17/100</f>
        <v>45.073830280906904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299.71567372632927</v>
      </c>
      <c r="C8" s="21">
        <f>C5+C6</f>
        <v>0</v>
      </c>
      <c r="D8" s="21">
        <f>MAX((D5+D6),0)</f>
        <v>151.80629770106361</v>
      </c>
      <c r="E8" s="21">
        <f>MAX((E5+E6),0)</f>
        <v>3.7768036012440831</v>
      </c>
      <c r="F8" s="21">
        <f>MAX((F5+F6),0)</f>
        <v>1034.0941576185135</v>
      </c>
      <c r="G8" s="21"/>
      <c r="H8" s="21"/>
      <c r="I8" s="21"/>
      <c r="J8" s="21">
        <f>MAX((J5+J6),0)</f>
        <v>45.073830280906904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0.21822024796010331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65.404028638088988</v>
      </c>
      <c r="C12" s="23">
        <f ca="1">C8*C10</f>
        <v>0</v>
      </c>
      <c r="D12" s="23">
        <f>D8*D10</f>
        <v>30.664872135614853</v>
      </c>
      <c r="E12" s="23">
        <f>E8*E10</f>
        <v>0.85733441748240691</v>
      </c>
      <c r="F12" s="23">
        <f>F8*F10</f>
        <v>276.10314008414309</v>
      </c>
      <c r="G12" s="23"/>
      <c r="H12" s="23"/>
      <c r="I12" s="23"/>
      <c r="J12" s="23">
        <f>J8*J10</f>
        <v>15.956135919441044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4.1800889995120862E-2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1.1573029301939173</v>
      </c>
      <c r="C26" s="249">
        <f>B26*'GWP N2O_CH4'!B5</f>
        <v>24.303361534072263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0.11988544548089837</v>
      </c>
      <c r="C27" s="249">
        <f>B27*'GWP N2O_CH4'!B5</f>
        <v>2.5175943550988658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1.7439713378827753E-2</v>
      </c>
      <c r="C28" s="249">
        <f>B28*'GWP N2O_CH4'!B4</f>
        <v>5.406311147436603</v>
      </c>
      <c r="D28" s="50"/>
    </row>
    <row r="29" spans="1:4">
      <c r="A29" s="41" t="s">
        <v>277</v>
      </c>
      <c r="B29" s="249">
        <f>B34*'ha_N2O bodem landbouw'!B4</f>
        <v>4.4853379892259015</v>
      </c>
      <c r="C29" s="249">
        <f>B29*'GWP N2O_CH4'!B4</f>
        <v>1390.4547766600294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1.1199440771616186E-3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1.1376451321850134E-4</v>
      </c>
      <c r="C5" s="448" t="s">
        <v>211</v>
      </c>
      <c r="D5" s="433">
        <f>SUM(D6:D11)</f>
        <v>1.73801290075611E-4</v>
      </c>
      <c r="E5" s="433">
        <f>SUM(E6:E11)</f>
        <v>6.4456260341133279E-3</v>
      </c>
      <c r="F5" s="446" t="s">
        <v>211</v>
      </c>
      <c r="G5" s="433">
        <f>SUM(G6:G11)</f>
        <v>1.4317792811316421</v>
      </c>
      <c r="H5" s="433">
        <f>SUM(H6:H11)</f>
        <v>0.27056971231149107</v>
      </c>
      <c r="I5" s="448" t="s">
        <v>211</v>
      </c>
      <c r="J5" s="448" t="s">
        <v>211</v>
      </c>
      <c r="K5" s="448" t="s">
        <v>211</v>
      </c>
      <c r="L5" s="448" t="s">
        <v>211</v>
      </c>
      <c r="M5" s="433">
        <f>SUM(M6:M11)</f>
        <v>7.6963742038064747E-2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1.845788150892988E-5</v>
      </c>
      <c r="C6" s="887"/>
      <c r="D6" s="887">
        <f>vkm_2011_GW_PW*SUMIFS(TableVerdeelsleutelVkm[CNG],TableVerdeelsleutelVkm[Voertuigtype],"Lichte voertuigen")*SUMIFS(TableECFTransport[EnergieConsumptieFactor (PJ per km)],TableECFTransport[Index],CONCATENATE($A6,"_CNG_CNG"))</f>
        <v>2.6139970220451599E-5</v>
      </c>
      <c r="E6" s="887">
        <f>vkm_2011_GW_PW*SUMIFS(TableVerdeelsleutelVkm[LPG],TableVerdeelsleutelVkm[Voertuigtype],"Lichte voertuigen")*SUMIFS(TableECFTransport[EnergieConsumptieFactor (PJ per km)],TableECFTransport[Index],CONCATENATE($A6,"_LPG_LPG"))</f>
        <v>8.209704095705478E-4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0.14755086244379409</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3.9537440874955636E-2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8.4644726406524085E-3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2.1711726765123271E-2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7.7139514393335877E-6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9.7978151603421546E-4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6.4454216968111341E-6</v>
      </c>
      <c r="C8" s="887"/>
      <c r="D8" s="436">
        <f>vkm_2011_NGW_PW*SUMIFS(TableVerdeelsleutelVkm[CNG],TableVerdeelsleutelVkm[Voertuigtype],"Lichte voertuigen")*SUMIFS(TableECFTransport[EnergieConsumptieFactor (PJ per km)],TableECFTransport[Index],CONCATENATE($A8,"_CNG_CNG"))</f>
        <v>1.6261647954368419E-5</v>
      </c>
      <c r="E8" s="436">
        <f>vkm_2011_NGW_PW*SUMIFS(TableVerdeelsleutelVkm[LPG],TableVerdeelsleutelVkm[Voertuigtype],"Lichte voertuigen")*SUMIFS(TableECFTransport[EnergieConsumptieFactor (PJ per km)],TableECFTransport[Index],CONCATENATE($A8,"_LPG_LPG"))</f>
        <v>4.7041291117559599E-4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7.9739550036662304E-2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2.3732913901997492E-2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4.6825958358847081E-3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1.0711487413882343E-3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3.6012810787279058E-7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4.8336617863343021E-5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8.8861210012760331E-5</v>
      </c>
      <c r="C10" s="887"/>
      <c r="D10" s="436">
        <f>vkm_2011_SW_PW*SUMIFS(TableVerdeelsleutelVkm[CNG],TableVerdeelsleutelVkm[Voertuigtype],"Lichte voertuigen")*SUMIFS(TableECFTransport[EnergieConsumptieFactor (PJ per km)],TableECFTransport[Index],CONCATENATE($A10,"_CNG_CNG"))</f>
        <v>1.3139967190079098E-4</v>
      </c>
      <c r="E10" s="436">
        <f>vkm_2011_SW_PW*SUMIFS(TableVerdeelsleutelVkm[LPG],TableVerdeelsleutelVkm[Voertuigtype],"Lichte voertuigen")*SUMIFS(TableECFTransport[EnergieConsumptieFactor (PJ per km)],TableECFTransport[Index],CONCATENATE($A10,"_LPG_LPG"))</f>
        <v>5.1542427133671846E-3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0.83895918828685834</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0.20715996209343041</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4.7321040182841181E-2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0.34274680485781606</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1.3132136156036105E-4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1.5467515244788899E-2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31.601253671805928</v>
      </c>
      <c r="C14" s="21"/>
      <c r="D14" s="21">
        <f t="shared" ref="D14:M14" si="0">((D5)*10^9/3600)+D12</f>
        <v>48.27813613211417</v>
      </c>
      <c r="E14" s="21">
        <f t="shared" si="0"/>
        <v>1790.4516761425912</v>
      </c>
      <c r="F14" s="21"/>
      <c r="G14" s="21">
        <f t="shared" si="0"/>
        <v>397716.46698101168</v>
      </c>
      <c r="H14" s="21">
        <f t="shared" si="0"/>
        <v>75158.253419858636</v>
      </c>
      <c r="I14" s="21"/>
      <c r="J14" s="21"/>
      <c r="K14" s="21"/>
      <c r="L14" s="21"/>
      <c r="M14" s="21">
        <f t="shared" si="0"/>
        <v>21378.817232795762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0.21822024796010331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6.8960334121116151</v>
      </c>
      <c r="C18" s="23"/>
      <c r="D18" s="23">
        <f t="shared" ref="D18:M18" si="1">D14*D16</f>
        <v>9.7521834986870637</v>
      </c>
      <c r="E18" s="23">
        <f t="shared" si="1"/>
        <v>406.43253048436821</v>
      </c>
      <c r="F18" s="23"/>
      <c r="G18" s="23">
        <f t="shared" si="1"/>
        <v>106190.29668393012</v>
      </c>
      <c r="H18" s="23">
        <f t="shared" si="1"/>
        <v>18714.405101544802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3.400414934505832E-2</v>
      </c>
      <c r="H50" s="323">
        <f t="shared" si="2"/>
        <v>0</v>
      </c>
      <c r="I50" s="323">
        <f t="shared" si="2"/>
        <v>0</v>
      </c>
      <c r="J50" s="323">
        <f t="shared" si="2"/>
        <v>0</v>
      </c>
      <c r="K50" s="323">
        <f t="shared" si="2"/>
        <v>0</v>
      </c>
      <c r="L50" s="323">
        <f t="shared" si="2"/>
        <v>0</v>
      </c>
      <c r="M50" s="323">
        <f t="shared" si="2"/>
        <v>1.5122476926805596E-3</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3.400414934505832E-2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1.5122476926805596E-3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9445.5970402939784</v>
      </c>
      <c r="H54" s="21">
        <f t="shared" si="3"/>
        <v>0</v>
      </c>
      <c r="I54" s="21">
        <f t="shared" si="3"/>
        <v>0</v>
      </c>
      <c r="J54" s="21">
        <f t="shared" si="3"/>
        <v>0</v>
      </c>
      <c r="K54" s="21">
        <f t="shared" si="3"/>
        <v>0</v>
      </c>
      <c r="L54" s="21">
        <f t="shared" si="3"/>
        <v>0</v>
      </c>
      <c r="M54" s="21">
        <f t="shared" si="3"/>
        <v>420.06880352237766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0.21822024796010331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2521.9744097584926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232213.93789407049</v>
      </c>
      <c r="D10" s="690">
        <f ca="1">tertiair!C16</f>
        <v>1144.2857142857142</v>
      </c>
      <c r="E10" s="690">
        <f ca="1">tertiair!D16</f>
        <v>134360.3972767154</v>
      </c>
      <c r="F10" s="690">
        <f>tertiair!E16</f>
        <v>1914.1645642497585</v>
      </c>
      <c r="G10" s="690">
        <f ca="1">tertiair!F16</f>
        <v>38480.270644101372</v>
      </c>
      <c r="H10" s="690">
        <f>tertiair!G16</f>
        <v>0</v>
      </c>
      <c r="I10" s="690">
        <f>tertiair!H16</f>
        <v>0</v>
      </c>
      <c r="J10" s="690">
        <f>tertiair!I16</f>
        <v>0</v>
      </c>
      <c r="K10" s="690">
        <f>tertiair!J16</f>
        <v>0</v>
      </c>
      <c r="L10" s="690">
        <f>tertiair!K16</f>
        <v>0</v>
      </c>
      <c r="M10" s="690">
        <f ca="1">tertiair!L16</f>
        <v>0</v>
      </c>
      <c r="N10" s="690">
        <f>tertiair!M16</f>
        <v>0</v>
      </c>
      <c r="O10" s="690">
        <f ca="1">tertiair!N16</f>
        <v>4947.300817715166</v>
      </c>
      <c r="P10" s="690">
        <f>tertiair!O16</f>
        <v>1.5633333333333335</v>
      </c>
      <c r="Q10" s="691">
        <f>tertiair!P16</f>
        <v>57.2</v>
      </c>
      <c r="R10" s="693">
        <f ca="1">SUM(C10:Q10)</f>
        <v>413119.12024447124</v>
      </c>
      <c r="S10" s="67"/>
    </row>
    <row r="11" spans="1:19" s="458" customFormat="1">
      <c r="A11" s="805" t="s">
        <v>225</v>
      </c>
      <c r="B11" s="810"/>
      <c r="C11" s="690">
        <f>huishoudens!B8</f>
        <v>50969.481545339062</v>
      </c>
      <c r="D11" s="690">
        <f>huishoudens!C8</f>
        <v>0</v>
      </c>
      <c r="E11" s="690">
        <f>huishoudens!D8</f>
        <v>184764.08133829938</v>
      </c>
      <c r="F11" s="690">
        <f>huishoudens!E8</f>
        <v>2846.6386326479915</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9267.651821283871</v>
      </c>
      <c r="P11" s="690">
        <f>huishoudens!O8</f>
        <v>85.983333333333334</v>
      </c>
      <c r="Q11" s="691">
        <f>huishoudens!P8</f>
        <v>171.6</v>
      </c>
      <c r="R11" s="693">
        <f>SUM(C11:Q11)</f>
        <v>248105.43667090361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29286.440785248582</v>
      </c>
      <c r="D13" s="690">
        <f>industrie!C18</f>
        <v>0</v>
      </c>
      <c r="E13" s="690">
        <f>industrie!D18</f>
        <v>24527.532398765838</v>
      </c>
      <c r="F13" s="690">
        <f>industrie!E18</f>
        <v>1748.6036617057321</v>
      </c>
      <c r="G13" s="690">
        <f>industrie!F18</f>
        <v>9203.5784245905579</v>
      </c>
      <c r="H13" s="690">
        <f>industrie!G18</f>
        <v>0</v>
      </c>
      <c r="I13" s="690">
        <f>industrie!H18</f>
        <v>0</v>
      </c>
      <c r="J13" s="690">
        <f>industrie!I18</f>
        <v>0</v>
      </c>
      <c r="K13" s="690">
        <f>industrie!J18</f>
        <v>13.435762775547591</v>
      </c>
      <c r="L13" s="690">
        <f>industrie!K18</f>
        <v>0</v>
      </c>
      <c r="M13" s="690">
        <f>industrie!L18</f>
        <v>0</v>
      </c>
      <c r="N13" s="690">
        <f>industrie!M18</f>
        <v>0</v>
      </c>
      <c r="O13" s="690">
        <f>industrie!N18</f>
        <v>4528.1481779840688</v>
      </c>
      <c r="P13" s="690">
        <f>industrie!O18</f>
        <v>0</v>
      </c>
      <c r="Q13" s="691">
        <f>industrie!P18</f>
        <v>0</v>
      </c>
      <c r="R13" s="693">
        <f>SUM(C13:Q13)</f>
        <v>69307.739211070322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312469.86022465816</v>
      </c>
      <c r="D16" s="725">
        <f t="shared" ref="D16:R16" ca="1" si="0">SUM(D9:D15)</f>
        <v>1144.2857142857142</v>
      </c>
      <c r="E16" s="725">
        <f t="shared" ca="1" si="0"/>
        <v>343652.01101378066</v>
      </c>
      <c r="F16" s="725">
        <f t="shared" si="0"/>
        <v>6509.4068586034828</v>
      </c>
      <c r="G16" s="725">
        <f t="shared" ca="1" si="0"/>
        <v>47683.849068691932</v>
      </c>
      <c r="H16" s="725">
        <f t="shared" si="0"/>
        <v>0</v>
      </c>
      <c r="I16" s="725">
        <f t="shared" si="0"/>
        <v>0</v>
      </c>
      <c r="J16" s="725">
        <f t="shared" si="0"/>
        <v>0</v>
      </c>
      <c r="K16" s="725">
        <f t="shared" si="0"/>
        <v>13.435762775547591</v>
      </c>
      <c r="L16" s="725">
        <f t="shared" si="0"/>
        <v>0</v>
      </c>
      <c r="M16" s="725">
        <f t="shared" ca="1" si="0"/>
        <v>0</v>
      </c>
      <c r="N16" s="725">
        <f t="shared" si="0"/>
        <v>0</v>
      </c>
      <c r="O16" s="725">
        <f t="shared" ca="1" si="0"/>
        <v>18743.100816983104</v>
      </c>
      <c r="P16" s="725">
        <f t="shared" si="0"/>
        <v>87.546666666666667</v>
      </c>
      <c r="Q16" s="725">
        <f t="shared" si="0"/>
        <v>228.8</v>
      </c>
      <c r="R16" s="725">
        <f t="shared" ca="1" si="0"/>
        <v>730532.29612644517</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9445.5970402939784</v>
      </c>
      <c r="I19" s="690">
        <f>transport!H54</f>
        <v>0</v>
      </c>
      <c r="J19" s="690">
        <f>transport!I54</f>
        <v>0</v>
      </c>
      <c r="K19" s="690">
        <f>transport!J54</f>
        <v>0</v>
      </c>
      <c r="L19" s="690">
        <f>transport!K54</f>
        <v>0</v>
      </c>
      <c r="M19" s="690">
        <f>transport!L54</f>
        <v>0</v>
      </c>
      <c r="N19" s="690">
        <f>transport!M54</f>
        <v>420.06880352237766</v>
      </c>
      <c r="O19" s="690">
        <f>transport!N54</f>
        <v>0</v>
      </c>
      <c r="P19" s="690">
        <f>transport!O54</f>
        <v>0</v>
      </c>
      <c r="Q19" s="691">
        <f>transport!P54</f>
        <v>0</v>
      </c>
      <c r="R19" s="693">
        <f>SUM(C19:Q19)</f>
        <v>9865.6658438163558</v>
      </c>
      <c r="S19" s="67"/>
    </row>
    <row r="20" spans="1:19" s="458" customFormat="1">
      <c r="A20" s="805" t="s">
        <v>307</v>
      </c>
      <c r="B20" s="810"/>
      <c r="C20" s="690">
        <f>transport!B14</f>
        <v>31.601253671805928</v>
      </c>
      <c r="D20" s="690">
        <f>transport!C14</f>
        <v>0</v>
      </c>
      <c r="E20" s="690">
        <f>transport!D14</f>
        <v>48.27813613211417</v>
      </c>
      <c r="F20" s="690">
        <f>transport!E14</f>
        <v>1790.4516761425912</v>
      </c>
      <c r="G20" s="690">
        <f>transport!F14</f>
        <v>0</v>
      </c>
      <c r="H20" s="690">
        <f>transport!G14</f>
        <v>397716.46698101168</v>
      </c>
      <c r="I20" s="690">
        <f>transport!H14</f>
        <v>75158.253419858636</v>
      </c>
      <c r="J20" s="690">
        <f>transport!I14</f>
        <v>0</v>
      </c>
      <c r="K20" s="690">
        <f>transport!J14</f>
        <v>0</v>
      </c>
      <c r="L20" s="690">
        <f>transport!K14</f>
        <v>0</v>
      </c>
      <c r="M20" s="690">
        <f>transport!L14</f>
        <v>0</v>
      </c>
      <c r="N20" s="690">
        <f>transport!M14</f>
        <v>21378.817232795762</v>
      </c>
      <c r="O20" s="690">
        <f>transport!N14</f>
        <v>0</v>
      </c>
      <c r="P20" s="690">
        <f>transport!O14</f>
        <v>0</v>
      </c>
      <c r="Q20" s="691">
        <f>transport!P14</f>
        <v>0</v>
      </c>
      <c r="R20" s="693">
        <f>SUM(C20:Q20)</f>
        <v>496123.86869961256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31.601253671805928</v>
      </c>
      <c r="D22" s="808">
        <f t="shared" ref="D22:R22" si="1">SUM(D18:D21)</f>
        <v>0</v>
      </c>
      <c r="E22" s="808">
        <f t="shared" si="1"/>
        <v>48.27813613211417</v>
      </c>
      <c r="F22" s="808">
        <f t="shared" si="1"/>
        <v>1790.4516761425912</v>
      </c>
      <c r="G22" s="808">
        <f t="shared" si="1"/>
        <v>0</v>
      </c>
      <c r="H22" s="808">
        <f t="shared" si="1"/>
        <v>407162.06402130565</v>
      </c>
      <c r="I22" s="808">
        <f t="shared" si="1"/>
        <v>75158.253419858636</v>
      </c>
      <c r="J22" s="808">
        <f t="shared" si="1"/>
        <v>0</v>
      </c>
      <c r="K22" s="808">
        <f t="shared" si="1"/>
        <v>0</v>
      </c>
      <c r="L22" s="808">
        <f t="shared" si="1"/>
        <v>0</v>
      </c>
      <c r="M22" s="808">
        <f t="shared" si="1"/>
        <v>0</v>
      </c>
      <c r="N22" s="808">
        <f t="shared" si="1"/>
        <v>21798.886036318141</v>
      </c>
      <c r="O22" s="808">
        <f t="shared" si="1"/>
        <v>0</v>
      </c>
      <c r="P22" s="808">
        <f t="shared" si="1"/>
        <v>0</v>
      </c>
      <c r="Q22" s="808">
        <f t="shared" si="1"/>
        <v>0</v>
      </c>
      <c r="R22" s="808">
        <f t="shared" si="1"/>
        <v>505989.53454342892</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299.71567372632927</v>
      </c>
      <c r="D24" s="690">
        <f>+landbouw!C8</f>
        <v>0</v>
      </c>
      <c r="E24" s="690">
        <f>+landbouw!D8</f>
        <v>151.80629770106361</v>
      </c>
      <c r="F24" s="690">
        <f>+landbouw!E8</f>
        <v>3.7768036012440831</v>
      </c>
      <c r="G24" s="690">
        <f>+landbouw!F8</f>
        <v>1034.0941576185135</v>
      </c>
      <c r="H24" s="690">
        <f>+landbouw!G8</f>
        <v>0</v>
      </c>
      <c r="I24" s="690">
        <f>+landbouw!H8</f>
        <v>0</v>
      </c>
      <c r="J24" s="690">
        <f>+landbouw!I8</f>
        <v>0</v>
      </c>
      <c r="K24" s="690">
        <f>+landbouw!J8</f>
        <v>45.073830280906904</v>
      </c>
      <c r="L24" s="690">
        <f>+landbouw!K8</f>
        <v>0</v>
      </c>
      <c r="M24" s="690">
        <f>+landbouw!L8</f>
        <v>0</v>
      </c>
      <c r="N24" s="690">
        <f>+landbouw!M8</f>
        <v>0</v>
      </c>
      <c r="O24" s="690">
        <f>+landbouw!N8</f>
        <v>0</v>
      </c>
      <c r="P24" s="690">
        <f>+landbouw!O8</f>
        <v>0</v>
      </c>
      <c r="Q24" s="691">
        <f>+landbouw!P8</f>
        <v>0</v>
      </c>
      <c r="R24" s="693">
        <f>SUM(C24:Q24)</f>
        <v>1534.4667629280573</v>
      </c>
      <c r="S24" s="67"/>
    </row>
    <row r="25" spans="1:19" s="458" customFormat="1" ht="15" thickBot="1">
      <c r="A25" s="827" t="s">
        <v>872</v>
      </c>
      <c r="B25" s="1004"/>
      <c r="C25" s="1005">
        <f>IF(Onbekend_ele_kWh="---",0,Onbekend_ele_kWh)/1000+IF(REST_rest_ele_kWh="---",0,REST_rest_ele_kWh)/1000</f>
        <v>15184.8294401887</v>
      </c>
      <c r="D25" s="1005"/>
      <c r="E25" s="1005">
        <f>IF(onbekend_gas_kWh="---",0,onbekend_gas_kWh)/1000+IF(REST_rest_gas_kWh="---",0,REST_rest_gas_kWh)/1000</f>
        <v>17759.495330891899</v>
      </c>
      <c r="F25" s="1005"/>
      <c r="G25" s="1005"/>
      <c r="H25" s="1005"/>
      <c r="I25" s="1005"/>
      <c r="J25" s="1005"/>
      <c r="K25" s="1005"/>
      <c r="L25" s="1005"/>
      <c r="M25" s="1005"/>
      <c r="N25" s="1005"/>
      <c r="O25" s="1005"/>
      <c r="P25" s="1005"/>
      <c r="Q25" s="1006"/>
      <c r="R25" s="693">
        <f>SUM(C25:Q25)</f>
        <v>32944.324771080603</v>
      </c>
      <c r="S25" s="67"/>
    </row>
    <row r="26" spans="1:19" s="458" customFormat="1" ht="15.75" thickBot="1">
      <c r="A26" s="698" t="s">
        <v>873</v>
      </c>
      <c r="B26" s="813"/>
      <c r="C26" s="808">
        <f>SUM(C24:C25)</f>
        <v>15484.545113915028</v>
      </c>
      <c r="D26" s="808">
        <f t="shared" ref="D26:R26" si="2">SUM(D24:D25)</f>
        <v>0</v>
      </c>
      <c r="E26" s="808">
        <f t="shared" si="2"/>
        <v>17911.301628592963</v>
      </c>
      <c r="F26" s="808">
        <f t="shared" si="2"/>
        <v>3.7768036012440831</v>
      </c>
      <c r="G26" s="808">
        <f t="shared" si="2"/>
        <v>1034.0941576185135</v>
      </c>
      <c r="H26" s="808">
        <f t="shared" si="2"/>
        <v>0</v>
      </c>
      <c r="I26" s="808">
        <f t="shared" si="2"/>
        <v>0</v>
      </c>
      <c r="J26" s="808">
        <f t="shared" si="2"/>
        <v>0</v>
      </c>
      <c r="K26" s="808">
        <f t="shared" si="2"/>
        <v>45.073830280906904</v>
      </c>
      <c r="L26" s="808">
        <f t="shared" si="2"/>
        <v>0</v>
      </c>
      <c r="M26" s="808">
        <f t="shared" si="2"/>
        <v>0</v>
      </c>
      <c r="N26" s="808">
        <f t="shared" si="2"/>
        <v>0</v>
      </c>
      <c r="O26" s="808">
        <f t="shared" si="2"/>
        <v>0</v>
      </c>
      <c r="P26" s="808">
        <f t="shared" si="2"/>
        <v>0</v>
      </c>
      <c r="Q26" s="808">
        <f t="shared" si="2"/>
        <v>0</v>
      </c>
      <c r="R26" s="808">
        <f t="shared" si="2"/>
        <v>34478.791534008662</v>
      </c>
      <c r="S26" s="67"/>
    </row>
    <row r="27" spans="1:19" s="458" customFormat="1" ht="17.25" thickTop="1" thickBot="1">
      <c r="A27" s="699" t="s">
        <v>116</v>
      </c>
      <c r="B27" s="800"/>
      <c r="C27" s="700">
        <f ca="1">C22+C16+C26</f>
        <v>327986.00659224502</v>
      </c>
      <c r="D27" s="700">
        <f t="shared" ref="D27:R27" ca="1" si="3">D22+D16+D26</f>
        <v>1144.2857142857142</v>
      </c>
      <c r="E27" s="700">
        <f t="shared" ca="1" si="3"/>
        <v>361611.59077850572</v>
      </c>
      <c r="F27" s="700">
        <f t="shared" si="3"/>
        <v>8303.6353383473179</v>
      </c>
      <c r="G27" s="700">
        <f t="shared" ca="1" si="3"/>
        <v>48717.943226310446</v>
      </c>
      <c r="H27" s="700">
        <f t="shared" si="3"/>
        <v>407162.06402130565</v>
      </c>
      <c r="I27" s="700">
        <f t="shared" si="3"/>
        <v>75158.253419858636</v>
      </c>
      <c r="J27" s="700">
        <f t="shared" si="3"/>
        <v>0</v>
      </c>
      <c r="K27" s="700">
        <f t="shared" si="3"/>
        <v>58.509593056454491</v>
      </c>
      <c r="L27" s="700">
        <f t="shared" si="3"/>
        <v>0</v>
      </c>
      <c r="M27" s="700">
        <f t="shared" ca="1" si="3"/>
        <v>0</v>
      </c>
      <c r="N27" s="700">
        <f t="shared" si="3"/>
        <v>21798.886036318141</v>
      </c>
      <c r="O27" s="700">
        <f t="shared" ca="1" si="3"/>
        <v>18743.100816983104</v>
      </c>
      <c r="P27" s="700">
        <f t="shared" si="3"/>
        <v>87.546666666666667</v>
      </c>
      <c r="Q27" s="700">
        <f t="shared" si="3"/>
        <v>228.8</v>
      </c>
      <c r="R27" s="700">
        <f t="shared" ca="1" si="3"/>
        <v>1271000.6222038828</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50673.783107036092</v>
      </c>
      <c r="D40" s="690">
        <f ca="1">tertiair!C20</f>
        <v>271.93613445378156</v>
      </c>
      <c r="E40" s="690">
        <f ca="1">tertiair!D20</f>
        <v>27140.800249896514</v>
      </c>
      <c r="F40" s="690">
        <f>tertiair!E20</f>
        <v>434.51535608469521</v>
      </c>
      <c r="G40" s="690">
        <f ca="1">tertiair!F20</f>
        <v>10274.232261975067</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88795.267109446155</v>
      </c>
    </row>
    <row r="41" spans="1:18">
      <c r="A41" s="818" t="s">
        <v>225</v>
      </c>
      <c r="B41" s="825"/>
      <c r="C41" s="690">
        <f ca="1">huishoudens!B12</f>
        <v>11122.5729012218</v>
      </c>
      <c r="D41" s="690">
        <f ca="1">huishoudens!C12</f>
        <v>0</v>
      </c>
      <c r="E41" s="690">
        <f>huishoudens!D12</f>
        <v>37322.344430336474</v>
      </c>
      <c r="F41" s="690">
        <f>huishoudens!E12</f>
        <v>646.18696961109413</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49091.104301169369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6390.8943700258278</v>
      </c>
      <c r="D43" s="690">
        <f ca="1">industrie!C22</f>
        <v>0</v>
      </c>
      <c r="E43" s="690">
        <f>industrie!D22</f>
        <v>4954.5615445506992</v>
      </c>
      <c r="F43" s="690">
        <f>industrie!E22</f>
        <v>396.93303120720117</v>
      </c>
      <c r="G43" s="690">
        <f>industrie!F22</f>
        <v>2457.3554393656791</v>
      </c>
      <c r="H43" s="690">
        <f>industrie!G22</f>
        <v>0</v>
      </c>
      <c r="I43" s="690">
        <f>industrie!H22</f>
        <v>0</v>
      </c>
      <c r="J43" s="690">
        <f>industrie!I22</f>
        <v>0</v>
      </c>
      <c r="K43" s="690">
        <f>industrie!J22</f>
        <v>4.7562600225438469</v>
      </c>
      <c r="L43" s="690">
        <f>industrie!K22</f>
        <v>0</v>
      </c>
      <c r="M43" s="690">
        <f>industrie!L22</f>
        <v>0</v>
      </c>
      <c r="N43" s="690">
        <f>industrie!M22</f>
        <v>0</v>
      </c>
      <c r="O43" s="690">
        <f>industrie!N22</f>
        <v>0</v>
      </c>
      <c r="P43" s="690">
        <f>industrie!O22</f>
        <v>0</v>
      </c>
      <c r="Q43" s="767">
        <f>industrie!P22</f>
        <v>0</v>
      </c>
      <c r="R43" s="845">
        <f t="shared" ca="1" si="4"/>
        <v>14204.500645171953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68187.250378283716</v>
      </c>
      <c r="D46" s="725">
        <f t="shared" ref="D46:Q46" ca="1" si="5">SUM(D39:D45)</f>
        <v>271.93613445378156</v>
      </c>
      <c r="E46" s="725">
        <f t="shared" ca="1" si="5"/>
        <v>69417.706224783688</v>
      </c>
      <c r="F46" s="725">
        <f t="shared" si="5"/>
        <v>1477.6353569029905</v>
      </c>
      <c r="G46" s="725">
        <f t="shared" ca="1" si="5"/>
        <v>12731.587701340746</v>
      </c>
      <c r="H46" s="725">
        <f t="shared" si="5"/>
        <v>0</v>
      </c>
      <c r="I46" s="725">
        <f t="shared" si="5"/>
        <v>0</v>
      </c>
      <c r="J46" s="725">
        <f t="shared" si="5"/>
        <v>0</v>
      </c>
      <c r="K46" s="725">
        <f t="shared" si="5"/>
        <v>4.7562600225438469</v>
      </c>
      <c r="L46" s="725">
        <f t="shared" si="5"/>
        <v>0</v>
      </c>
      <c r="M46" s="725">
        <f t="shared" ca="1" si="5"/>
        <v>0</v>
      </c>
      <c r="N46" s="725">
        <f t="shared" si="5"/>
        <v>0</v>
      </c>
      <c r="O46" s="725">
        <f t="shared" ca="1" si="5"/>
        <v>0</v>
      </c>
      <c r="P46" s="725">
        <f t="shared" si="5"/>
        <v>0</v>
      </c>
      <c r="Q46" s="725">
        <f t="shared" si="5"/>
        <v>0</v>
      </c>
      <c r="R46" s="725">
        <f ca="1">SUM(R39:R45)</f>
        <v>152090.87205578748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2521.9744097584926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2521.9744097584926</v>
      </c>
    </row>
    <row r="50" spans="1:18">
      <c r="A50" s="821" t="s">
        <v>307</v>
      </c>
      <c r="B50" s="831"/>
      <c r="C50" s="696">
        <f ca="1">transport!B18</f>
        <v>6.8960334121116151</v>
      </c>
      <c r="D50" s="696">
        <f>transport!C18</f>
        <v>0</v>
      </c>
      <c r="E50" s="696">
        <f>transport!D18</f>
        <v>9.7521834986870637</v>
      </c>
      <c r="F50" s="696">
        <f>transport!E18</f>
        <v>406.43253048436821</v>
      </c>
      <c r="G50" s="696">
        <f>transport!F18</f>
        <v>0</v>
      </c>
      <c r="H50" s="696">
        <f>transport!G18</f>
        <v>106190.29668393012</v>
      </c>
      <c r="I50" s="696">
        <f>transport!H18</f>
        <v>18714.405101544802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125327.7825328701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6.8960334121116151</v>
      </c>
      <c r="D52" s="725">
        <f t="shared" ref="D52:Q52" ca="1" si="6">SUM(D48:D51)</f>
        <v>0</v>
      </c>
      <c r="E52" s="725">
        <f t="shared" si="6"/>
        <v>9.7521834986870637</v>
      </c>
      <c r="F52" s="725">
        <f t="shared" si="6"/>
        <v>406.43253048436821</v>
      </c>
      <c r="G52" s="725">
        <f t="shared" si="6"/>
        <v>0</v>
      </c>
      <c r="H52" s="725">
        <f t="shared" si="6"/>
        <v>108712.27109368861</v>
      </c>
      <c r="I52" s="725">
        <f t="shared" si="6"/>
        <v>18714.405101544802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127849.75694262859</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65.404028638088988</v>
      </c>
      <c r="D54" s="696">
        <f ca="1">+landbouw!C12</f>
        <v>0</v>
      </c>
      <c r="E54" s="696">
        <f>+landbouw!D12</f>
        <v>30.664872135614853</v>
      </c>
      <c r="F54" s="696">
        <f>+landbouw!E12</f>
        <v>0.85733441748240691</v>
      </c>
      <c r="G54" s="696">
        <f>+landbouw!F12</f>
        <v>276.10314008414309</v>
      </c>
      <c r="H54" s="696">
        <f>+landbouw!G12</f>
        <v>0</v>
      </c>
      <c r="I54" s="696">
        <f>+landbouw!H12</f>
        <v>0</v>
      </c>
      <c r="J54" s="696">
        <f>+landbouw!I12</f>
        <v>0</v>
      </c>
      <c r="K54" s="696">
        <f>+landbouw!J12</f>
        <v>15.956135919441044</v>
      </c>
      <c r="L54" s="696">
        <f>+landbouw!K12</f>
        <v>0</v>
      </c>
      <c r="M54" s="696">
        <f>+landbouw!L12</f>
        <v>0</v>
      </c>
      <c r="N54" s="696">
        <f>+landbouw!M12</f>
        <v>0</v>
      </c>
      <c r="O54" s="696">
        <f>+landbouw!N12</f>
        <v>0</v>
      </c>
      <c r="P54" s="696">
        <f>+landbouw!O12</f>
        <v>0</v>
      </c>
      <c r="Q54" s="697">
        <f>+landbouw!P12</f>
        <v>0</v>
      </c>
      <c r="R54" s="724">
        <f ca="1">SUM(C54:Q54)</f>
        <v>388.98551119477042</v>
      </c>
    </row>
    <row r="55" spans="1:18" ht="15" thickBot="1">
      <c r="A55" s="821" t="s">
        <v>872</v>
      </c>
      <c r="B55" s="831"/>
      <c r="C55" s="696">
        <f ca="1">C25*'EF ele_warmte'!B12</f>
        <v>3313.6372456698546</v>
      </c>
      <c r="D55" s="696"/>
      <c r="E55" s="696">
        <f>E25*EF_CO2_aardgas</f>
        <v>3587.4180568401639</v>
      </c>
      <c r="F55" s="696"/>
      <c r="G55" s="696"/>
      <c r="H55" s="696"/>
      <c r="I55" s="696"/>
      <c r="J55" s="696"/>
      <c r="K55" s="696"/>
      <c r="L55" s="696"/>
      <c r="M55" s="696"/>
      <c r="N55" s="696"/>
      <c r="O55" s="696"/>
      <c r="P55" s="696"/>
      <c r="Q55" s="697"/>
      <c r="R55" s="724">
        <f ca="1">SUM(C55:Q55)</f>
        <v>6901.055302510018</v>
      </c>
    </row>
    <row r="56" spans="1:18" ht="15.75" thickBot="1">
      <c r="A56" s="819" t="s">
        <v>873</v>
      </c>
      <c r="B56" s="832"/>
      <c r="C56" s="725">
        <f ca="1">SUM(C54:C55)</f>
        <v>3379.0412743079437</v>
      </c>
      <c r="D56" s="725">
        <f t="shared" ref="D56:Q56" ca="1" si="7">SUM(D54:D55)</f>
        <v>0</v>
      </c>
      <c r="E56" s="725">
        <f t="shared" si="7"/>
        <v>3618.0829289757789</v>
      </c>
      <c r="F56" s="725">
        <f t="shared" si="7"/>
        <v>0.85733441748240691</v>
      </c>
      <c r="G56" s="725">
        <f t="shared" si="7"/>
        <v>276.10314008414309</v>
      </c>
      <c r="H56" s="725">
        <f t="shared" si="7"/>
        <v>0</v>
      </c>
      <c r="I56" s="725">
        <f t="shared" si="7"/>
        <v>0</v>
      </c>
      <c r="J56" s="725">
        <f t="shared" si="7"/>
        <v>0</v>
      </c>
      <c r="K56" s="725">
        <f t="shared" si="7"/>
        <v>15.956135919441044</v>
      </c>
      <c r="L56" s="725">
        <f t="shared" si="7"/>
        <v>0</v>
      </c>
      <c r="M56" s="725">
        <f t="shared" si="7"/>
        <v>0</v>
      </c>
      <c r="N56" s="725">
        <f t="shared" si="7"/>
        <v>0</v>
      </c>
      <c r="O56" s="725">
        <f t="shared" si="7"/>
        <v>0</v>
      </c>
      <c r="P56" s="725">
        <f t="shared" si="7"/>
        <v>0</v>
      </c>
      <c r="Q56" s="726">
        <f t="shared" si="7"/>
        <v>0</v>
      </c>
      <c r="R56" s="727">
        <f ca="1">SUM(R54:R55)</f>
        <v>7290.0408137047889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71573.187686003774</v>
      </c>
      <c r="D61" s="733">
        <f t="shared" ref="D61:Q61" ca="1" si="8">D46+D52+D56</f>
        <v>271.93613445378156</v>
      </c>
      <c r="E61" s="733">
        <f t="shared" ca="1" si="8"/>
        <v>73045.541337258153</v>
      </c>
      <c r="F61" s="733">
        <f t="shared" si="8"/>
        <v>1884.9252218048412</v>
      </c>
      <c r="G61" s="733">
        <f t="shared" ca="1" si="8"/>
        <v>13007.69084142489</v>
      </c>
      <c r="H61" s="733">
        <f t="shared" si="8"/>
        <v>108712.27109368861</v>
      </c>
      <c r="I61" s="733">
        <f t="shared" si="8"/>
        <v>18714.405101544802</v>
      </c>
      <c r="J61" s="733">
        <f t="shared" si="8"/>
        <v>0</v>
      </c>
      <c r="K61" s="733">
        <f t="shared" si="8"/>
        <v>20.712395941984891</v>
      </c>
      <c r="L61" s="733">
        <f t="shared" si="8"/>
        <v>0</v>
      </c>
      <c r="M61" s="733">
        <f t="shared" ca="1" si="8"/>
        <v>0</v>
      </c>
      <c r="N61" s="733">
        <f t="shared" si="8"/>
        <v>0</v>
      </c>
      <c r="O61" s="733">
        <f t="shared" ca="1" si="8"/>
        <v>0</v>
      </c>
      <c r="P61" s="733">
        <f t="shared" si="8"/>
        <v>0</v>
      </c>
      <c r="Q61" s="733">
        <f t="shared" si="8"/>
        <v>0</v>
      </c>
      <c r="R61" s="733">
        <f ca="1">R46+R52+R56</f>
        <v>287230.66981212085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0.21822024796010328</v>
      </c>
      <c r="D63" s="776">
        <f t="shared" ca="1" si="9"/>
        <v>0.23764705882352946</v>
      </c>
      <c r="E63" s="1011">
        <f t="shared" ca="1" si="9"/>
        <v>0.20199999999999999</v>
      </c>
      <c r="F63" s="776">
        <f t="shared" si="9"/>
        <v>0.22700000000000001</v>
      </c>
      <c r="G63" s="776">
        <f t="shared" ca="1" si="9"/>
        <v>0.26700000000000002</v>
      </c>
      <c r="H63" s="776">
        <f t="shared" si="9"/>
        <v>0.26700000000000002</v>
      </c>
      <c r="I63" s="776">
        <f t="shared" si="9"/>
        <v>0.24900000000000003</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4986.7649999999994</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801</v>
      </c>
      <c r="D76" s="1021">
        <f>'lokale energieproductie'!C8</f>
        <v>942.35294117647084</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190.35529411764713</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4986.7649999999994</v>
      </c>
      <c r="C78" s="748">
        <f>SUM(C72:C77)</f>
        <v>801</v>
      </c>
      <c r="D78" s="749">
        <f t="shared" ref="D78:H78" si="10">SUM(D76:D77)</f>
        <v>942.35294117647084</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190.35529411764713</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1144.2857142857142</v>
      </c>
      <c r="D87" s="770">
        <f>'lokale energieproductie'!C17</f>
        <v>1346.2184873949582</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271.93613445378156</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1144.2857142857142</v>
      </c>
      <c r="D90" s="748">
        <f t="shared" ref="D90:H90" si="12">SUM(D87:D89)</f>
        <v>1346.2184873949582</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271.93613445378156</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4986.7649999999994</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801</v>
      </c>
      <c r="C8" s="560">
        <f>B101</f>
        <v>942.35294117647084</v>
      </c>
      <c r="D8" s="1028"/>
      <c r="E8" s="1028">
        <f>E101</f>
        <v>0</v>
      </c>
      <c r="F8" s="1029"/>
      <c r="G8" s="561"/>
      <c r="H8" s="1028">
        <f>I101</f>
        <v>0</v>
      </c>
      <c r="I8" s="1028">
        <f>G101+F101</f>
        <v>0</v>
      </c>
      <c r="J8" s="1028">
        <f>H101+D101+C101</f>
        <v>0</v>
      </c>
      <c r="K8" s="1028"/>
      <c r="L8" s="1028"/>
      <c r="M8" s="1028"/>
      <c r="N8" s="562"/>
      <c r="O8" s="563">
        <f>C8*$C$12+D8*$D$12+E8*$E$12+F8*$F$12+G8*$G$12+H8*$H$12+I8*$I$12+J8*$J$12</f>
        <v>190.35529411764713</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5787.7649999999994</v>
      </c>
      <c r="C10" s="573">
        <f t="shared" ref="C10:L10" si="0">SUM(C8:C9)</f>
        <v>942.35294117647084</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190.35529411764713</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1144.2857142857142</v>
      </c>
      <c r="C17" s="585">
        <f>B102</f>
        <v>1346.2184873949582</v>
      </c>
      <c r="D17" s="586"/>
      <c r="E17" s="586">
        <f>E102</f>
        <v>0</v>
      </c>
      <c r="F17" s="1034"/>
      <c r="G17" s="587"/>
      <c r="H17" s="585">
        <f>I102</f>
        <v>0</v>
      </c>
      <c r="I17" s="586">
        <f>G102+F102</f>
        <v>0</v>
      </c>
      <c r="J17" s="586">
        <f>H102+D102+C102</f>
        <v>0</v>
      </c>
      <c r="K17" s="586"/>
      <c r="L17" s="586"/>
      <c r="M17" s="586"/>
      <c r="N17" s="1035"/>
      <c r="O17" s="588">
        <f>C17*$C$22+E17*$E$22+H17*$H$22+I17*$I$22+J17*$J$22+D17*$D$22+F17*$F$22+G17*$G$22+K17*$K$22+L17*$L$22</f>
        <v>271.93613445378156</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1144.2857142857142</v>
      </c>
      <c r="C20" s="572">
        <f>SUM(C17:C19)</f>
        <v>1346.2184873949582</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271.93613445378156</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23094</v>
      </c>
      <c r="C28" s="791">
        <v>1932</v>
      </c>
      <c r="D28" s="644" t="s">
        <v>910</v>
      </c>
      <c r="E28" s="643" t="s">
        <v>911</v>
      </c>
      <c r="F28" s="643" t="s">
        <v>912</v>
      </c>
      <c r="G28" s="643" t="s">
        <v>913</v>
      </c>
      <c r="H28" s="643" t="s">
        <v>914</v>
      </c>
      <c r="I28" s="643" t="s">
        <v>915</v>
      </c>
      <c r="J28" s="790">
        <v>40584</v>
      </c>
      <c r="K28" s="790">
        <v>40756</v>
      </c>
      <c r="L28" s="643" t="s">
        <v>916</v>
      </c>
      <c r="M28" s="643">
        <v>178</v>
      </c>
      <c r="N28" s="643">
        <v>801</v>
      </c>
      <c r="O28" s="643">
        <v>1144.2857142857142</v>
      </c>
      <c r="P28" s="643">
        <v>2288.5714285714289</v>
      </c>
      <c r="Q28" s="643">
        <v>0</v>
      </c>
      <c r="R28" s="643">
        <v>0</v>
      </c>
      <c r="S28" s="643">
        <v>0</v>
      </c>
      <c r="T28" s="643">
        <v>0</v>
      </c>
      <c r="U28" s="643">
        <v>0</v>
      </c>
      <c r="V28" s="643">
        <v>0</v>
      </c>
      <c r="W28" s="643">
        <v>0</v>
      </c>
      <c r="X28" s="643">
        <v>1100</v>
      </c>
      <c r="Y28" s="643" t="s">
        <v>52</v>
      </c>
      <c r="Z28" s="645" t="s">
        <v>156</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178</v>
      </c>
      <c r="N58" s="601">
        <f>SUM(N28:N57)</f>
        <v>801</v>
      </c>
      <c r="O58" s="601">
        <f t="shared" ref="O58:W58" si="2">SUM(O28:O57)</f>
        <v>1144.2857142857142</v>
      </c>
      <c r="P58" s="601">
        <f t="shared" si="2"/>
        <v>2288.5714285714289</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178</v>
      </c>
      <c r="N60" s="601">
        <f ca="1">SUMIF($Z$28:AD57,"tertiair",N28:N57)</f>
        <v>801</v>
      </c>
      <c r="O60" s="601">
        <f ca="1">SUMIF($Z$28:AE57,"tertiair",O28:O57)</f>
        <v>1144.2857142857142</v>
      </c>
      <c r="P60" s="601">
        <f ca="1">SUMIF($Z$28:AF57,"tertiair",P28:P57)</f>
        <v>2288.5714285714289</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942.35294117647084</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1346.2184873949582</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50969.481545339062</v>
      </c>
      <c r="C4" s="462">
        <f>huishoudens!C8</f>
        <v>0</v>
      </c>
      <c r="D4" s="462">
        <f>huishoudens!D8</f>
        <v>184764.08133829938</v>
      </c>
      <c r="E4" s="462">
        <f>huishoudens!E8</f>
        <v>2846.6386326479915</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9267.651821283871</v>
      </c>
      <c r="O4" s="462">
        <f>huishoudens!O8</f>
        <v>85.983333333333334</v>
      </c>
      <c r="P4" s="463">
        <f>huishoudens!P8</f>
        <v>171.6</v>
      </c>
      <c r="Q4" s="464">
        <f>SUM(B4:P4)</f>
        <v>248105.43667090361</v>
      </c>
    </row>
    <row r="5" spans="1:17">
      <c r="A5" s="461" t="s">
        <v>156</v>
      </c>
      <c r="B5" s="462">
        <f ca="1">tertiair!B16</f>
        <v>229288.68289407049</v>
      </c>
      <c r="C5" s="462">
        <f ca="1">tertiair!C16</f>
        <v>1144.2857142857142</v>
      </c>
      <c r="D5" s="462">
        <f ca="1">tertiair!D16</f>
        <v>134360.3972767154</v>
      </c>
      <c r="E5" s="462">
        <f>tertiair!E16</f>
        <v>1914.1645642497585</v>
      </c>
      <c r="F5" s="462">
        <f ca="1">tertiair!F16</f>
        <v>38480.270644101372</v>
      </c>
      <c r="G5" s="462">
        <f>tertiair!G16</f>
        <v>0</v>
      </c>
      <c r="H5" s="462">
        <f>tertiair!H16</f>
        <v>0</v>
      </c>
      <c r="I5" s="462">
        <f>tertiair!I16</f>
        <v>0</v>
      </c>
      <c r="J5" s="462">
        <f>tertiair!J16</f>
        <v>0</v>
      </c>
      <c r="K5" s="462">
        <f>tertiair!K16</f>
        <v>0</v>
      </c>
      <c r="L5" s="462">
        <f ca="1">tertiair!L16</f>
        <v>0</v>
      </c>
      <c r="M5" s="462">
        <f>tertiair!M16</f>
        <v>0</v>
      </c>
      <c r="N5" s="462">
        <f ca="1">tertiair!N16</f>
        <v>4947.300817715166</v>
      </c>
      <c r="O5" s="462">
        <f>tertiair!O16</f>
        <v>1.5633333333333335</v>
      </c>
      <c r="P5" s="463">
        <f>tertiair!P16</f>
        <v>57.2</v>
      </c>
      <c r="Q5" s="461">
        <f t="shared" ref="Q5:Q14" ca="1" si="0">SUM(B5:P5)</f>
        <v>410193.86524447124</v>
      </c>
    </row>
    <row r="6" spans="1:17">
      <c r="A6" s="461" t="s">
        <v>194</v>
      </c>
      <c r="B6" s="462">
        <f>'openbare verlichting'!B8</f>
        <v>2925.2550000000001</v>
      </c>
      <c r="C6" s="462"/>
      <c r="D6" s="462"/>
      <c r="E6" s="462"/>
      <c r="F6" s="462"/>
      <c r="G6" s="462"/>
      <c r="H6" s="462"/>
      <c r="I6" s="462"/>
      <c r="J6" s="462"/>
      <c r="K6" s="462"/>
      <c r="L6" s="462"/>
      <c r="M6" s="462"/>
      <c r="N6" s="462"/>
      <c r="O6" s="462"/>
      <c r="P6" s="463"/>
      <c r="Q6" s="461">
        <f t="shared" si="0"/>
        <v>2925.2550000000001</v>
      </c>
    </row>
    <row r="7" spans="1:17">
      <c r="A7" s="461" t="s">
        <v>112</v>
      </c>
      <c r="B7" s="462">
        <f>landbouw!B8</f>
        <v>299.71567372632927</v>
      </c>
      <c r="C7" s="462">
        <f>landbouw!C8</f>
        <v>0</v>
      </c>
      <c r="D7" s="462">
        <f>landbouw!D8</f>
        <v>151.80629770106361</v>
      </c>
      <c r="E7" s="462">
        <f>landbouw!E8</f>
        <v>3.7768036012440831</v>
      </c>
      <c r="F7" s="462">
        <f>landbouw!F8</f>
        <v>1034.0941576185135</v>
      </c>
      <c r="G7" s="462">
        <f>landbouw!G8</f>
        <v>0</v>
      </c>
      <c r="H7" s="462">
        <f>landbouw!H8</f>
        <v>0</v>
      </c>
      <c r="I7" s="462">
        <f>landbouw!I8</f>
        <v>0</v>
      </c>
      <c r="J7" s="462">
        <f>landbouw!J8</f>
        <v>45.073830280906904</v>
      </c>
      <c r="K7" s="462">
        <f>landbouw!K8</f>
        <v>0</v>
      </c>
      <c r="L7" s="462">
        <f>landbouw!L8</f>
        <v>0</v>
      </c>
      <c r="M7" s="462">
        <f>landbouw!M8</f>
        <v>0</v>
      </c>
      <c r="N7" s="462">
        <f>landbouw!N8</f>
        <v>0</v>
      </c>
      <c r="O7" s="462">
        <f>landbouw!O8</f>
        <v>0</v>
      </c>
      <c r="P7" s="463">
        <f>landbouw!P8</f>
        <v>0</v>
      </c>
      <c r="Q7" s="461">
        <f t="shared" si="0"/>
        <v>1534.4667629280573</v>
      </c>
    </row>
    <row r="8" spans="1:17">
      <c r="A8" s="461" t="s">
        <v>657</v>
      </c>
      <c r="B8" s="462">
        <f>industrie!B18</f>
        <v>29286.440785248582</v>
      </c>
      <c r="C8" s="462">
        <f>industrie!C18</f>
        <v>0</v>
      </c>
      <c r="D8" s="462">
        <f>industrie!D18</f>
        <v>24527.532398765838</v>
      </c>
      <c r="E8" s="462">
        <f>industrie!E18</f>
        <v>1748.6036617057321</v>
      </c>
      <c r="F8" s="462">
        <f>industrie!F18</f>
        <v>9203.5784245905579</v>
      </c>
      <c r="G8" s="462">
        <f>industrie!G18</f>
        <v>0</v>
      </c>
      <c r="H8" s="462">
        <f>industrie!H18</f>
        <v>0</v>
      </c>
      <c r="I8" s="462">
        <f>industrie!I18</f>
        <v>0</v>
      </c>
      <c r="J8" s="462">
        <f>industrie!J18</f>
        <v>13.435762775547591</v>
      </c>
      <c r="K8" s="462">
        <f>industrie!K18</f>
        <v>0</v>
      </c>
      <c r="L8" s="462">
        <f>industrie!L18</f>
        <v>0</v>
      </c>
      <c r="M8" s="462">
        <f>industrie!M18</f>
        <v>0</v>
      </c>
      <c r="N8" s="462">
        <f>industrie!N18</f>
        <v>4528.1481779840688</v>
      </c>
      <c r="O8" s="462">
        <f>industrie!O18</f>
        <v>0</v>
      </c>
      <c r="P8" s="463">
        <f>industrie!P18</f>
        <v>0</v>
      </c>
      <c r="Q8" s="461">
        <f t="shared" si="0"/>
        <v>69307.739211070322</v>
      </c>
    </row>
    <row r="9" spans="1:17" s="467" customFormat="1">
      <c r="A9" s="465" t="s">
        <v>574</v>
      </c>
      <c r="B9" s="466">
        <f>transport!B14</f>
        <v>31.601253671805928</v>
      </c>
      <c r="C9" s="466">
        <f>transport!C14</f>
        <v>0</v>
      </c>
      <c r="D9" s="466">
        <f>transport!D14</f>
        <v>48.27813613211417</v>
      </c>
      <c r="E9" s="466">
        <f>transport!E14</f>
        <v>1790.4516761425912</v>
      </c>
      <c r="F9" s="466">
        <f>transport!F14</f>
        <v>0</v>
      </c>
      <c r="G9" s="466">
        <f>transport!G14</f>
        <v>397716.46698101168</v>
      </c>
      <c r="H9" s="466">
        <f>transport!H14</f>
        <v>75158.253419858636</v>
      </c>
      <c r="I9" s="466">
        <f>transport!I14</f>
        <v>0</v>
      </c>
      <c r="J9" s="466">
        <f>transport!J14</f>
        <v>0</v>
      </c>
      <c r="K9" s="466">
        <f>transport!K14</f>
        <v>0</v>
      </c>
      <c r="L9" s="466">
        <f>transport!L14</f>
        <v>0</v>
      </c>
      <c r="M9" s="466">
        <f>transport!M14</f>
        <v>21378.817232795762</v>
      </c>
      <c r="N9" s="466">
        <f>transport!N14</f>
        <v>0</v>
      </c>
      <c r="O9" s="466">
        <f>transport!O14</f>
        <v>0</v>
      </c>
      <c r="P9" s="466">
        <f>transport!P14</f>
        <v>0</v>
      </c>
      <c r="Q9" s="465">
        <f>SUM(B9:P9)</f>
        <v>496123.86869961256</v>
      </c>
    </row>
    <row r="10" spans="1:17">
      <c r="A10" s="461" t="s">
        <v>564</v>
      </c>
      <c r="B10" s="462">
        <f>transport!B54</f>
        <v>0</v>
      </c>
      <c r="C10" s="462">
        <f>transport!C54</f>
        <v>0</v>
      </c>
      <c r="D10" s="462">
        <f>transport!D54</f>
        <v>0</v>
      </c>
      <c r="E10" s="462">
        <f>transport!E54</f>
        <v>0</v>
      </c>
      <c r="F10" s="462">
        <f>transport!F54</f>
        <v>0</v>
      </c>
      <c r="G10" s="462">
        <f>transport!G54</f>
        <v>9445.5970402939784</v>
      </c>
      <c r="H10" s="462">
        <f>transport!H54</f>
        <v>0</v>
      </c>
      <c r="I10" s="462">
        <f>transport!I54</f>
        <v>0</v>
      </c>
      <c r="J10" s="462">
        <f>transport!J54</f>
        <v>0</v>
      </c>
      <c r="K10" s="462">
        <f>transport!K54</f>
        <v>0</v>
      </c>
      <c r="L10" s="462">
        <f>transport!L54</f>
        <v>0</v>
      </c>
      <c r="M10" s="462">
        <f>transport!M54</f>
        <v>420.06880352237766</v>
      </c>
      <c r="N10" s="462">
        <f>transport!N54</f>
        <v>0</v>
      </c>
      <c r="O10" s="462">
        <f>transport!O54</f>
        <v>0</v>
      </c>
      <c r="P10" s="463">
        <f>transport!P54</f>
        <v>0</v>
      </c>
      <c r="Q10" s="461">
        <f t="shared" si="0"/>
        <v>9865.6658438163558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15184.8294401887</v>
      </c>
      <c r="C14" s="469"/>
      <c r="D14" s="469">
        <f>'SEAP template'!E25</f>
        <v>17759.495330891899</v>
      </c>
      <c r="E14" s="469"/>
      <c r="F14" s="469"/>
      <c r="G14" s="469"/>
      <c r="H14" s="469"/>
      <c r="I14" s="469"/>
      <c r="J14" s="469"/>
      <c r="K14" s="469"/>
      <c r="L14" s="469"/>
      <c r="M14" s="469"/>
      <c r="N14" s="469"/>
      <c r="O14" s="469"/>
      <c r="P14" s="470"/>
      <c r="Q14" s="461">
        <f t="shared" si="0"/>
        <v>32944.324771080603</v>
      </c>
    </row>
    <row r="15" spans="1:17" s="474" customFormat="1">
      <c r="A15" s="471" t="s">
        <v>568</v>
      </c>
      <c r="B15" s="472">
        <f ca="1">SUM(B4:B14)</f>
        <v>327986.00659224502</v>
      </c>
      <c r="C15" s="472">
        <f t="shared" ref="C15:Q15" ca="1" si="1">SUM(C4:C14)</f>
        <v>1144.2857142857142</v>
      </c>
      <c r="D15" s="472">
        <f t="shared" ca="1" si="1"/>
        <v>361611.59077850578</v>
      </c>
      <c r="E15" s="472">
        <f t="shared" si="1"/>
        <v>8303.6353383473179</v>
      </c>
      <c r="F15" s="472">
        <f t="shared" ca="1" si="1"/>
        <v>48717.943226310446</v>
      </c>
      <c r="G15" s="472">
        <f t="shared" si="1"/>
        <v>407162.06402130565</v>
      </c>
      <c r="H15" s="472">
        <f t="shared" si="1"/>
        <v>75158.253419858636</v>
      </c>
      <c r="I15" s="472">
        <f t="shared" si="1"/>
        <v>0</v>
      </c>
      <c r="J15" s="472">
        <f t="shared" si="1"/>
        <v>58.509593056454491</v>
      </c>
      <c r="K15" s="472">
        <f t="shared" si="1"/>
        <v>0</v>
      </c>
      <c r="L15" s="472">
        <f t="shared" ca="1" si="1"/>
        <v>0</v>
      </c>
      <c r="M15" s="472">
        <f t="shared" si="1"/>
        <v>21798.886036318141</v>
      </c>
      <c r="N15" s="472">
        <f t="shared" ca="1" si="1"/>
        <v>18743.100816983104</v>
      </c>
      <c r="O15" s="472">
        <f t="shared" si="1"/>
        <v>87.546666666666667</v>
      </c>
      <c r="P15" s="472">
        <f t="shared" si="1"/>
        <v>228.8</v>
      </c>
      <c r="Q15" s="472">
        <f t="shared" ca="1" si="1"/>
        <v>1271000.6222038826</v>
      </c>
    </row>
    <row r="17" spans="1:17">
      <c r="A17" s="475" t="s">
        <v>569</v>
      </c>
      <c r="B17" s="781">
        <f ca="1">huishoudens!B10</f>
        <v>0.21822024796010331</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11122.5729012218</v>
      </c>
      <c r="C22" s="462">
        <f t="shared" ref="C22:C32" ca="1" si="3">C4*$C$17</f>
        <v>0</v>
      </c>
      <c r="D22" s="462">
        <f t="shared" ref="D22:D32" si="4">D4*$D$17</f>
        <v>37322.344430336474</v>
      </c>
      <c r="E22" s="462">
        <f t="shared" ref="E22:E32" si="5">E4*$E$17</f>
        <v>646.18696961109413</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49091.104301169369</v>
      </c>
    </row>
    <row r="23" spans="1:17">
      <c r="A23" s="461" t="s">
        <v>156</v>
      </c>
      <c r="B23" s="462">
        <f t="shared" ca="1" si="2"/>
        <v>50035.43323558956</v>
      </c>
      <c r="C23" s="462">
        <f t="shared" ca="1" si="3"/>
        <v>271.93613445378156</v>
      </c>
      <c r="D23" s="462">
        <f t="shared" ca="1" si="4"/>
        <v>27140.800249896514</v>
      </c>
      <c r="E23" s="462">
        <f t="shared" si="5"/>
        <v>434.51535608469521</v>
      </c>
      <c r="F23" s="462">
        <f t="shared" ca="1" si="6"/>
        <v>10274.232261975067</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88156.917237999616</v>
      </c>
    </row>
    <row r="24" spans="1:17">
      <c r="A24" s="461" t="s">
        <v>194</v>
      </c>
      <c r="B24" s="462">
        <f t="shared" ca="1" si="2"/>
        <v>638.34987144653201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638.34987144653201</v>
      </c>
    </row>
    <row r="25" spans="1:17">
      <c r="A25" s="461" t="s">
        <v>112</v>
      </c>
      <c r="B25" s="462">
        <f t="shared" ca="1" si="2"/>
        <v>65.404028638088988</v>
      </c>
      <c r="C25" s="462">
        <f t="shared" ca="1" si="3"/>
        <v>0</v>
      </c>
      <c r="D25" s="462">
        <f t="shared" si="4"/>
        <v>30.664872135614853</v>
      </c>
      <c r="E25" s="462">
        <f t="shared" si="5"/>
        <v>0.85733441748240691</v>
      </c>
      <c r="F25" s="462">
        <f t="shared" si="6"/>
        <v>276.10314008414309</v>
      </c>
      <c r="G25" s="462">
        <f t="shared" si="7"/>
        <v>0</v>
      </c>
      <c r="H25" s="462">
        <f t="shared" si="8"/>
        <v>0</v>
      </c>
      <c r="I25" s="462">
        <f t="shared" si="9"/>
        <v>0</v>
      </c>
      <c r="J25" s="462">
        <f t="shared" si="10"/>
        <v>15.956135919441044</v>
      </c>
      <c r="K25" s="462">
        <f t="shared" si="11"/>
        <v>0</v>
      </c>
      <c r="L25" s="462">
        <f t="shared" si="12"/>
        <v>0</v>
      </c>
      <c r="M25" s="462">
        <f t="shared" si="13"/>
        <v>0</v>
      </c>
      <c r="N25" s="462">
        <f t="shared" si="14"/>
        <v>0</v>
      </c>
      <c r="O25" s="462">
        <f t="shared" si="15"/>
        <v>0</v>
      </c>
      <c r="P25" s="463">
        <f t="shared" si="16"/>
        <v>0</v>
      </c>
      <c r="Q25" s="461">
        <f t="shared" ca="1" si="17"/>
        <v>388.98551119477042</v>
      </c>
    </row>
    <row r="26" spans="1:17">
      <c r="A26" s="461" t="s">
        <v>657</v>
      </c>
      <c r="B26" s="462">
        <f t="shared" ca="1" si="2"/>
        <v>6390.8943700258278</v>
      </c>
      <c r="C26" s="462">
        <f t="shared" ca="1" si="3"/>
        <v>0</v>
      </c>
      <c r="D26" s="462">
        <f t="shared" si="4"/>
        <v>4954.5615445506992</v>
      </c>
      <c r="E26" s="462">
        <f t="shared" si="5"/>
        <v>396.93303120720117</v>
      </c>
      <c r="F26" s="462">
        <f t="shared" si="6"/>
        <v>2457.3554393656791</v>
      </c>
      <c r="G26" s="462">
        <f t="shared" si="7"/>
        <v>0</v>
      </c>
      <c r="H26" s="462">
        <f t="shared" si="8"/>
        <v>0</v>
      </c>
      <c r="I26" s="462">
        <f t="shared" si="9"/>
        <v>0</v>
      </c>
      <c r="J26" s="462">
        <f t="shared" si="10"/>
        <v>4.7562600225438469</v>
      </c>
      <c r="K26" s="462">
        <f t="shared" si="11"/>
        <v>0</v>
      </c>
      <c r="L26" s="462">
        <f t="shared" si="12"/>
        <v>0</v>
      </c>
      <c r="M26" s="462">
        <f t="shared" si="13"/>
        <v>0</v>
      </c>
      <c r="N26" s="462">
        <f t="shared" si="14"/>
        <v>0</v>
      </c>
      <c r="O26" s="462">
        <f t="shared" si="15"/>
        <v>0</v>
      </c>
      <c r="P26" s="463">
        <f t="shared" si="16"/>
        <v>0</v>
      </c>
      <c r="Q26" s="461">
        <f t="shared" ca="1" si="17"/>
        <v>14204.500645171953</v>
      </c>
    </row>
    <row r="27" spans="1:17" s="467" customFormat="1">
      <c r="A27" s="465" t="s">
        <v>574</v>
      </c>
      <c r="B27" s="775">
        <f t="shared" ca="1" si="2"/>
        <v>6.8960334121116151</v>
      </c>
      <c r="C27" s="466">
        <f t="shared" ca="1" si="3"/>
        <v>0</v>
      </c>
      <c r="D27" s="466">
        <f t="shared" si="4"/>
        <v>9.7521834986870637</v>
      </c>
      <c r="E27" s="466">
        <f t="shared" si="5"/>
        <v>406.43253048436821</v>
      </c>
      <c r="F27" s="466">
        <f t="shared" si="6"/>
        <v>0</v>
      </c>
      <c r="G27" s="466">
        <f t="shared" si="7"/>
        <v>106190.29668393012</v>
      </c>
      <c r="H27" s="466">
        <f t="shared" si="8"/>
        <v>18714.405101544802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125327.7825328701</v>
      </c>
    </row>
    <row r="28" spans="1:17">
      <c r="A28" s="461" t="s">
        <v>564</v>
      </c>
      <c r="B28" s="462">
        <f t="shared" ca="1" si="2"/>
        <v>0</v>
      </c>
      <c r="C28" s="462">
        <f t="shared" ca="1" si="3"/>
        <v>0</v>
      </c>
      <c r="D28" s="462">
        <f t="shared" si="4"/>
        <v>0</v>
      </c>
      <c r="E28" s="462">
        <f t="shared" si="5"/>
        <v>0</v>
      </c>
      <c r="F28" s="462">
        <f t="shared" si="6"/>
        <v>0</v>
      </c>
      <c r="G28" s="462">
        <f t="shared" si="7"/>
        <v>2521.9744097584926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2521.9744097584926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3313.6372456698546</v>
      </c>
      <c r="C32" s="462">
        <f t="shared" ca="1" si="3"/>
        <v>0</v>
      </c>
      <c r="D32" s="462">
        <f t="shared" si="4"/>
        <v>3587.4180568401639</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6901.055302510018</v>
      </c>
    </row>
    <row r="33" spans="1:17" s="474" customFormat="1">
      <c r="A33" s="471" t="s">
        <v>568</v>
      </c>
      <c r="B33" s="472">
        <f ca="1">SUM(B22:B32)</f>
        <v>71573.187686003774</v>
      </c>
      <c r="C33" s="472">
        <f t="shared" ref="C33:Q33" ca="1" si="18">SUM(C22:C32)</f>
        <v>271.93613445378156</v>
      </c>
      <c r="D33" s="472">
        <f t="shared" ca="1" si="18"/>
        <v>73045.541337258153</v>
      </c>
      <c r="E33" s="472">
        <f t="shared" si="18"/>
        <v>1884.9252218048412</v>
      </c>
      <c r="F33" s="472">
        <f t="shared" ca="1" si="18"/>
        <v>13007.69084142489</v>
      </c>
      <c r="G33" s="472">
        <f t="shared" si="18"/>
        <v>108712.27109368861</v>
      </c>
      <c r="H33" s="472">
        <f t="shared" si="18"/>
        <v>18714.405101544802</v>
      </c>
      <c r="I33" s="472">
        <f t="shared" si="18"/>
        <v>0</v>
      </c>
      <c r="J33" s="472">
        <f t="shared" si="18"/>
        <v>20.712395941984891</v>
      </c>
      <c r="K33" s="472">
        <f t="shared" si="18"/>
        <v>0</v>
      </c>
      <c r="L33" s="472">
        <f t="shared" ca="1" si="18"/>
        <v>0</v>
      </c>
      <c r="M33" s="472">
        <f t="shared" si="18"/>
        <v>0</v>
      </c>
      <c r="N33" s="472">
        <f t="shared" ca="1" si="18"/>
        <v>0</v>
      </c>
      <c r="O33" s="472">
        <f t="shared" si="18"/>
        <v>0</v>
      </c>
      <c r="P33" s="472">
        <f t="shared" si="18"/>
        <v>0</v>
      </c>
      <c r="Q33" s="472">
        <f t="shared" ca="1" si="18"/>
        <v>287230.6698121209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4986.7649999999994</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801</v>
      </c>
      <c r="D8" s="1047">
        <f>'SEAP template'!D76</f>
        <v>942.35294117647084</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190.35529411764713</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4986.7649999999994</v>
      </c>
      <c r="C10" s="1051">
        <f>SUM(C4:C9)</f>
        <v>801</v>
      </c>
      <c r="D10" s="1051">
        <f t="shared" ref="D10:H10" si="0">SUM(D8:D9)</f>
        <v>942.35294117647084</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190.35529411764713</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0.21822024796010331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1144.2857142857142</v>
      </c>
      <c r="D17" s="1048">
        <f>'SEAP template'!D87</f>
        <v>1346.2184873949582</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271.93613445378156</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1144.2857142857142</v>
      </c>
      <c r="D20" s="1051">
        <f t="shared" ref="D20:H20" si="2">SUM(D17:D19)</f>
        <v>1346.2184873949582</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271.93613445378156</v>
      </c>
    </row>
    <row r="22" spans="1:16">
      <c r="A22" s="475" t="s">
        <v>896</v>
      </c>
      <c r="B22" s="781" t="s">
        <v>890</v>
      </c>
      <c r="C22" s="781">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0.21822024796010331</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2019-07-04T14:25:28Z</dcterms:modified>
</cp:coreProperties>
</file>