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1" l="1"/>
  <c r="H8" s="1"/>
  <c r="H10" s="1"/>
  <c r="H101"/>
  <c r="J8" s="1"/>
  <c r="J10" s="1"/>
  <c r="B101"/>
  <c r="C8" s="1"/>
  <c r="C10" s="1"/>
  <c r="D101"/>
  <c r="C101"/>
  <c r="F101"/>
  <c r="G101"/>
  <c r="O9"/>
  <c r="I102"/>
  <c r="H17" s="1"/>
  <c r="H20" s="1"/>
  <c r="C102"/>
  <c r="F102"/>
  <c r="B102"/>
  <c r="C17" s="1"/>
  <c r="G102"/>
  <c r="B10"/>
  <c r="B20"/>
  <c r="O19"/>
  <c r="C2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22" i="14"/>
  <c r="D22"/>
  <c r="L20" i="59"/>
  <c r="P32" i="48"/>
  <c r="E10" i="59"/>
  <c r="K78" i="14"/>
  <c r="K8" i="59"/>
  <c r="K10" s="1"/>
  <c r="E90" i="14"/>
  <c r="E18" i="59"/>
  <c r="E20" s="1"/>
  <c r="P28" i="48"/>
  <c r="Q11"/>
  <c r="O28"/>
  <c r="L22" i="14"/>
  <c r="K20" i="59"/>
  <c r="N10"/>
  <c r="D14" i="48"/>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C90" i="14"/>
  <c r="C17" i="59"/>
  <c r="C20" s="1"/>
  <c r="B90" i="14"/>
  <c r="B17" i="59"/>
  <c r="B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6"/>
  <c r="M25"/>
  <c r="M29"/>
  <c r="M22"/>
  <c r="M30"/>
  <c r="M24"/>
  <c r="M23"/>
  <c r="D29"/>
  <c r="D30"/>
  <c r="D28"/>
  <c r="D31"/>
  <c r="D24"/>
  <c r="D32"/>
  <c r="K32"/>
  <c r="K28"/>
  <c r="K26"/>
  <c r="K22"/>
  <c r="K31"/>
  <c r="K30"/>
  <c r="K29"/>
  <c r="K24"/>
  <c r="K25"/>
  <c r="K27"/>
  <c r="C24" i="14"/>
  <c r="C26" s="1"/>
  <c r="B7" i="48"/>
  <c r="P4"/>
  <c r="Q11" i="14"/>
  <c r="H29" i="48"/>
  <c r="H26"/>
  <c r="H32"/>
  <c r="H25"/>
  <c r="H30"/>
  <c r="H24"/>
  <c r="H22"/>
  <c r="H28"/>
  <c r="H23"/>
  <c r="D11" i="14"/>
  <c r="C4" i="48"/>
  <c r="G32"/>
  <c r="G26"/>
  <c r="G24"/>
  <c r="G25"/>
  <c r="G22"/>
  <c r="G30"/>
  <c r="G29"/>
  <c r="G23"/>
  <c r="K5"/>
  <c r="L10" i="14"/>
  <c r="L16" s="1"/>
  <c r="L27" s="1"/>
  <c r="L32" i="48"/>
  <c r="L28"/>
  <c r="L29"/>
  <c r="L24"/>
  <c r="L27"/>
  <c r="L31"/>
  <c r="L22"/>
  <c r="L30"/>
  <c r="P5"/>
  <c r="P23" s="1"/>
  <c r="Q10" i="14"/>
  <c r="J29" i="48"/>
  <c r="J31"/>
  <c r="J32"/>
  <c r="J27"/>
  <c r="J30"/>
  <c r="J28"/>
  <c r="J24"/>
  <c r="P11" i="14"/>
  <c r="O4" i="48"/>
  <c r="I26"/>
  <c r="I32"/>
  <c r="I25"/>
  <c r="I27"/>
  <c r="I29"/>
  <c r="I31"/>
  <c r="I22"/>
  <c r="I30"/>
  <c r="I28"/>
  <c r="I24"/>
  <c r="E11" i="14"/>
  <c r="D4" i="48"/>
  <c r="D22" s="1"/>
  <c r="C11" i="14"/>
  <c r="B4" i="48"/>
  <c r="F32"/>
  <c r="F24"/>
  <c r="F30"/>
  <c r="F31"/>
  <c r="F27"/>
  <c r="F29"/>
  <c r="F28"/>
  <c r="N31"/>
  <c r="N32"/>
  <c r="N29"/>
  <c r="N28"/>
  <c r="N30"/>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I5"/>
  <c r="J10" i="14"/>
  <c r="J16" s="1"/>
  <c r="J27" s="1"/>
  <c r="G13" i="48"/>
  <c r="H18" i="14"/>
  <c r="R18" s="1"/>
  <c r="H13" i="48"/>
  <c r="H31" s="1"/>
  <c r="I18" i="14"/>
  <c r="P22" i="48"/>
  <c r="E9"/>
  <c r="F20" i="14"/>
  <c r="F22" s="1"/>
  <c r="P22" i="16"/>
  <c r="Q43" i="14" s="1"/>
  <c r="P8" i="48"/>
  <c r="P26" s="1"/>
  <c r="Q13" i="14"/>
  <c r="Q16" s="1"/>
  <c r="Q27" s="1"/>
  <c r="D9" i="48"/>
  <c r="D27" s="1"/>
  <c r="E20" i="14"/>
  <c r="E22" s="1"/>
  <c r="O22" i="48"/>
  <c r="C20" i="14"/>
  <c r="C22" s="1"/>
  <c r="B9" i="48"/>
  <c r="P10" i="14"/>
  <c r="O5" i="48"/>
  <c r="O23" s="1"/>
  <c r="F4"/>
  <c r="F22" s="1"/>
  <c r="G11" i="14"/>
  <c r="M12" i="22"/>
  <c r="N18" i="14"/>
  <c r="M13" i="48"/>
  <c r="M31" s="1"/>
  <c r="K15"/>
  <c r="K23"/>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E7"/>
  <c r="E25" s="1"/>
  <c r="F24" i="14"/>
  <c r="F26" s="1"/>
  <c r="P15" i="48"/>
  <c r="G10"/>
  <c r="H19" i="14"/>
  <c r="R19" s="1"/>
  <c r="K11"/>
  <c r="J4" i="48"/>
  <c r="N20" i="14"/>
  <c r="N22" s="1"/>
  <c r="N27" s="1"/>
  <c r="M9" i="48"/>
  <c r="H20" i="14"/>
  <c r="H22" s="1"/>
  <c r="H27" s="1"/>
  <c r="G9" i="48"/>
  <c r="O8"/>
  <c r="O26" s="1"/>
  <c r="P13" i="14"/>
  <c r="I23" i="48"/>
  <c r="I33" s="1"/>
  <c r="I15"/>
  <c r="E27"/>
  <c r="Q13"/>
  <c r="G31"/>
  <c r="P16" i="14"/>
  <c r="P27" s="1"/>
  <c r="P33" i="48"/>
  <c r="P46" i="14"/>
  <c r="P61" s="1"/>
  <c r="Q46"/>
  <c r="Q61" s="1"/>
  <c r="Q63" s="1"/>
  <c r="O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M27" i="48"/>
  <c r="M33" s="1"/>
  <c r="M15"/>
  <c r="E22"/>
  <c r="Q4"/>
  <c r="H9"/>
  <c r="I20" i="14"/>
  <c r="I22" s="1"/>
  <c r="I27" s="1"/>
  <c r="G27" i="48"/>
  <c r="G33" s="1"/>
  <c r="G15"/>
  <c r="G28"/>
  <c r="Q10"/>
  <c r="P63" i="14"/>
  <c r="R11"/>
  <c r="J22" i="48"/>
  <c r="E61" i="14"/>
  <c r="O15" i="48"/>
  <c r="E20" i="15"/>
  <c r="F40" i="14" s="1"/>
  <c r="F10"/>
  <c r="E5" i="48"/>
  <c r="E23" s="1"/>
  <c r="K10" i="14"/>
  <c r="R10" s="1"/>
  <c r="J5" i="48"/>
  <c r="J23" s="1"/>
  <c r="M61" i="14"/>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E8" i="48"/>
  <c r="E26" s="1"/>
  <c r="E33" s="1"/>
  <c r="R20" i="14"/>
  <c r="R22" s="1"/>
  <c r="H27" i="48"/>
  <c r="H33" s="1"/>
  <c r="H15"/>
  <c r="Q9"/>
  <c r="F46" i="14"/>
  <c r="F61" s="1"/>
  <c r="E15" i="48"/>
  <c r="J22" i="16"/>
  <c r="K43" i="14" s="1"/>
  <c r="K46" s="1"/>
  <c r="K61" s="1"/>
  <c r="J8" i="48"/>
  <c r="K13" i="14"/>
  <c r="K16" s="1"/>
  <c r="K27" s="1"/>
  <c r="Q5" i="48"/>
  <c r="E63" i="14"/>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<sst xmlns="http://schemas.openxmlformats.org/spreadsheetml/2006/main" count="2429" uniqueCount="910">
  <si>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</si>
  <si>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</si>
  <si>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</si>
  <si>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</si>
  <si>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</si>
  <si>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</si>
  <si>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</si>
  <si>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</si>
  <si>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</si>
  <si>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</si>
  <si>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</si>
  <si>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</si>
  <si>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</si>
  <si>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</si>
  <si>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</si>
  <si>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</si>
  <si>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</si>
  <si>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</si>
  <si>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</si>
  <si>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</si>
  <si>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</si>
  <si>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</si>
  <si>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</si>
  <si>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</si>
  <si>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</si>
  <si>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</si>
  <si>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</si>
  <si>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</si>
  <si>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</si>
  <si>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</si>
  <si>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</si>
  <si>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</si>
  <si>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</si>
  <si>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</si>
  <si>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</si>
  <si>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</si>
  <si>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</si>
  <si>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</si>
  <si>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</si>
  <si>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</si>
  <si>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</si>
  <si>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</si>
  <si>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</si>
  <si>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</si>
  <si>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</si>
  <si>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</si>
  <si>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</si>
  <si>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</si>
  <si>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</si>
  <si>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</si>
  <si>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</si>
  <si>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</si>
  <si>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</si>
  <si>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</si>
  <si>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</si>
  <si>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</si>
  <si>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</si>
  <si>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</si>
  <si>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</si>
  <si>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</si>
  <si>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</si>
  <si>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</si>
  <si>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</si>
  <si>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</si>
  <si>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</si>
  <si>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</si>
  <si>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</si>
  <si>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</si>
  <si>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</si>
  <si>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</si>
  <si>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</si>
  <si>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</si>
  <si>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</si>
  <si>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</si>
  <si>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</si>
  <si>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</si>
  <si>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</si>
  <si>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</si>
  <si>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</si>
  <si>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</si>
  <si>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</si>
  <si>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</si>
  <si>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</si>
  <si>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</si>
  <si>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</si>
  <si>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</si>
  <si>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</si>
  <si>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</si>
  <si>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</si>
  <si>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</si>
  <si>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</si>
  <si>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</si>
  <si>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</si>
  <si>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</si>
  <si>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</si>
  <si>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</si>
  <si>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</si>
  <si>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</si>
  <si>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</si>
  <si>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</si>
  <si>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</si>
  <si>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</si>
  <si>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</si>
  <si>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</si>
  <si>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</si>
  <si>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</si>
  <si>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</si>
  <si>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</si>
  <si>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</si>
  <si>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</si>
  <si>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</si>
  <si>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</si>
  <si>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</si>
  <si>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</si>
  <si>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</si>
  <si>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</si>
  <si>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</si>
  <si>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</si>
  <si>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</si>
  <si>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</si>
  <si>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</si>
  <si>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</si>
  <si>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</si>
  <si>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</si>
  <si>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</si>
  <si>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</si>
  <si>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</si>
  <si>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</si>
  <si>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</si>
  <si>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</si>
  <si>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</si>
  <si>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</si>
  <si>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</si>
  <si>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</si>
  <si>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</si>
  <si>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</si>
  <si>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</si>
  <si>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</si>
  <si>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</si>
  <si>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</si>
  <si>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</si>
  <si>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</si>
  <si>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</si>
  <si>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</si>
  <si>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</si>
  <si>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</si>
  <si>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</si>
  <si>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</si>
  <si>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</si>
  <si>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</si>
  <si>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</si>
  <si>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</si>
  <si>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</si>
  <si>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</si>
  <si>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</si>
  <si>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</si>
  <si>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</si>
  <si>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</si>
  <si>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</si>
  <si>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</si>
  <si>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</si>
  <si>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</si>
  <si>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</si>
  <si>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</si>
  <si>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</si>
  <si>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</si>
  <si>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</si>
  <si>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</si>
  <si>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</si>
  <si>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</si>
  <si>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</si>
  <si>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</si>
  <si>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</si>
  <si>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</si>
  <si>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</si>
  <si>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</si>
  <si>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</si>
  <si>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</si>
  <si>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</si>
  <si>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</si>
  <si>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</si>
  <si>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</si>
  <si>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</si>
  <si>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</si>
  <si>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</si>
  <si>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</si>
  <si>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</si>
  <si>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</si>
  <si>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</si>
  <si>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</si>
  <si>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</si>
  <si>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</si>
  <si>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</si>
  <si>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</si>
  <si>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</si>
  <si>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</si>
  <si>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</si>
  <si>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</si>
  <si>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</si>
  <si>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</si>
  <si>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</si>
  <si>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</si>
  <si>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</si>
  <si>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</si>
  <si>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</si>
  <si>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</si>
  <si>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</si>
  <si>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</si>
  <si>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</si>
  <si>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</si>
  <si>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</si>
  <si>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</si>
  <si>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</si>
  <si>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</si>
  <si>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</si>
  <si>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</si>
  <si>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</si>
  <si>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</si>
  <si>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</si>
  <si>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</si>
  <si>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</si>
  <si>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</si>
  <si>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</si>
  <si>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</si>
  <si>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</si>
  <si>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</si>
  <si>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</si>
  <si>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</si>
  <si>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</si>
  <si>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</si>
  <si>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</si>
  <si>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</si>
  <si>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</si>
  <si>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</si>
  <si>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</si>
  <si>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</si>
  <si>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</si>
  <si>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</si>
  <si>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</si>
  <si>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</si>
  <si>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</si>
  <si>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</si>
  <si>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</si>
  <si>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</si>
  <si>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</si>
  <si>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</si>
  <si>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</si>
  <si>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</si>
  <si>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</si>
  <si>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</si>
  <si>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</si>
  <si>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</si>
  <si>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</si>
  <si>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</si>
  <si>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</si>
  <si>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</si>
  <si>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</si>
  <si>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</si>
  <si>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</si>
  <si>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</si>
  <si>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</si>
  <si>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</si>
  <si>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</si>
  <si>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</si>
  <si>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</si>
  <si>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</si>
  <si>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</si>
  <si>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</si>
  <si>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</si>
  <si>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</si>
  <si>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</si>
  <si>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</si>
  <si>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</si>
  <si>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</si>
  <si>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</si>
  <si>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</si>
  <si>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</si>
  <si>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</si>
  <si>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</si>
  <si>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</si>
  <si>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</si>
  <si>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</si>
  <si>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</si>
  <si>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</si>
  <si>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</si>
  <si>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</si>
  <si>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</si>
  <si>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</si>
  <si>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</si>
  <si>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</si>
  <si>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</si>
  <si>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</si>
  <si>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</si>
  <si>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</si>
  <si>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</si>
  <si>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</si>
  <si>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</si>
  <si>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</si>
  <si>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</si>
  <si>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</si>
  <si>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</si>
  <si>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</si>
  <si>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</si>
  <si>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</si>
  <si>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</si>
  <si>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</si>
  <si>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</si>
  <si>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</si>
  <si>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</si>
  <si>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</si>
  <si>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</si>
  <si>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</si>
  <si>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</si>
  <si>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</si>
  <si>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</si>
  <si>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</si>
  <si>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</si>
  <si>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</si>
  <si>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</si>
  <si>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</si>
  <si>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</si>
  <si>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</si>
  <si>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</si>
  <si>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</si>
  <si>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</si>
  <si>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</si>
  <si>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</si>
  <si>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</si>
  <si>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</si>
  <si>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</si>
  <si>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</si>
  <si>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</si>
  <si>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</si>
  <si>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</si>
  <si>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</si>
  <si>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</si>
  <si>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</si>
  <si>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</si>
  <si>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</si>
  <si>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</si>
  <si>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</si>
  <si>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</si>
  <si>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</si>
  <si>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</si>
  <si>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</si>
  <si>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</si>
  <si>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</si>
  <si>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</si>
  <si>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</si>
  <si>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</si>
  <si>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</si>
  <si>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</si>
  <si>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</si>
  <si>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</si>
  <si>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</si>
  <si>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</si>
  <si>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</si>
  <si>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</si>
  <si>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</si>
  <si>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</si>
  <si>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</si>
  <si>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</si>
  <si>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</si>
  <si>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</si>
  <si>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</si>
  <si>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</si>
  <si>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</si>
  <si>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</si>
  <si>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</si>
  <si>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</si>
  <si>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</si>
  <si>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</si>
  <si>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</si>
  <si>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</si>
  <si>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</si>
  <si>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</si>
  <si>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</si>
  <si>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</si>
  <si>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</si>
  <si>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</si>
  <si>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</si>
  <si>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</si>
  <si>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</si>
  <si>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</si>
  <si>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</si>
  <si>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</si>
  <si>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</si>
  <si>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</si>
  <si>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</si>
  <si>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</si>
  <si>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</si>
  <si>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</si>
  <si>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</si>
  <si>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</si>
  <si>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</si>
  <si>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</si>
  <si>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</si>
  <si>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</si>
  <si>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</si>
  <si>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</si>
  <si>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</si>
  <si>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</si>
  <si>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</si>
  <si>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</si>
  <si>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</si>
  <si>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</si>
  <si>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</si>
  <si>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</si>
  <si>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</si>
  <si>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</si>
  <si>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</si>
  <si>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</si>
  <si>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</si>
  <si>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</si>
  <si>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</si>
  <si>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</si>
  <si>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</si>
  <si>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</si>
  <si>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</si>
  <si>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</si>
  <si>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</si>
  <si>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</si>
  <si>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</si>
  <si>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</si>
  <si>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</si>
  <si>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</si>
  <si>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</si>
  <si>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</si>
  <si>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</si>
  <si>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</si>
  <si>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</si>
  <si>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</si>
  <si>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</si>
  <si>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</si>
  <si>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</si>
  <si>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</si>
  <si>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</si>
  <si>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</si>
  <si>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</si>
  <si>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</si>
  <si>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</si>
  <si>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</si>
  <si>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</si>
  <si>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</si>
  <si>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</si>
  <si>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</si>
  <si>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</si>
  <si>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</si>
  <si>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</si>
  <si>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</si>
  <si>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</si>
  <si>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</si>
  <si>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</si>
  <si>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</si>
  <si>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</si>
  <si>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</si>
  <si>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</si>
  <si>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</si>
  <si>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</si>
  <si>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</si>
  <si>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</si>
  <si>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</si>
  <si>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</si>
  <si>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</si>
  <si>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</si>
  <si>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</si>
  <si>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</si>
  <si>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</si>
  <si>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</si>
  <si>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</si>
  <si>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</si>
  <si>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</si>
  <si>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</si>
  <si>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</si>
  <si>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</si>
  <si>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</si>
  <si>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</si>
  <si>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</si>
  <si>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</si>
  <si>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</si>
  <si>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</si>
  <si>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</si>
  <si>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</si>
  <si>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</si>
  <si>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</si>
  <si>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</si>
  <si>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</si>
  <si>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</si>
  <si>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</si>
  <si>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</si>
  <si>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</si>
  <si>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</si>
  <si>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</si>
  <si>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</si>
  <si>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</si>
  <si>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</si>
  <si>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</si>
  <si>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</si>
  <si>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</si>
  <si>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</si>
  <si>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</si>
  <si>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</si>
  <si>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</si>
  <si>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</si>
  <si>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</si>
  <si>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</si>
  <si>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</si>
  <si>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</si>
  <si>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</si>
  <si>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</si>
  <si>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</si>
  <si>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</si>
  <si>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</si>
  <si>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</si>
  <si>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</si>
  <si>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</si>
  <si>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</si>
  <si>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</si>
  <si>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</si>
  <si>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</si>
  <si>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</si>
  <si>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</si>
  <si>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</si>
  <si>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</si>
  <si>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</si>
  <si>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</si>
  <si>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</si>
  <si>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</si>
  <si>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</si>
  <si>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</si>
  <si>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</si>
  <si>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</si>
  <si>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</si>
  <si>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</si>
  <si>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</si>
  <si>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</si>
  <si>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</si>
  <si>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</si>
  <si>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</si>
  <si>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</si>
  <si>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</si>
  <si>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</si>
  <si>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</si>
  <si>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</si>
  <si>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</si>
  <si>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</si>
  <si>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</si>
  <si>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</si>
  <si>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</si>
  <si>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</si>
  <si>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</si>
  <si>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</si>
  <si>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</si>
  <si>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</si>
  <si>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</si>
  <si>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</si>
  <si>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</si>
  <si>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</si>
  <si>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</si>
  <si>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</si>
  <si>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</si>
  <si>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</si>
  <si>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</si>
  <si>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</si>
  <si>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</si>
  <si>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</si>
  <si>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</si>
  <si>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</si>
  <si>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</si>
  <si>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</si>
  <si>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</si>
  <si>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</si>
  <si>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</si>
  <si>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</si>
  <si>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</si>
  <si>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</si>
  <si>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</si>
  <si>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</si>
  <si>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</si>
  <si>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</si>
  <si>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</si>
  <si>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</si>
  <si>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</si>
  <si>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</si>
  <si>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</si>
  <si>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</si>
  <si>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</si>
  <si>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</si>
  <si>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</si>
  <si>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</si>
  <si>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</si>
  <si>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</si>
  <si>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</si>
  <si>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</si>
  <si>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</si>
  <si>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</si>
  <si>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</si>
  <si>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</si>
  <si>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</si>
  <si>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</si>
  <si>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</si>
  <si>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</si>
  <si>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</si>
  <si>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</si>
  <si>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</si>
  <si>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</si>
  <si>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</si>
  <si>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</si>
  <si>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</si>
  <si>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</si>
  <si>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</si>
  <si>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</si>
  <si>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</si>
  <si>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</si>
  <si>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</si>
  <si>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</si>
  <si>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</si>
  <si>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</si>
  <si>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</si>
  <si>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</si>
  <si>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</si>
  <si>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</si>
  <si>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</si>
  <si>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</si>
  <si>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</si>
  <si>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</si>
  <si>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</si>
  <si>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</si>
  <si>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</si>
  <si>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</si>
  <si>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</si>
  <si>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</si>
  <si>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</si>
  <si>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</si>
  <si>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</si>
  <si>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</si>
  <si>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</si>
  <si>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</si>
  <si>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</si>
  <si>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</si>
  <si>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</si>
  <si>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</si>
  <si>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</si>
  <si>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</si>
  <si>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</si>
  <si>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</si>
  <si>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</si>
  <si>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</si>
  <si>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</si>
  <si>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</si>
  <si>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</si>
  <si>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</si>
  <si>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</si>
  <si>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</si>
  <si>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</si>
  <si>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</si>
  <si>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</si>
  <si>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</si>
  <si>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</si>
  <si>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</si>
  <si>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</si>
  <si>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</si>
  <si>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</si>
  <si>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</si>
  <si>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</si>
  <si>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</si>
  <si>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</si>
  <si>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</si>
  <si>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</si>
  <si>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</si>
  <si>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</si>
  <si>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</si>
  <si>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</si>
  <si>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</si>
  <si>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</si>
  <si>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</si>
  <si>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</si>
  <si>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</si>
  <si>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</si>
  <si>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</si>
  <si>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</si>
  <si>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</si>
  <si>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</si>
  <si>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</si>
  <si>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</si>
  <si>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</si>
  <si>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</si>
  <si>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</si>
  <si>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</si>
  <si>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</si>
  <si>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</si>
  <si>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</si>
  <si>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</si>
  <si>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</si>
  <si>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</si>
  <si>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</si>
  <si>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</si>
  <si>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</si>
  <si>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</si>
  <si>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</si>
  <si>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</si>
  <si>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</si>
  <si>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</si>
  <si>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</si>
  <si>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</si>
  <si>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</si>
  <si>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</si>
  <si>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</si>
  <si>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</si>
  <si>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</si>
  <si>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</si>
  <si>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</si>
  <si>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</si>
  <si>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</si>
  <si>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</si>
  <si>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</si>
  <si>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</si>
  <si>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</si>
  <si>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</si>
  <si>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</si>
  <si>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</si>
  <si>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</si>
  <si>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</si>
  <si>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</si>
  <si>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</si>
  <si>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</si>
  <si>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</si>
  <si>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</si>
  <si>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</si>
  <si>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</si>
  <si>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</si>
  <si>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</si>
  <si>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</si>
  <si>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</si>
  <si>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</si>
  <si>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</si>
  <si>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</si>
  <si>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</si>
  <si>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</si>
  <si>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</si>
  <si>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</si>
  <si>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</si>
  <si>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</si>
  <si>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</si>
  <si>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</si>
  <si>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</si>
  <si>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</si>
  <si>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</si>
  <si>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</si>
  <si>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</si>
  <si>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</si>
  <si>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</si>
  <si>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</si>
  <si>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</si>
  <si>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</si>
  <si>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</si>
  <si>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</si>
  <si>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</si>
  <si>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</si>
  <si>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</si>
  <si>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</si>
  <si>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</si>
  <si>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</si>
  <si>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</si>
  <si>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</si>
  <si>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</si>
  <si>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</si>
  <si>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</si>
  <si>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</si>
  <si>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</si>
  <si>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</si>
  <si>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</si>
  <si>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</si>
  <si>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</si>
  <si>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</si>
  <si>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</si>
  <si>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</si>
  <si>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</si>
  <si>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</si>
  <si>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</si>
  <si>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</si>
  <si>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</si>
  <si>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</si>
  <si>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</si>
  <si>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</si>
  <si>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</si>
  <si>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</si>
  <si>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</si>
  <si>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</si>
  <si>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</si>
  <si>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</si>
  <si>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</si>
  <si>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</si>
  <si>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</si>
  <si>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</si>
  <si>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</si>
  <si>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</si>
  <si>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</si>
  <si>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</si>
  <si>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</si>
  <si>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</si>
  <si>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</si>
  <si>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</si>
  <si>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</si>
  <si>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</si>
  <si>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</si>
  <si>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</si>
  <si>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</si>
  <si>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</si>
  <si>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</si>
  <si>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</si>
  <si>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</si>
  <si>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</si>
  <si>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</si>
  <si>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</si>
  <si>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</si>
  <si>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</si>
  <si>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</si>
  <si>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</si>
  <si>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</si>
  <si>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</si>
  <si>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</si>
  <si>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</si>
  <si>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</si>
  <si>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</si>
  <si>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</si>
  <si>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</si>
  <si>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</si>
  <si>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</si>
  <si>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</si>
  <si>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</si>
  <si>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</si>
  <si>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</si>
  <si>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</si>
  <si>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</si>
  <si>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</si>
  <si>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</si>
  <si>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</si>
  <si>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</si>
  <si>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</si>
  <si>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</si>
  <si>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</si>
  <si>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</si>
  <si>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</si>
  <si>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</si>
  <si>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</si>
  <si>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</si>
  <si>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</si>
  <si>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</si>
  <si>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</si>
  <si>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</si>
  <si>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</si>
  <si>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</si>
  <si>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</si>
  <si>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</si>
  <si>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</si>
  <si>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</si>
  <si>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</si>
  <si>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</si>
  <si>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</si>
  <si>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</si>
  <si>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</si>
  <si>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</si>
  <si>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</si>
  <si>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</si>
  <si>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</si>
  <si>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</si>
  <si>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</si>
  <si>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</si>
  <si>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</si>
  <si>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</si>
  <si>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</si>
  <si>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</si>
  <si>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</si>
  <si>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</si>
  <si>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</si>
  <si>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</si>
  <si>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</si>
  <si>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</si>
  <si>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</si>
  <si>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</si>
  <si>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</si>
  <si>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</si>
  <si>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</si>
  <si>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</si>
  <si>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</si>
  <si>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</si>
  <si>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</si>
  <si>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</si>
  <si>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</si>
  <si>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</si>
  <si>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</si>
  <si>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</si>
  <si>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</si>
  <si>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</si>
  <si>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</si>
  <si>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</si>
  <si>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</si>
  <si>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</si>
  <si>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</si>
  <si>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</si>
  <si>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</si>
  <si>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</si>
  <si>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13036</t>
  </si>
  <si>
    <t>RETIE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</si>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</sst>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120356.02556093126</c:v>
                </c:pt>
                <c:pt idx="1">
                  <c:v>23412.930102365313</c:v>
                </c:pt>
                <c:pt idx="2">
                  <c:v>557.28300000000002</c:v>
                </c:pt>
                <c:pt idx="3">
                  <c:v>10596.74897354741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120356.02556093126</c:v>
                </c:pt>
                <c:pt idx="1">
                  <c:v>23412.930102365313</c:v>
                </c:pt>
                <c:pt idx="2">
                  <c:v>557.28300000000002</c:v>
                </c:pt>
                <c:pt idx="3">
                  <c:v>10596.74897354741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19778.501419664921</c:v>
                </c:pt>
                <c:pt idx="2">
                  <c:v>4578.8508739617482</c:v>
                </c:pt>
                <c:pt idx="3">
                  <c:v>108.54971136847828</c:v>
                </c:pt>
                <c:pt idx="4">
                  <c:v>2677.5987874006873</c:v>
                </c:pt>
                <c:pt idx="5">
                  <c:v>1311.0333943583746</c:v>
                </c:pt>
                <c:pt idx="6">
                  <c:v>29217.139463292006</c:v>
                </c:pt>
                <c:pt idx="7">
                  <c:v>179.5706477214093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506816"/>
      </c:barChart>
      <c:catAx>
        <c:axId val="181488640"/>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19778.501419664921</c:v>
                </c:pt>
                <c:pt idx="2">
                  <c:v>4578.8508739617482</c:v>
                </c:pt>
                <c:pt idx="3">
                  <c:v>108.54971136847828</c:v>
                </c:pt>
                <c:pt idx="4">
                  <c:v>2677.5987874006873</c:v>
                </c:pt>
                <c:pt idx="5">
                  <c:v>1311.0333943583746</c:v>
                </c:pt>
                <c:pt idx="6">
                  <c:v>29217.139463292006</c:v>
                </c:pt>
                <c:pt idx="7">
                  <c:v>179.5706477214093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13036</v>
      </c>
      <c r="B6" s="398"/>
      <c r="C6" s="399"/>
    </row>
    <row r="7" spans="1:7" s="396" customFormat="1" ht="15.75" customHeight="1">
      <c r="A7" s="400" t="str">
        <f>txtMunicipality</f>
        <v>RETIE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0.19478381965442743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0.19478381965442743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4312</v>
      </c>
      <c r="C9" s="338">
        <v>4868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2770</v>
      </c>
    </row>
    <row r="15" spans="1:6">
      <c r="A15" s="1295" t="s">
        <v>184</v>
      </c>
      <c r="B15" s="335">
        <v>11913</v>
      </c>
    </row>
    <row r="16" spans="1:6">
      <c r="A16" s="1295" t="s">
        <v>6</v>
      </c>
      <c r="B16" s="335">
        <v>1680</v>
      </c>
    </row>
    <row r="17" spans="1:6">
      <c r="A17" s="1295" t="s">
        <v>7</v>
      </c>
      <c r="B17" s="335">
        <v>292</v>
      </c>
    </row>
    <row r="18" spans="1:6">
      <c r="A18" s="1295" t="s">
        <v>8</v>
      </c>
      <c r="B18" s="335">
        <v>978</v>
      </c>
    </row>
    <row r="19" spans="1:6">
      <c r="A19" s="1295" t="s">
        <v>9</v>
      </c>
      <c r="B19" s="335">
        <v>903</v>
      </c>
    </row>
    <row r="20" spans="1:6">
      <c r="A20" s="1295" t="s">
        <v>10</v>
      </c>
      <c r="B20" s="335">
        <v>412</v>
      </c>
    </row>
    <row r="21" spans="1:6">
      <c r="A21" s="1295" t="s">
        <v>11</v>
      </c>
      <c r="B21" s="335">
        <v>7548</v>
      </c>
    </row>
    <row r="22" spans="1:6">
      <c r="A22" s="1295" t="s">
        <v>12</v>
      </c>
      <c r="B22" s="335">
        <v>14909</v>
      </c>
    </row>
    <row r="23" spans="1:6">
      <c r="A23" s="1295" t="s">
        <v>13</v>
      </c>
      <c r="B23" s="335">
        <v>352</v>
      </c>
    </row>
    <row r="24" spans="1:6">
      <c r="A24" s="1295" t="s">
        <v>14</v>
      </c>
      <c r="B24" s="335">
        <v>14</v>
      </c>
    </row>
    <row r="25" spans="1:6">
      <c r="A25" s="1295" t="s">
        <v>15</v>
      </c>
      <c r="B25" s="335">
        <v>1892</v>
      </c>
    </row>
    <row r="26" spans="1:6">
      <c r="A26" s="1295" t="s">
        <v>16</v>
      </c>
      <c r="B26" s="335">
        <v>506</v>
      </c>
    </row>
    <row r="27" spans="1:6">
      <c r="A27" s="1295" t="s">
        <v>17</v>
      </c>
      <c r="B27" s="335">
        <v>1462</v>
      </c>
    </row>
    <row r="28" spans="1:6" s="341" customFormat="1">
      <c r="A28" s="1296" t="s">
        <v>18</v>
      </c>
      <c r="B28" s="1296">
        <v>69516</v>
      </c>
    </row>
    <row r="29" spans="1:6">
      <c r="A29" s="1296" t="s">
        <v>906</v>
      </c>
      <c r="B29" s="1296">
        <v>88</v>
      </c>
      <c r="C29" s="341"/>
      <c r="D29" s="341"/>
      <c r="E29" s="341"/>
      <c r="F29" s="341"/>
    </row>
    <row r="30" spans="1:6">
      <c r="A30" s="1291" t="s">
        <v>907</v>
      </c>
      <c r="B30" s="1291">
        <v>46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10963</v>
      </c>
    </row>
    <row r="39" spans="1:6">
      <c r="A39" s="1295" t="s">
        <v>30</v>
      </c>
      <c r="B39" s="1295" t="s">
        <v>31</v>
      </c>
      <c r="C39" s="335">
        <v>2582</v>
      </c>
      <c r="D39" s="335">
        <v>54077207.615140803</v>
      </c>
      <c r="E39" s="335">
        <v>4280</v>
      </c>
      <c r="F39" s="335">
        <v>17036201.236991901</v>
      </c>
    </row>
    <row r="40" spans="1:6">
      <c r="A40" s="1295" t="s">
        <v>30</v>
      </c>
      <c r="B40" s="1295" t="s">
        <v>29</v>
      </c>
      <c r="C40" s="335">
        <v>0</v>
      </c>
      <c r="D40" s="335">
        <v>0</v>
      </c>
      <c r="E40" s="335">
        <v>0</v>
      </c>
      <c r="F40" s="335">
        <v>0</v>
      </c>
    </row>
    <row r="41" spans="1:6">
      <c r="A41" s="1295" t="s">
        <v>32</v>
      </c>
      <c r="B41" s="1295" t="s">
        <v>33</v>
      </c>
      <c r="C41" s="335">
        <v>26</v>
      </c>
      <c r="D41" s="335">
        <v>973887.09465143201</v>
      </c>
      <c r="E41" s="335">
        <v>67</v>
      </c>
      <c r="F41" s="335">
        <v>1073855.9072262901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37273.143639870003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43810.755285325999</v>
      </c>
    </row>
    <row r="48" spans="1:6">
      <c r="A48" s="1295" t="s">
        <v>32</v>
      </c>
      <c r="B48" s="1295" t="s">
        <v>29</v>
      </c>
      <c r="C48" s="335">
        <v>13</v>
      </c>
      <c r="D48" s="335">
        <v>672851.29936023802</v>
      </c>
      <c r="E48" s="335">
        <v>21</v>
      </c>
      <c r="F48" s="335">
        <v>557824.75369132904</v>
      </c>
    </row>
    <row r="49" spans="1:6">
      <c r="A49" s="1295" t="s">
        <v>32</v>
      </c>
      <c r="B49" s="1295" t="s">
        <v>40</v>
      </c>
      <c r="C49" s="335">
        <v>0</v>
      </c>
      <c r="D49" s="335">
        <v>0</v>
      </c>
      <c r="E49" s="335">
        <v>0</v>
      </c>
      <c r="F49" s="335">
        <v>0</v>
      </c>
    </row>
    <row r="50" spans="1:6">
      <c r="A50" s="1295" t="s">
        <v>32</v>
      </c>
      <c r="B50" s="1295" t="s">
        <v>41</v>
      </c>
      <c r="C50" s="335">
        <v>5</v>
      </c>
      <c r="D50" s="335">
        <v>468005.48393692198</v>
      </c>
      <c r="E50" s="335">
        <v>9</v>
      </c>
      <c r="F50" s="335">
        <v>472302.80597630201</v>
      </c>
    </row>
    <row r="51" spans="1:6">
      <c r="A51" s="1295" t="s">
        <v>42</v>
      </c>
      <c r="B51" s="1295" t="s">
        <v>43</v>
      </c>
      <c r="C51" s="335">
        <v>3</v>
      </c>
      <c r="D51" s="335">
        <v>124545.399937479</v>
      </c>
      <c r="E51" s="335">
        <v>98</v>
      </c>
      <c r="F51" s="335">
        <v>2123989.23889679</v>
      </c>
    </row>
    <row r="52" spans="1:6">
      <c r="A52" s="1295" t="s">
        <v>42</v>
      </c>
      <c r="B52" s="1295" t="s">
        <v>29</v>
      </c>
      <c r="C52" s="335">
        <v>6</v>
      </c>
      <c r="D52" s="335">
        <v>189414.34503032701</v>
      </c>
      <c r="E52" s="335">
        <v>9</v>
      </c>
      <c r="F52" s="335">
        <v>111653.45683742801</v>
      </c>
    </row>
    <row r="53" spans="1:6">
      <c r="A53" s="1295" t="s">
        <v>44</v>
      </c>
      <c r="B53" s="1295" t="s">
        <v>45</v>
      </c>
      <c r="C53" s="335">
        <v>52</v>
      </c>
      <c r="D53" s="335">
        <v>1633658.3216039899</v>
      </c>
      <c r="E53" s="335">
        <v>129</v>
      </c>
      <c r="F53" s="335">
        <v>568631.41765607998</v>
      </c>
    </row>
    <row r="54" spans="1:6">
      <c r="A54" s="1295" t="s">
        <v>46</v>
      </c>
      <c r="B54" s="1295" t="s">
        <v>47</v>
      </c>
      <c r="C54" s="335">
        <v>0</v>
      </c>
      <c r="D54" s="335">
        <v>0</v>
      </c>
      <c r="E54" s="335">
        <v>1</v>
      </c>
      <c r="F54" s="335">
        <v>557283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383302.27747737902</v>
      </c>
      <c r="E57" s="335">
        <v>72</v>
      </c>
      <c r="F57" s="335">
        <v>1291865.3894809301</v>
      </c>
    </row>
    <row r="58" spans="1:6">
      <c r="A58" s="1295" t="s">
        <v>49</v>
      </c>
      <c r="B58" s="1295" t="s">
        <v>51</v>
      </c>
      <c r="C58" s="335">
        <v>9</v>
      </c>
      <c r="D58" s="335">
        <v>358980.35251729999</v>
      </c>
      <c r="E58" s="335">
        <v>17</v>
      </c>
      <c r="F58" s="335">
        <v>141696.469355682</v>
      </c>
    </row>
    <row r="59" spans="1:6">
      <c r="A59" s="1295" t="s">
        <v>49</v>
      </c>
      <c r="B59" s="1295" t="s">
        <v>52</v>
      </c>
      <c r="C59" s="335">
        <v>31</v>
      </c>
      <c r="D59" s="335">
        <v>1442105.3734611601</v>
      </c>
      <c r="E59" s="335">
        <v>98</v>
      </c>
      <c r="F59" s="335">
        <v>2631565.8043112699</v>
      </c>
    </row>
    <row r="60" spans="1:6">
      <c r="A60" s="1295" t="s">
        <v>49</v>
      </c>
      <c r="B60" s="1295" t="s">
        <v>53</v>
      </c>
      <c r="C60" s="335">
        <v>38</v>
      </c>
      <c r="D60" s="335">
        <v>2286247.9359492902</v>
      </c>
      <c r="E60" s="335">
        <v>50</v>
      </c>
      <c r="F60" s="335">
        <v>1708105.8846390501</v>
      </c>
    </row>
    <row r="61" spans="1:6">
      <c r="A61" s="1295" t="s">
        <v>49</v>
      </c>
      <c r="B61" s="1295" t="s">
        <v>54</v>
      </c>
      <c r="C61" s="335">
        <v>81</v>
      </c>
      <c r="D61" s="335">
        <v>3893330.30894945</v>
      </c>
      <c r="E61" s="335">
        <v>138</v>
      </c>
      <c r="F61" s="335">
        <v>1435988.10309604</v>
      </c>
    </row>
    <row r="62" spans="1:6">
      <c r="A62" s="1295" t="s">
        <v>49</v>
      </c>
      <c r="B62" s="1295" t="s">
        <v>55</v>
      </c>
      <c r="C62" s="335">
        <v>7</v>
      </c>
      <c r="D62" s="335">
        <v>953263.73911732296</v>
      </c>
      <c r="E62" s="335">
        <v>9</v>
      </c>
      <c r="F62" s="335">
        <v>123699.83977974</v>
      </c>
    </row>
    <row r="63" spans="1:6">
      <c r="A63" s="1295" t="s">
        <v>49</v>
      </c>
      <c r="B63" s="1295" t="s">
        <v>29</v>
      </c>
      <c r="C63" s="335">
        <v>83</v>
      </c>
      <c r="D63" s="335">
        <v>3513018.2174908002</v>
      </c>
      <c r="E63" s="335">
        <v>84</v>
      </c>
      <c r="F63" s="335">
        <v>1384461.99306912</v>
      </c>
    </row>
    <row r="64" spans="1:6">
      <c r="A64" s="1295" t="s">
        <v>56</v>
      </c>
      <c r="B64" s="1295" t="s">
        <v>57</v>
      </c>
      <c r="C64" s="335">
        <v>0</v>
      </c>
      <c r="D64" s="335">
        <v>0</v>
      </c>
      <c r="E64" s="335">
        <v>0</v>
      </c>
      <c r="F64" s="335">
        <v>0</v>
      </c>
    </row>
    <row r="65" spans="1:6">
      <c r="A65" s="1295" t="s">
        <v>56</v>
      </c>
      <c r="B65" s="1295" t="s">
        <v>29</v>
      </c>
      <c r="C65" s="335">
        <v>1</v>
      </c>
      <c r="D65" s="335">
        <v>7043.2009400205998</v>
      </c>
      <c r="E65" s="335">
        <v>1</v>
      </c>
      <c r="F65" s="335">
        <v>7460.0007201024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48479.056636713598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76781309</v>
      </c>
      <c r="E73" s="335">
        <v>80146329.03526558</v>
      </c>
    </row>
    <row r="74" spans="1:6">
      <c r="A74" s="1295" t="s">
        <v>64</v>
      </c>
      <c r="B74" s="1295" t="s">
        <v>727</v>
      </c>
      <c r="C74" s="1295" t="s">
        <v>728</v>
      </c>
      <c r="D74" s="335">
        <v>6071466.3343637381</v>
      </c>
      <c r="E74" s="335">
        <v>6495786.3974070763</v>
      </c>
    </row>
    <row r="75" spans="1:6">
      <c r="A75" s="1295" t="s">
        <v>65</v>
      </c>
      <c r="B75" s="1295" t="s">
        <v>725</v>
      </c>
      <c r="C75" s="1295" t="s">
        <v>729</v>
      </c>
      <c r="D75" s="335">
        <v>14239436</v>
      </c>
      <c r="E75" s="335">
        <v>14863488.482616855</v>
      </c>
    </row>
    <row r="76" spans="1:6">
      <c r="A76" s="1295" t="s">
        <v>65</v>
      </c>
      <c r="B76" s="1295" t="s">
        <v>727</v>
      </c>
      <c r="C76" s="1295" t="s">
        <v>730</v>
      </c>
      <c r="D76" s="335">
        <v>486984.33436373796</v>
      </c>
      <c r="E76" s="335">
        <v>527496.1509162134</v>
      </c>
    </row>
    <row r="77" spans="1:6">
      <c r="A77" s="1295" t="s">
        <v>66</v>
      </c>
      <c r="B77" s="1295" t="s">
        <v>725</v>
      </c>
      <c r="C77" s="1295" t="s">
        <v>731</v>
      </c>
      <c r="D77" s="335">
        <v>23499994</v>
      </c>
      <c r="E77" s="335">
        <v>27018079.524835251</v>
      </c>
    </row>
    <row r="78" spans="1:6">
      <c r="A78" s="1291" t="s">
        <v>66</v>
      </c>
      <c r="B78" s="1291" t="s">
        <v>727</v>
      </c>
      <c r="C78" s="1291" t="s">
        <v>732</v>
      </c>
      <c r="D78" s="1291">
        <v>8990408</v>
      </c>
      <c r="E78" s="1291">
        <v>10238661.071003854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185581.33127252402</v>
      </c>
      <c r="C83" s="335">
        <v>183342.27336965463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3501.0830000000001</v>
      </c>
    </row>
    <row r="92" spans="1:6">
      <c r="A92" s="1291" t="s">
        <v>69</v>
      </c>
      <c r="B92" s="338">
        <v>627.97080000000005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1341</v>
      </c>
    </row>
    <row r="98" spans="1:6">
      <c r="A98" s="1295" t="s">
        <v>72</v>
      </c>
      <c r="B98" s="335">
        <v>4</v>
      </c>
    </row>
    <row r="99" spans="1:6">
      <c r="A99" s="1295" t="s">
        <v>73</v>
      </c>
      <c r="B99" s="335">
        <v>27</v>
      </c>
    </row>
    <row r="100" spans="1:6">
      <c r="A100" s="1295" t="s">
        <v>74</v>
      </c>
      <c r="B100" s="335">
        <v>137</v>
      </c>
    </row>
    <row r="101" spans="1:6">
      <c r="A101" s="1295" t="s">
        <v>75</v>
      </c>
      <c r="B101" s="335">
        <v>112</v>
      </c>
    </row>
    <row r="102" spans="1:6">
      <c r="A102" s="1295" t="s">
        <v>76</v>
      </c>
      <c r="B102" s="335">
        <v>26</v>
      </c>
    </row>
    <row r="103" spans="1:6">
      <c r="A103" s="1295" t="s">
        <v>77</v>
      </c>
      <c r="B103" s="335">
        <v>61</v>
      </c>
    </row>
    <row r="104" spans="1:6">
      <c r="A104" s="1295" t="s">
        <v>78</v>
      </c>
      <c r="B104" s="335">
        <v>1935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21</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139</v>
      </c>
    </row>
    <row r="130" spans="1:6">
      <c r="A130" s="1295" t="s">
        <v>295</v>
      </c>
      <c r="B130" s="335">
        <v>4</v>
      </c>
    </row>
    <row r="131" spans="1:6">
      <c r="A131" s="1295" t="s">
        <v>296</v>
      </c>
      <c r="B131" s="335">
        <v>2</v>
      </c>
    </row>
    <row r="132" spans="1:6">
      <c r="A132" s="1291" t="s">
        <v>297</v>
      </c>
      <c r="B132" s="338">
        <v>23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34807.54548418065</v>
      </c>
      <c r="C3" s="43" t="s">
        <v>170</v>
      </c>
      <c r="D3" s="43"/>
      <c r="E3" s="156"/>
      <c r="F3" s="43"/>
      <c r="G3" s="43"/>
      <c r="H3" s="43"/>
      <c r="I3" s="43"/>
      <c r="J3" s="43"/>
      <c r="K3" s="96"/>
    </row>
    <row r="4" spans="1:11">
      <c r="A4" s="366" t="s">
        <v>171</v>
      </c>
      <c r="B4" s="49">
        <f>IF(ISERROR('SEAP template'!B78),0,'SEAP template'!B78)</f>
        <v>4129.0537999999997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0.19478381965442743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557.28300000000002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557.28300000000002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0.19478381965442743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108.54971136847828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17036.201236991899</v>
      </c>
      <c r="C5" s="17">
        <f>IF(ISERROR('Eigen informatie GS &amp; warmtenet'!B57),0,'Eigen informatie GS &amp; warmtenet'!B57)</f>
        <v>0</v>
      </c>
      <c r="D5" s="30">
        <f>(SUM(HH_hh_gas_kWh,HH_rest_gas_kWh)/1000)*0.902</f>
        <v>48777.641268857005</v>
      </c>
      <c r="E5" s="17">
        <f>B46*B57</f>
        <v>1769.1889497774307</v>
      </c>
      <c r="F5" s="17">
        <f>B51*B62</f>
        <v>20687.195965342253</v>
      </c>
      <c r="G5" s="18"/>
      <c r="H5" s="17"/>
      <c r="I5" s="17"/>
      <c r="J5" s="17">
        <f>B50*B61+C50*C61</f>
        <v>0</v>
      </c>
      <c r="K5" s="17"/>
      <c r="L5" s="17"/>
      <c r="M5" s="17"/>
      <c r="N5" s="17">
        <f>B48*B59+C48*C59</f>
        <v>27512.845139962679</v>
      </c>
      <c r="O5" s="17">
        <f>B69*B70*B71</f>
        <v>232.9366666666667</v>
      </c>
      <c r="P5" s="17">
        <f>B77*B78*B79/1000-B77*B78*B79/1000/B80</f>
        <v>838.93333333333339</v>
      </c>
    </row>
    <row r="6" spans="1:16">
      <c r="A6" s="16" t="s">
        <v>634</v>
      </c>
      <c r="B6" s="783">
        <f>kWh_PV_kleiner_dan_10kW</f>
        <v>3501.0830000000001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20537.284236991898</v>
      </c>
      <c r="C8" s="21">
        <f>C5</f>
        <v>0</v>
      </c>
      <c r="D8" s="21">
        <f>D5</f>
        <v>48777.641268857005</v>
      </c>
      <c r="E8" s="21">
        <f>E5</f>
        <v>1769.1889497774307</v>
      </c>
      <c r="F8" s="21">
        <f>F5</f>
        <v>20687.195965342253</v>
      </c>
      <c r="G8" s="21"/>
      <c r="H8" s="21"/>
      <c r="I8" s="21"/>
      <c r="J8" s="21">
        <f>J5</f>
        <v>0</v>
      </c>
      <c r="K8" s="21"/>
      <c r="L8" s="21">
        <f>L5</f>
        <v>0</v>
      </c>
      <c r="M8" s="21">
        <f>M5</f>
        <v>0</v>
      </c>
      <c r="N8" s="21">
        <f>N5</f>
        <v>27512.845139962679</v>
      </c>
      <c r="O8" s="21">
        <f>O5</f>
        <v>232.9366666666667</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0.19478381965442743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4000.3306690099448</v>
      </c>
      <c r="C12" s="23">
        <f ca="1">C10*C8</f>
        <v>0</v>
      </c>
      <c r="D12" s="23">
        <f>D8*D10</f>
        <v>9853.0835363091155</v>
      </c>
      <c r="E12" s="23">
        <f>E10*E8</f>
        <v>401.60589159947676</v>
      </c>
      <c r="F12" s="23">
        <f>F10*F8</f>
        <v>5523.4813227463819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1341</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9.7826086956521738</v>
      </c>
      <c r="D20" s="231"/>
      <c r="E20" s="15"/>
    </row>
    <row r="21" spans="1:7">
      <c r="A21" s="173" t="s">
        <v>74</v>
      </c>
      <c r="B21" s="37">
        <f>aantalw2001_elektriciteit</f>
        <v>137</v>
      </c>
      <c r="C21" s="169">
        <f>IF(ISERROR(B21/SUM($B$20,$B$21,$B$22)*100),0,B21/SUM($B$20,$B$21,$B$22)*100)</f>
        <v>49.637681159420289</v>
      </c>
      <c r="D21" s="231"/>
      <c r="E21" s="15"/>
    </row>
    <row r="22" spans="1:7">
      <c r="A22" s="173" t="s">
        <v>75</v>
      </c>
      <c r="B22" s="37">
        <f>aantalw2001_hout</f>
        <v>112</v>
      </c>
      <c r="C22" s="169">
        <f>IF(ISERROR(B22/SUM($B$20,$B$21,$B$22)*100),0,B22/SUM($B$20,$B$21,$B$22)*100)</f>
        <v>40.579710144927539</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1935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4312</v>
      </c>
      <c r="C28" s="36"/>
      <c r="D28" s="230"/>
    </row>
    <row r="29" spans="1:7" s="15" customFormat="1">
      <c r="A29" s="232" t="s">
        <v>746</v>
      </c>
      <c r="B29" s="37">
        <f>SUM(HH_hh_gas_aantal,HH_rest_gas_aantal)</f>
        <v>2582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2582</v>
      </c>
      <c r="C32" s="169">
        <f>IF(ISERROR(B32/SUM($B$32,$B$34,$B$35,$B$36,$B$38,$B$39)*100),0,B32/SUM($B$32,$B$34,$B$35,$B$36,$B$38,$B$39)*100)</f>
        <v>60.496719775070297</v>
      </c>
      <c r="D32" s="235"/>
      <c r="G32" s="15"/>
    </row>
    <row r="33" spans="1:7">
      <c r="A33" s="173" t="s">
        <v>72</v>
      </c>
      <c r="B33" s="34" t="s">
        <v>111</v>
      </c>
      <c r="C33" s="169"/>
      <c r="D33" s="235"/>
      <c r="G33" s="15"/>
    </row>
    <row r="34" spans="1:7">
      <c r="A34" s="173" t="s">
        <v>73</v>
      </c>
      <c r="B34" s="33">
        <f>IF((($B$28-$B$32-$B$39-$B$77-$B$38)*C20/100)&lt;0,0,($B$28-$B$32-$B$39-$B$77-$B$38)*C20/100)</f>
        <v>84.903260869565216</v>
      </c>
      <c r="C34" s="169">
        <f>IF(ISERROR(B34/SUM($B$32,$B$34,$B$35,$B$36,$B$38,$B$39)*100),0,B34/SUM($B$32,$B$34,$B$35,$B$36,$B$38,$B$39)*100)</f>
        <v>1.9892985208426714</v>
      </c>
      <c r="D34" s="235"/>
      <c r="G34" s="15"/>
    </row>
    <row r="35" spans="1:7">
      <c r="A35" s="173" t="s">
        <v>74</v>
      </c>
      <c r="B35" s="33">
        <f>IF((($B$28-$B$32-$B$39-$B$77-$B$38)*C21/100)&lt;0,0,($B$28-$B$32-$B$39-$B$77-$B$38)*C21/100)</f>
        <v>430.8054347826087</v>
      </c>
      <c r="C35" s="169">
        <f>IF(ISERROR(B35/SUM($B$32,$B$34,$B$35,$B$36,$B$38,$B$39)*100),0,B35/SUM($B$32,$B$34,$B$35,$B$36,$B$38,$B$39)*100)</f>
        <v>10.093848050201704</v>
      </c>
      <c r="D35" s="235"/>
      <c r="G35" s="15"/>
    </row>
    <row r="36" spans="1:7">
      <c r="A36" s="173" t="s">
        <v>75</v>
      </c>
      <c r="B36" s="33">
        <f>IF((($B$28-$B$32-$B$39-$B$77-$B$38)*C22/100)&lt;0,0,($B$28-$B$32-$B$39-$B$77-$B$38)*C22/100)</f>
        <v>352.19130434782613</v>
      </c>
      <c r="C36" s="169">
        <f>IF(ISERROR(B36/SUM($B$32,$B$34,$B$35,$B$36,$B$38,$B$39)*100),0,B36/SUM($B$32,$B$34,$B$35,$B$36,$B$38,$B$39)*100)</f>
        <v>8.2519049753473794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818.09999999999991</v>
      </c>
      <c r="C39" s="169">
        <f>IF(ISERROR(B39/SUM($B$32,$B$34,$B$35,$B$36,$B$38,$B$39)*100),0,B39/SUM($B$32,$B$34,$B$35,$B$36,$B$38,$B$39)*100)</f>
        <v>19.168228678537954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2582</v>
      </c>
      <c r="C44" s="34" t="s">
        <v>111</v>
      </c>
      <c r="D44" s="176"/>
    </row>
    <row r="45" spans="1:7">
      <c r="A45" s="173" t="s">
        <v>72</v>
      </c>
      <c r="B45" s="33" t="str">
        <f t="shared" si="0"/>
        <v>-</v>
      </c>
      <c r="C45" s="34" t="s">
        <v>111</v>
      </c>
      <c r="D45" s="176"/>
    </row>
    <row r="46" spans="1:7">
      <c r="A46" s="173" t="s">
        <v>73</v>
      </c>
      <c r="B46" s="33">
        <f t="shared" si="0"/>
        <v>84.903260869565216</v>
      </c>
      <c r="C46" s="34" t="s">
        <v>111</v>
      </c>
      <c r="D46" s="176"/>
    </row>
    <row r="47" spans="1:7">
      <c r="A47" s="173" t="s">
        <v>74</v>
      </c>
      <c r="B47" s="33">
        <f t="shared" si="0"/>
        <v>430.8054347826087</v>
      </c>
      <c r="C47" s="34" t="s">
        <v>111</v>
      </c>
      <c r="D47" s="176"/>
    </row>
    <row r="48" spans="1:7">
      <c r="A48" s="173" t="s">
        <v>75</v>
      </c>
      <c r="B48" s="33">
        <f t="shared" si="0"/>
        <v>352.19130434782613</v>
      </c>
      <c r="C48" s="33">
        <f>B48*10</f>
        <v>3521.9130434782614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818.09999999999991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8717.3834837318318</v>
      </c>
      <c r="C5" s="17">
        <f>IF(ISERROR('Eigen informatie GS &amp; warmtenet'!B58),0,'Eigen informatie GS &amp; warmtenet'!B58)</f>
        <v>0</v>
      </c>
      <c r="D5" s="30">
        <f>SUM(D6:D12)</f>
        <v>11572.883880876358</v>
      </c>
      <c r="E5" s="17">
        <f>SUM(E6:E12)</f>
        <v>162.72701474614695</v>
      </c>
      <c r="F5" s="17">
        <f>SUM(F6:F12)</f>
        <v>1895.8203944705724</v>
      </c>
      <c r="G5" s="18"/>
      <c r="H5" s="17"/>
      <c r="I5" s="17"/>
      <c r="J5" s="17">
        <f>SUM(J6:J12)</f>
        <v>0</v>
      </c>
      <c r="K5" s="17"/>
      <c r="L5" s="17"/>
      <c r="M5" s="17"/>
      <c r="N5" s="17">
        <f>SUM(N6:N12)</f>
        <v>1019.7286618737378</v>
      </c>
      <c r="O5" s="17">
        <f>B38*B39*B40</f>
        <v>6.2533333333333339</v>
      </c>
      <c r="P5" s="17">
        <f>B46*B47*B48/1000-B46*B47*B48/1000/B49</f>
        <v>38.133333333333333</v>
      </c>
      <c r="R5" s="32"/>
    </row>
    <row r="6" spans="1:18">
      <c r="A6" s="32" t="s">
        <v>54</v>
      </c>
      <c r="B6" s="37">
        <f>B26</f>
        <v>1435.98810309604</v>
      </c>
      <c r="C6" s="33"/>
      <c r="D6" s="37">
        <f>IF(ISERROR(TER_kantoor_gas_kWh/1000),0,TER_kantoor_gas_kWh/1000)*0.902</f>
        <v>3511.783938672404</v>
      </c>
      <c r="E6" s="33">
        <f>$C$26*'E Balans VL '!I12/100/3.6*1000000</f>
        <v>5.5791177969230086</v>
      </c>
      <c r="F6" s="33">
        <f>$C$26*('E Balans VL '!L12+'E Balans VL '!N12)/100/3.6*1000000</f>
        <v>218.40072403091733</v>
      </c>
      <c r="G6" s="34"/>
      <c r="H6" s="33"/>
      <c r="I6" s="33"/>
      <c r="J6" s="33">
        <f>$C$26*('E Balans VL '!D12+'E Balans VL '!E12)/100/3.6*1000000</f>
        <v>0</v>
      </c>
      <c r="K6" s="33"/>
      <c r="L6" s="33"/>
      <c r="M6" s="33"/>
      <c r="N6" s="33">
        <f>$C$26*'E Balans VL '!Y12/100/3.6*1000000</f>
        <v>0.79140147194416655</v>
      </c>
      <c r="O6" s="33"/>
      <c r="P6" s="33"/>
      <c r="R6" s="32"/>
    </row>
    <row r="7" spans="1:18">
      <c r="A7" s="32" t="s">
        <v>53</v>
      </c>
      <c r="B7" s="37">
        <f t="shared" ref="B7:B12" si="0">B27</f>
        <v>1708.1058846390501</v>
      </c>
      <c r="C7" s="33"/>
      <c r="D7" s="37">
        <f>IF(ISERROR(TER_horeca_gas_kWh/1000),0,TER_horeca_gas_kWh/1000)*0.902</f>
        <v>2062.1956382262597</v>
      </c>
      <c r="E7" s="33">
        <f>$C$27*'E Balans VL '!I9/100/3.6*1000000</f>
        <v>96.218061153568726</v>
      </c>
      <c r="F7" s="33">
        <f>$C$27*('E Balans VL '!L9+'E Balans VL '!N9)/100/3.6*1000000</f>
        <v>492.51547491816928</v>
      </c>
      <c r="G7" s="34"/>
      <c r="H7" s="33"/>
      <c r="I7" s="33"/>
      <c r="J7" s="33">
        <f>$C$27*('E Balans VL '!D9+'E Balans VL '!E9)/100/3.6*1000000</f>
        <v>0</v>
      </c>
      <c r="K7" s="33"/>
      <c r="L7" s="33"/>
      <c r="M7" s="33"/>
      <c r="N7" s="33">
        <f>$C$27*'E Balans VL '!Y9/100/3.6*1000000</f>
        <v>0.4715991585955352</v>
      </c>
      <c r="O7" s="33"/>
      <c r="P7" s="33"/>
      <c r="R7" s="32"/>
    </row>
    <row r="8" spans="1:18">
      <c r="A8" s="6" t="s">
        <v>52</v>
      </c>
      <c r="B8" s="37">
        <f t="shared" si="0"/>
        <v>2631.5658043112699</v>
      </c>
      <c r="C8" s="33"/>
      <c r="D8" s="37">
        <f>IF(ISERROR(TER_handel_gas_kWh/1000),0,TER_handel_gas_kWh/1000)*0.902</f>
        <v>1300.7790468619664</v>
      </c>
      <c r="E8" s="33">
        <f>$C$28*'E Balans VL '!I13/100/3.6*1000000</f>
        <v>37.92979125477914</v>
      </c>
      <c r="F8" s="33">
        <f>$C$28*('E Balans VL '!L13+'E Balans VL '!N13)/100/3.6*1000000</f>
        <v>457.16426524100638</v>
      </c>
      <c r="G8" s="34"/>
      <c r="H8" s="33"/>
      <c r="I8" s="33"/>
      <c r="J8" s="33">
        <f>$C$28*('E Balans VL '!D13+'E Balans VL '!E13)/100/3.6*1000000</f>
        <v>0</v>
      </c>
      <c r="K8" s="33"/>
      <c r="L8" s="33"/>
      <c r="M8" s="33"/>
      <c r="N8" s="33">
        <f>$C$28*'E Balans VL '!Y13/100/3.6*1000000</f>
        <v>7.8844641016567563</v>
      </c>
      <c r="O8" s="33"/>
      <c r="P8" s="33"/>
      <c r="R8" s="32"/>
    </row>
    <row r="9" spans="1:18">
      <c r="A9" s="32" t="s">
        <v>51</v>
      </c>
      <c r="B9" s="37">
        <f t="shared" si="0"/>
        <v>141.69646935568201</v>
      </c>
      <c r="C9" s="33"/>
      <c r="D9" s="37">
        <f>IF(ISERROR(TER_gezond_gas_kWh/1000),0,TER_gezond_gas_kWh/1000)*0.902</f>
        <v>323.80027797060461</v>
      </c>
      <c r="E9" s="33">
        <f>$C$29*'E Balans VL '!I10/100/3.6*1000000</f>
        <v>0.15136855564799198</v>
      </c>
      <c r="F9" s="33">
        <f>$C$29*('E Balans VL '!L10+'E Balans VL '!N10)/100/3.6*1000000</f>
        <v>23.115000469211047</v>
      </c>
      <c r="G9" s="34"/>
      <c r="H9" s="33"/>
      <c r="I9" s="33"/>
      <c r="J9" s="33">
        <f>$C$29*('E Balans VL '!D10+'E Balans VL '!E10)/100/3.6*1000000</f>
        <v>0</v>
      </c>
      <c r="K9" s="33"/>
      <c r="L9" s="33"/>
      <c r="M9" s="33"/>
      <c r="N9" s="33">
        <f>$C$29*'E Balans VL '!Y10/100/3.6*1000000</f>
        <v>1.4586843016243223</v>
      </c>
      <c r="O9" s="33"/>
      <c r="P9" s="33"/>
      <c r="R9" s="32"/>
    </row>
    <row r="10" spans="1:18">
      <c r="A10" s="32" t="s">
        <v>50</v>
      </c>
      <c r="B10" s="37">
        <f t="shared" si="0"/>
        <v>1291.8653894809302</v>
      </c>
      <c r="C10" s="33"/>
      <c r="D10" s="37">
        <f>IF(ISERROR(TER_ander_gas_kWh/1000),0,TER_ander_gas_kWh/1000)*0.902</f>
        <v>345.73865428459584</v>
      </c>
      <c r="E10" s="33">
        <f>$C$30*'E Balans VL '!I14/100/3.6*1000000</f>
        <v>5.941092418909605</v>
      </c>
      <c r="F10" s="33">
        <f>$C$30*('E Balans VL '!L14+'E Balans VL '!N14)/100/3.6*1000000</f>
        <v>387.21280632427835</v>
      </c>
      <c r="G10" s="34"/>
      <c r="H10" s="33"/>
      <c r="I10" s="33"/>
      <c r="J10" s="33">
        <f>$C$30*('E Balans VL '!D14+'E Balans VL '!E14)/100/3.6*1000000</f>
        <v>0</v>
      </c>
      <c r="K10" s="33"/>
      <c r="L10" s="33"/>
      <c r="M10" s="33"/>
      <c r="N10" s="33">
        <f>$C$30*'E Balans VL '!Y14/100/3.6*1000000</f>
        <v>899.22358810612536</v>
      </c>
      <c r="O10" s="33"/>
      <c r="P10" s="33"/>
      <c r="R10" s="32"/>
    </row>
    <row r="11" spans="1:18">
      <c r="A11" s="32" t="s">
        <v>55</v>
      </c>
      <c r="B11" s="37">
        <f t="shared" si="0"/>
        <v>123.69983977973999</v>
      </c>
      <c r="C11" s="33"/>
      <c r="D11" s="37">
        <f>IF(ISERROR(TER_onderwijs_gas_kWh/1000),0,TER_onderwijs_gas_kWh/1000)*0.902</f>
        <v>859.8438926838254</v>
      </c>
      <c r="E11" s="33">
        <f>$C$31*'E Balans VL '!I11/100/3.6*1000000</f>
        <v>0.1147478690105047</v>
      </c>
      <c r="F11" s="33">
        <f>$C$31*('E Balans VL '!L11+'E Balans VL '!N11)/100/3.6*1000000</f>
        <v>43.452910678208866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1384.4619930691199</v>
      </c>
      <c r="C12" s="33"/>
      <c r="D12" s="37">
        <f>IF(ISERROR(TER_rest_gas_kWh/1000),0,TER_rest_gas_kWh/1000)*0.902</f>
        <v>3168.7424321767016</v>
      </c>
      <c r="E12" s="33">
        <f>$C$32*'E Balans VL '!I8/100/3.6*1000000</f>
        <v>16.792835697307972</v>
      </c>
      <c r="F12" s="33">
        <f>$C$32*('E Balans VL '!L8+'E Balans VL '!N8)/100/3.6*1000000</f>
        <v>273.95921280878122</v>
      </c>
      <c r="G12" s="34"/>
      <c r="H12" s="33"/>
      <c r="I12" s="33"/>
      <c r="J12" s="33">
        <f>$C$32*('E Balans VL '!D8+'E Balans VL '!E8)/100/3.6*1000000</f>
        <v>0</v>
      </c>
      <c r="K12" s="33"/>
      <c r="L12" s="33"/>
      <c r="M12" s="33"/>
      <c r="N12" s="33">
        <f>$C$32*'E Balans VL '!Y8/100/3.6*1000000</f>
        <v>109.89892473379163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8717.3834837318318</v>
      </c>
      <c r="C16" s="21">
        <f t="shared" ca="1" si="1"/>
        <v>0</v>
      </c>
      <c r="D16" s="21">
        <f t="shared" ca="1" si="1"/>
        <v>11572.883880876358</v>
      </c>
      <c r="E16" s="21">
        <f t="shared" si="1"/>
        <v>162.72701474614695</v>
      </c>
      <c r="F16" s="21">
        <f t="shared" ca="1" si="1"/>
        <v>1895.8203944705724</v>
      </c>
      <c r="G16" s="21">
        <f t="shared" si="1"/>
        <v>0</v>
      </c>
      <c r="H16" s="21">
        <f t="shared" si="1"/>
        <v>0</v>
      </c>
      <c r="I16" s="21">
        <f t="shared" si="1"/>
        <v>0</v>
      </c>
      <c r="J16" s="21">
        <f t="shared" si="1"/>
        <v>0</v>
      </c>
      <c r="K16" s="21">
        <f t="shared" si="1"/>
        <v>0</v>
      </c>
      <c r="L16" s="21">
        <f t="shared" ca="1" si="1"/>
        <v>0</v>
      </c>
      <c r="M16" s="21">
        <f t="shared" si="1"/>
        <v>0</v>
      </c>
      <c r="N16" s="21">
        <f t="shared" ca="1" si="1"/>
        <v>1019.7286618737378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0.19478381965442743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1698.0052523537054</v>
      </c>
      <c r="C20" s="23">
        <f t="shared" ref="C20:P20" ca="1" si="2">C16*C18</f>
        <v>0</v>
      </c>
      <c r="D20" s="23">
        <f t="shared" ca="1" si="2"/>
        <v>2337.7225439370245</v>
      </c>
      <c r="E20" s="23">
        <f t="shared" si="2"/>
        <v>36.93903234737536</v>
      </c>
      <c r="F20" s="23">
        <f t="shared" ca="1" si="2"/>
        <v>506.18404532364286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1435.98810309604</v>
      </c>
      <c r="C26" s="39">
        <f>IF(ISERROR(B26*3.6/1000000/'E Balans VL '!Z12*100),0,B26*3.6/1000000/'E Balans VL '!Z12*100)</f>
        <v>3.0501098605798943E-2</v>
      </c>
      <c r="D26" s="239" t="s">
        <v>692</v>
      </c>
      <c r="F26" s="6"/>
    </row>
    <row r="27" spans="1:18">
      <c r="A27" s="233" t="s">
        <v>53</v>
      </c>
      <c r="B27" s="33">
        <f>IF(ISERROR(TER_horeca_ele_kWh/1000),0,TER_horeca_ele_kWh/1000)</f>
        <v>1708.1058846390501</v>
      </c>
      <c r="C27" s="39">
        <f>IF(ISERROR(B27*3.6/1000000/'E Balans VL '!Z9*100),0,B27*3.6/1000000/'E Balans VL '!Z9*100)</f>
        <v>0.13281563502926111</v>
      </c>
      <c r="D27" s="239" t="s">
        <v>692</v>
      </c>
      <c r="F27" s="6"/>
    </row>
    <row r="28" spans="1:18">
      <c r="A28" s="173" t="s">
        <v>52</v>
      </c>
      <c r="B28" s="33">
        <f>IF(ISERROR(TER_handel_ele_kWh/1000),0,TER_handel_ele_kWh/1000)</f>
        <v>2631.5658043112699</v>
      </c>
      <c r="C28" s="39">
        <f>IF(ISERROR(B28*3.6/1000000/'E Balans VL '!Z13*100),0,B28*3.6/1000000/'E Balans VL '!Z13*100)</f>
        <v>7.5292194704484158E-2</v>
      </c>
      <c r="D28" s="239" t="s">
        <v>692</v>
      </c>
      <c r="F28" s="6"/>
    </row>
    <row r="29" spans="1:18">
      <c r="A29" s="233" t="s">
        <v>51</v>
      </c>
      <c r="B29" s="33">
        <f>IF(ISERROR(TER_gezond_ele_kWh/1000),0,TER_gezond_ele_kWh/1000)</f>
        <v>141.69646935568201</v>
      </c>
      <c r="C29" s="39">
        <f>IF(ISERROR(B29*3.6/1000000/'E Balans VL '!Z10*100),0,B29*3.6/1000000/'E Balans VL '!Z10*100)</f>
        <v>1.544820779082591E-2</v>
      </c>
      <c r="D29" s="239" t="s">
        <v>692</v>
      </c>
      <c r="F29" s="6"/>
    </row>
    <row r="30" spans="1:18">
      <c r="A30" s="233" t="s">
        <v>50</v>
      </c>
      <c r="B30" s="33">
        <f>IF(ISERROR(TER_ander_ele_kWh/1000),0,TER_ander_ele_kWh/1000)</f>
        <v>1291.8653894809302</v>
      </c>
      <c r="C30" s="39">
        <f>IF(ISERROR(B30*3.6/1000000/'E Balans VL '!Z14*100),0,B30*3.6/1000000/'E Balans VL '!Z14*100)</f>
        <v>9.453577867504788E-2</v>
      </c>
      <c r="D30" s="239" t="s">
        <v>692</v>
      </c>
      <c r="F30" s="6"/>
    </row>
    <row r="31" spans="1:18">
      <c r="A31" s="233" t="s">
        <v>55</v>
      </c>
      <c r="B31" s="33">
        <f>IF(ISERROR(TER_onderwijs_ele_kWh/1000),0,TER_onderwijs_ele_kWh/1000)</f>
        <v>123.69983977973999</v>
      </c>
      <c r="C31" s="39">
        <f>IF(ISERROR(B31*3.6/1000000/'E Balans VL '!Z11*100),0,B31*3.6/1000000/'E Balans VL '!Z11*100)</f>
        <v>2.4845204676728846E-2</v>
      </c>
      <c r="D31" s="239" t="s">
        <v>692</v>
      </c>
    </row>
    <row r="32" spans="1:18">
      <c r="A32" s="233" t="s">
        <v>260</v>
      </c>
      <c r="B32" s="33">
        <f>IF(ISERROR(TER_rest_ele_kWh/1000),0,TER_rest_ele_kWh/1000)</f>
        <v>1384.4619930691199</v>
      </c>
      <c r="C32" s="39">
        <f>IF(ISERROR(B32*3.6/1000000/'E Balans VL '!Z8*100),0,B32*3.6/1000000/'E Balans VL '!Z8*100)</f>
        <v>1.1282525056218972E-2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2185.0673658191172</v>
      </c>
      <c r="C5" s="17">
        <f>IF(ISERROR('Eigen informatie GS &amp; warmtenet'!B59),0,'Eigen informatie GS &amp; warmtenet'!B59)</f>
        <v>0</v>
      </c>
      <c r="D5" s="30">
        <f>SUM(D6:D15)</f>
        <v>1907.49897790963</v>
      </c>
      <c r="E5" s="17">
        <f>SUM(E6:E15)</f>
        <v>361.83813460965467</v>
      </c>
      <c r="F5" s="17">
        <f>SUM(F6:F15)</f>
        <v>1563.5102502826858</v>
      </c>
      <c r="G5" s="18"/>
      <c r="H5" s="17"/>
      <c r="I5" s="17"/>
      <c r="J5" s="17">
        <f>SUM(J6:J15)</f>
        <v>1.4359879160301336</v>
      </c>
      <c r="K5" s="17"/>
      <c r="L5" s="17"/>
      <c r="M5" s="17"/>
      <c r="N5" s="17">
        <f>SUM(N6:N15)</f>
        <v>693.46982491061556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37.27314363987</v>
      </c>
      <c r="C8" s="33"/>
      <c r="D8" s="37">
        <f>IF( ISERROR(IND_metaal_Gas_kWH/1000),0,IND_metaal_Gas_kWH/1000)*0.902</f>
        <v>0</v>
      </c>
      <c r="E8" s="33">
        <f>C30*'E Balans VL '!I18/100/3.6*1000000</f>
        <v>1.0706245915547976</v>
      </c>
      <c r="F8" s="33">
        <f>C30*'E Balans VL '!L18/100/3.6*1000000+C30*'E Balans VL '!N18/100/3.6*1000000</f>
        <v>9.5598444780527903</v>
      </c>
      <c r="G8" s="34"/>
      <c r="H8" s="33"/>
      <c r="I8" s="33"/>
      <c r="J8" s="40">
        <f>C30*'E Balans VL '!D18/100/3.6*1000000+C30*'E Balans VL '!E18/100/3.6*1000000</f>
        <v>0</v>
      </c>
      <c r="K8" s="33"/>
      <c r="L8" s="33"/>
      <c r="M8" s="33"/>
      <c r="N8" s="33">
        <f>C30*'E Balans VL '!Y18/100/3.6*1000000</f>
        <v>1.0120419350882268</v>
      </c>
      <c r="O8" s="33"/>
      <c r="P8" s="33"/>
      <c r="R8" s="32"/>
    </row>
    <row r="9" spans="1:18">
      <c r="A9" s="6" t="s">
        <v>33</v>
      </c>
      <c r="B9" s="37">
        <f t="shared" si="0"/>
        <v>1073.8559072262901</v>
      </c>
      <c r="C9" s="33"/>
      <c r="D9" s="37">
        <f>IF( ISERROR(IND_andere_gas_kWh/1000),0,IND_andere_gas_kWh/1000)*0.902</f>
        <v>878.44615937559172</v>
      </c>
      <c r="E9" s="33">
        <f>C31*'E Balans VL '!I19/100/3.6*1000000</f>
        <v>290.66639114753281</v>
      </c>
      <c r="F9" s="33">
        <f>C31*'E Balans VL '!L19/100/3.6*1000000+C31*'E Balans VL '!N19/100/3.6*1000000</f>
        <v>715.30167190549992</v>
      </c>
      <c r="G9" s="34"/>
      <c r="H9" s="33"/>
      <c r="I9" s="33"/>
      <c r="J9" s="40">
        <f>C31*'E Balans VL '!D19/100/3.6*1000000+C31*'E Balans VL '!E19/100/3.6*1000000</f>
        <v>0</v>
      </c>
      <c r="K9" s="33"/>
      <c r="L9" s="33"/>
      <c r="M9" s="33"/>
      <c r="N9" s="33">
        <f>C31*'E Balans VL '!Y19/100/3.6*1000000</f>
        <v>350.59611543561221</v>
      </c>
      <c r="O9" s="33"/>
      <c r="P9" s="33"/>
      <c r="R9" s="32"/>
    </row>
    <row r="10" spans="1:18">
      <c r="A10" s="6" t="s">
        <v>41</v>
      </c>
      <c r="B10" s="37">
        <f t="shared" si="0"/>
        <v>472.30280597630201</v>
      </c>
      <c r="C10" s="33"/>
      <c r="D10" s="37">
        <f>IF( ISERROR(IND_voed_gas_kWh/1000),0,IND_voed_gas_kWh/1000)*0.902</f>
        <v>422.14094651110361</v>
      </c>
      <c r="E10" s="33">
        <f>C32*'E Balans VL '!I20/100/3.6*1000000</f>
        <v>38.522101942888469</v>
      </c>
      <c r="F10" s="33">
        <f>C32*'E Balans VL '!L20/100/3.6*1000000+C32*'E Balans VL '!N20/100/3.6*1000000</f>
        <v>704.24633477589009</v>
      </c>
      <c r="G10" s="34"/>
      <c r="H10" s="33"/>
      <c r="I10" s="33"/>
      <c r="J10" s="40">
        <f>C32*'E Balans VL '!D20/100/3.6*1000000+C32*'E Balans VL '!E20/100/3.6*1000000</f>
        <v>6.2479928243683912E-3</v>
      </c>
      <c r="K10" s="33"/>
      <c r="L10" s="33"/>
      <c r="M10" s="33"/>
      <c r="N10" s="33">
        <f>C32*'E Balans VL '!Y20/100/3.6*1000000</f>
        <v>138.7458986268488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43.810755285325996</v>
      </c>
      <c r="C13" s="33"/>
      <c r="D13" s="37">
        <f>IF( ISERROR(IND_papier_gas_kWh/1000),0,IND_papier_gas_kWh/1000)*0.902</f>
        <v>0</v>
      </c>
      <c r="E13" s="33">
        <f>C35*'E Balans VL '!I23/100/3.6*1000000</f>
        <v>0.45899747506946525</v>
      </c>
      <c r="F13" s="33">
        <f>C35*'E Balans VL '!L23/100/3.6*1000000+C35*'E Balans VL '!N23/100/3.6*1000000</f>
        <v>3.2691663246736029</v>
      </c>
      <c r="G13" s="34"/>
      <c r="H13" s="33"/>
      <c r="I13" s="33"/>
      <c r="J13" s="40">
        <f>C35*'E Balans VL '!D23/100/3.6*1000000+C35*'E Balans VL '!E23/100/3.6*1000000</f>
        <v>0</v>
      </c>
      <c r="K13" s="33"/>
      <c r="L13" s="33"/>
      <c r="M13" s="33"/>
      <c r="N13" s="33">
        <f>C35*'E Balans VL '!Y23/100/3.6*1000000</f>
        <v>93.640916594688221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557.82475369132908</v>
      </c>
      <c r="C15" s="33"/>
      <c r="D15" s="37">
        <f>IF( ISERROR(IND_rest_gas_kWh/1000),0,IND_rest_gas_kWh/1000)*0.902</f>
        <v>606.91187202293474</v>
      </c>
      <c r="E15" s="33">
        <f>C37*'E Balans VL '!I15/100/3.6*1000000</f>
        <v>31.120019452609167</v>
      </c>
      <c r="F15" s="33">
        <f>C37*'E Balans VL '!L15/100/3.6*1000000+C37*'E Balans VL '!N15/100/3.6*1000000</f>
        <v>131.13323279856934</v>
      </c>
      <c r="G15" s="34"/>
      <c r="H15" s="33"/>
      <c r="I15" s="33"/>
      <c r="J15" s="40">
        <f>C37*'E Balans VL '!D15/100/3.6*1000000+C37*'E Balans VL '!E15/100/3.6*1000000</f>
        <v>1.4297399232057653</v>
      </c>
      <c r="K15" s="33"/>
      <c r="L15" s="33"/>
      <c r="M15" s="33"/>
      <c r="N15" s="33">
        <f>C37*'E Balans VL '!Y15/100/3.6*1000000</f>
        <v>109.47485231837815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2185.0673658191172</v>
      </c>
      <c r="C18" s="21">
        <f>C5+C16</f>
        <v>0</v>
      </c>
      <c r="D18" s="21">
        <f>MAX((D5+D16),0)</f>
        <v>1907.49897790963</v>
      </c>
      <c r="E18" s="21">
        <f>MAX((E5+E16),0)</f>
        <v>361.83813460965467</v>
      </c>
      <c r="F18" s="21">
        <f>MAX((F5+F16),0)</f>
        <v>1563.5102502826858</v>
      </c>
      <c r="G18" s="21"/>
      <c r="H18" s="21"/>
      <c r="I18" s="21"/>
      <c r="J18" s="21">
        <f>MAX((J5+J16),0)</f>
        <v>1.4359879160301336</v>
      </c>
      <c r="K18" s="21"/>
      <c r="L18" s="21">
        <f>MAX((L5+L16),0)</f>
        <v>0</v>
      </c>
      <c r="M18" s="21"/>
      <c r="N18" s="21">
        <f>MAX((N5+N16),0)</f>
        <v>693.46982491061556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0.19478381965442743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425.61576771648572</v>
      </c>
      <c r="C22" s="23">
        <f ca="1">C18*C20</f>
        <v>0</v>
      </c>
      <c r="D22" s="23">
        <f>D18*D20</f>
        <v>385.31479353774529</v>
      </c>
      <c r="E22" s="23">
        <f>E18*E20</f>
        <v>82.13725655639162</v>
      </c>
      <c r="F22" s="23">
        <f>F18*F20</f>
        <v>417.45723682547714</v>
      </c>
      <c r="G22" s="23"/>
      <c r="H22" s="23"/>
      <c r="I22" s="23"/>
      <c r="J22" s="23">
        <f>J18*J20</f>
        <v>0.50833972227466728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37.27314363987</v>
      </c>
      <c r="C30" s="39">
        <f>IF(ISERROR(B30*3.6/1000000/'E Balans VL '!Z18*100),0,B30*3.6/1000000/'E Balans VL '!Z18*100)</f>
        <v>3.6675821859631632E-3</v>
      </c>
      <c r="D30" s="239" t="s">
        <v>692</v>
      </c>
    </row>
    <row r="31" spans="1:18">
      <c r="A31" s="6" t="s">
        <v>33</v>
      </c>
      <c r="B31" s="37">
        <f>IF( ISERROR(IND_ander_ele_kWh/1000),0,IND_ander_ele_kWh/1000)</f>
        <v>1073.8559072262901</v>
      </c>
      <c r="C31" s="39">
        <f>IF(ISERROR(B31*3.6/1000000/'E Balans VL '!Z19*100),0,B31*3.6/1000000/'E Balans VL '!Z19*100)</f>
        <v>4.6765568153285871E-2</v>
      </c>
      <c r="D31" s="239" t="s">
        <v>692</v>
      </c>
    </row>
    <row r="32" spans="1:18">
      <c r="A32" s="173" t="s">
        <v>41</v>
      </c>
      <c r="B32" s="37">
        <f>IF( ISERROR(IND_voed_ele_kWh/1000),0,IND_voed_ele_kWh/1000)</f>
        <v>472.30280597630201</v>
      </c>
      <c r="C32" s="39">
        <f>IF(ISERROR(B32*3.6/1000000/'E Balans VL '!Z20*100),0,B32*3.6/1000000/'E Balans VL '!Z20*100)</f>
        <v>8.9612646086555059E-2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43.810755285325996</v>
      </c>
      <c r="C35" s="39">
        <f>IF(ISERROR(B35*3.6/1000000/'E Balans VL '!Z22*100),0,B35*3.6/1000000/'E Balans VL '!Z22*100)</f>
        <v>6.160232127008833E-3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557.82475369132908</v>
      </c>
      <c r="C37" s="39">
        <f>IF(ISERROR(B37*3.6/1000000/'E Balans VL '!Z15*100),0,B37*3.6/1000000/'E Balans VL '!Z15*100)</f>
        <v>4.2987248772182029E-3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2235.6426957342178</v>
      </c>
      <c r="C5" s="17">
        <f>'Eigen informatie GS &amp; warmtenet'!B60</f>
        <v>0</v>
      </c>
      <c r="D5" s="30">
        <f>IF(ISERROR(SUM(LB_lb_gas_kWh,LB_rest_gas_kWh)/1000),0,SUM(LB_lb_gas_kWh,LB_rest_gas_kWh)/1000)*0.902</f>
        <v>283.19168996096107</v>
      </c>
      <c r="E5" s="17">
        <f>B17*'E Balans VL '!I25/3.6*1000000/100</f>
        <v>28.171978059625488</v>
      </c>
      <c r="F5" s="17">
        <f>B17*('E Balans VL '!L25/3.6*1000000+'E Balans VL '!N25/3.6*1000000)/100</f>
        <v>7713.5273622434061</v>
      </c>
      <c r="G5" s="18"/>
      <c r="H5" s="17"/>
      <c r="I5" s="17"/>
      <c r="J5" s="17">
        <f>('E Balans VL '!D25+'E Balans VL '!E25)/3.6*1000000*landbouw!B17/100</f>
        <v>336.21524754920085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2235.6426957342178</v>
      </c>
      <c r="C8" s="21">
        <f>C5+C6</f>
        <v>0</v>
      </c>
      <c r="D8" s="21">
        <f>MAX((D5+D6),0)</f>
        <v>283.19168996096107</v>
      </c>
      <c r="E8" s="21">
        <f>MAX((E5+E6),0)</f>
        <v>28.171978059625488</v>
      </c>
      <c r="F8" s="21">
        <f>MAX((F5+F6),0)</f>
        <v>7713.5273622434061</v>
      </c>
      <c r="G8" s="21"/>
      <c r="H8" s="21"/>
      <c r="I8" s="21"/>
      <c r="J8" s="21">
        <f>MAX((J5+J6),0)</f>
        <v>336.21524754920085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0.19478381965442743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435.46702365763184</v>
      </c>
      <c r="C12" s="23">
        <f ca="1">C8*C10</f>
        <v>0</v>
      </c>
      <c r="D12" s="23">
        <f>D8*D10</f>
        <v>57.204721372114143</v>
      </c>
      <c r="E12" s="23">
        <f>E8*E10</f>
        <v>6.3950390195349858</v>
      </c>
      <c r="F12" s="23">
        <f>F8*F10</f>
        <v>2059.5118057189893</v>
      </c>
      <c r="G12" s="23"/>
      <c r="H12" s="23"/>
      <c r="I12" s="23"/>
      <c r="J12" s="23">
        <f>J8*J10</f>
        <v>119.02019763241709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0.31180169268729158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461.00103210354132</v>
      </c>
      <c r="C26" s="249">
        <f>B26*'GWP N2O_CH4'!B5</f>
        <v>9681.0216741743679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235.72381088152318</v>
      </c>
      <c r="C27" s="249">
        <f>B27*'GWP N2O_CH4'!B5</f>
        <v>4950.2000285119866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15.837902557953781</v>
      </c>
      <c r="C28" s="249">
        <f>B28*'GWP N2O_CH4'!B4</f>
        <v>4909.749792965672</v>
      </c>
      <c r="D28" s="50"/>
    </row>
    <row r="29" spans="1:4">
      <c r="A29" s="41" t="s">
        <v>277</v>
      </c>
      <c r="B29" s="249">
        <f>B34*'ha_N2O bodem landbouw'!B4</f>
        <v>16.499848911229414</v>
      </c>
      <c r="C29" s="249">
        <f>B29*'GWP N2O_CH4'!B4</f>
        <v>5114.9531624811179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4.1198474020420761E-3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2.251182329099884E-5</v>
      </c>
      <c r="C5" s="448" t="s">
        <v>211</v>
      </c>
      <c r="D5" s="433">
        <f>SUM(D6:D11)</f>
        <v>3.526791170886567E-5</v>
      </c>
      <c r="E5" s="433">
        <f>SUM(E6:E11)</f>
        <v>1.1435529022842102E-3</v>
      </c>
      <c r="F5" s="446" t="s">
        <v>211</v>
      </c>
      <c r="G5" s="433">
        <f>SUM(G6:G11)</f>
        <v>0.34306804822989695</v>
      </c>
      <c r="H5" s="433">
        <f>SUM(H6:H11)</f>
        <v>5.345958885364261E-2</v>
      </c>
      <c r="I5" s="448" t="s">
        <v>211</v>
      </c>
      <c r="J5" s="448" t="s">
        <v>211</v>
      </c>
      <c r="K5" s="448" t="s">
        <v>211</v>
      </c>
      <c r="L5" s="448" t="s">
        <v>211</v>
      </c>
      <c r="M5" s="433">
        <f>SUM(M6:M11)</f>
        <v>1.7921139680153311E-2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1.5093224819825682E-5</v>
      </c>
      <c r="C6" s="887"/>
      <c r="D6" s="887">
        <f>vkm_2011_GW_PW*SUMIFS(TableVerdeelsleutelVkm[CNG],TableVerdeelsleutelVkm[Voertuigtype],"Lichte voertuigen")*SUMIFS(TableECFTransport[EnergieConsumptieFactor (PJ per km)],TableECFTransport[Index],CONCATENATE($A6,"_CNG_CNG"))</f>
        <v>2.1374958287057395E-5</v>
      </c>
      <c r="E6" s="887">
        <f>vkm_2011_GW_PW*SUMIFS(TableVerdeelsleutelVkm[LPG],TableVerdeelsleutelVkm[Voertuigtype],"Lichte voertuigen")*SUMIFS(TableECFTransport[EnergieConsumptieFactor (PJ per km)],TableECFTransport[Index],CONCATENATE($A6,"_LPG_LPG"))</f>
        <v>6.7131707157605633E-4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0.12065405979261118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3.2330226176691283E-2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6.9214979240614467E-3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5.7313114412650475E-2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2.0362755399369802E-5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2.5863594699465768E-3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2.7991058195624054E-6</v>
      </c>
      <c r="C8" s="887"/>
      <c r="D8" s="436">
        <f>vkm_2011_NGW_PW*SUMIFS(TableVerdeelsleutelVkm[CNG],TableVerdeelsleutelVkm[Voertuigtype],"Lichte voertuigen")*SUMIFS(TableECFTransport[EnergieConsumptieFactor (PJ per km)],TableECFTransport[Index],CONCATENATE($A8,"_CNG_CNG"))</f>
        <v>7.0620784125370339E-6</v>
      </c>
      <c r="E8" s="436">
        <f>vkm_2011_NGW_PW*SUMIFS(TableVerdeelsleutelVkm[LPG],TableVerdeelsleutelVkm[Voertuigtype],"Lichte voertuigen")*SUMIFS(TableECFTransport[EnergieConsumptieFactor (PJ per km)],TableECFTransport[Index],CONCATENATE($A8,"_LPG_LPG"))</f>
        <v>2.0429004946570951E-4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3.4629144384352203E-2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1.0306685976981356E-2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2.033549063417882E-3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5.8641049180696084E-3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1.9715553283243866E-6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2.6462337823216024E-4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4.6194926516107532E-6</v>
      </c>
      <c r="C10" s="887"/>
      <c r="D10" s="436">
        <f>vkm_2011_SW_PW*SUMIFS(TableVerdeelsleutelVkm[CNG],TableVerdeelsleutelVkm[Voertuigtype],"Lichte voertuigen")*SUMIFS(TableECFTransport[EnergieConsumptieFactor (PJ per km)],TableECFTransport[Index],CONCATENATE($A10,"_CNG_CNG"))</f>
        <v>6.8308750092712398E-6</v>
      </c>
      <c r="E10" s="436">
        <f>vkm_2011_SW_PW*SUMIFS(TableVerdeelsleutelVkm[LPG],TableVerdeelsleutelVkm[Voertuigtype],"Lichte voertuigen")*SUMIFS(TableECFTransport[EnergieConsumptieFactor (PJ per km)],TableECFTransport[Index],CONCATENATE($A10,"_LPG_LPG"))</f>
        <v>2.6794578124244428E-4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4.3613696063062146E-2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1.0769310056223001E-2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2.4600069857232585E-3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8.0993928659151351E-2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3.103233301928169E-5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3.6551028587719879E-3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6.2532842474996775</v>
      </c>
      <c r="C14" s="21"/>
      <c r="D14" s="21">
        <f t="shared" ref="D14:M14" si="0">((D5)*10^9/3600)+D12</f>
        <v>9.7966421413515761</v>
      </c>
      <c r="E14" s="21">
        <f t="shared" si="0"/>
        <v>317.65358396783614</v>
      </c>
      <c r="F14" s="21"/>
      <c r="G14" s="21">
        <f t="shared" si="0"/>
        <v>95296.680063860273</v>
      </c>
      <c r="H14" s="21">
        <f t="shared" si="0"/>
        <v>14849.885792678504</v>
      </c>
      <c r="I14" s="21"/>
      <c r="J14" s="21"/>
      <c r="K14" s="21"/>
      <c r="L14" s="21"/>
      <c r="M14" s="21">
        <f t="shared" si="0"/>
        <v>4978.0943555981421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0.19478381965442743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1.2180385911128491</v>
      </c>
      <c r="C18" s="23"/>
      <c r="D18" s="23">
        <f t="shared" ref="D18:M18" si="1">D14*D16</f>
        <v>1.9789217125530185</v>
      </c>
      <c r="E18" s="23">
        <f t="shared" si="1"/>
        <v>72.107363560698801</v>
      </c>
      <c r="F18" s="23"/>
      <c r="G18" s="23">
        <f t="shared" si="1"/>
        <v>25444.213577050694</v>
      </c>
      <c r="H18" s="23">
        <f t="shared" si="1"/>
        <v>3697.6215623769476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2.4211772726482148E-3</v>
      </c>
      <c r="H50" s="323">
        <f t="shared" si="2"/>
        <v>0</v>
      </c>
      <c r="I50" s="323">
        <f t="shared" si="2"/>
        <v>0</v>
      </c>
      <c r="J50" s="323">
        <f t="shared" si="2"/>
        <v>0</v>
      </c>
      <c r="K50" s="323">
        <f t="shared" si="2"/>
        <v>0</v>
      </c>
      <c r="L50" s="323">
        <f t="shared" si="2"/>
        <v>0</v>
      </c>
      <c r="M50" s="323">
        <f t="shared" si="2"/>
        <v>1.0767567531181225E-4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2.4211772726482148E-3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1.0767567531181225E-4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672.54924240228195</v>
      </c>
      <c r="H54" s="21">
        <f t="shared" si="3"/>
        <v>0</v>
      </c>
      <c r="I54" s="21">
        <f t="shared" si="3"/>
        <v>0</v>
      </c>
      <c r="J54" s="21">
        <f t="shared" si="3"/>
        <v>0</v>
      </c>
      <c r="K54" s="21">
        <f t="shared" si="3"/>
        <v>0</v>
      </c>
      <c r="L54" s="21">
        <f t="shared" si="3"/>
        <v>0</v>
      </c>
      <c r="M54" s="21">
        <f t="shared" si="3"/>
        <v>29.909909808836733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0.19478381965442743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179.5706477214093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9274.6664837318312</v>
      </c>
      <c r="D10" s="690">
        <f ca="1">tertiair!C16</f>
        <v>0</v>
      </c>
      <c r="E10" s="690">
        <f ca="1">tertiair!D16</f>
        <v>11572.883880876358</v>
      </c>
      <c r="F10" s="690">
        <f>tertiair!E16</f>
        <v>162.72701474614695</v>
      </c>
      <c r="G10" s="690">
        <f ca="1">tertiair!F16</f>
        <v>1895.8203944705724</v>
      </c>
      <c r="H10" s="690">
        <f>tertiair!G16</f>
        <v>0</v>
      </c>
      <c r="I10" s="690">
        <f>tertiair!H16</f>
        <v>0</v>
      </c>
      <c r="J10" s="690">
        <f>tertiair!I16</f>
        <v>0</v>
      </c>
      <c r="K10" s="690">
        <f>tertiair!J16</f>
        <v>0</v>
      </c>
      <c r="L10" s="690">
        <f>tertiair!K16</f>
        <v>0</v>
      </c>
      <c r="M10" s="690">
        <f ca="1">tertiair!L16</f>
        <v>0</v>
      </c>
      <c r="N10" s="690">
        <f>tertiair!M16</f>
        <v>0</v>
      </c>
      <c r="O10" s="690">
        <f ca="1">tertiair!N16</f>
        <v>1019.7286618737378</v>
      </c>
      <c r="P10" s="690">
        <f>tertiair!O16</f>
        <v>6.2533333333333339</v>
      </c>
      <c r="Q10" s="691">
        <f>tertiair!P16</f>
        <v>38.133333333333333</v>
      </c>
      <c r="R10" s="693">
        <f ca="1">SUM(C10:Q10)</f>
        <v>23970.213102365313</v>
      </c>
      <c r="S10" s="67"/>
    </row>
    <row r="11" spans="1:19" s="458" customFormat="1">
      <c r="A11" s="805" t="s">
        <v>225</v>
      </c>
      <c r="B11" s="810"/>
      <c r="C11" s="690">
        <f>huishoudens!B8</f>
        <v>20537.284236991898</v>
      </c>
      <c r="D11" s="690">
        <f>huishoudens!C8</f>
        <v>0</v>
      </c>
      <c r="E11" s="690">
        <f>huishoudens!D8</f>
        <v>48777.641268857005</v>
      </c>
      <c r="F11" s="690">
        <f>huishoudens!E8</f>
        <v>1769.1889497774307</v>
      </c>
      <c r="G11" s="690">
        <f>huishoudens!F8</f>
        <v>20687.195965342253</v>
      </c>
      <c r="H11" s="690">
        <f>huishoudens!G8</f>
        <v>0</v>
      </c>
      <c r="I11" s="690">
        <f>huishoudens!H8</f>
        <v>0</v>
      </c>
      <c r="J11" s="690">
        <f>huishoudens!I8</f>
        <v>0</v>
      </c>
      <c r="K11" s="690">
        <f>huishoudens!J8</f>
        <v>0</v>
      </c>
      <c r="L11" s="690">
        <f>huishoudens!K8</f>
        <v>0</v>
      </c>
      <c r="M11" s="690">
        <f>huishoudens!L8</f>
        <v>0</v>
      </c>
      <c r="N11" s="690">
        <f>huishoudens!M8</f>
        <v>0</v>
      </c>
      <c r="O11" s="690">
        <f>huishoudens!N8</f>
        <v>27512.845139962679</v>
      </c>
      <c r="P11" s="690">
        <f>huishoudens!O8</f>
        <v>232.9366666666667</v>
      </c>
      <c r="Q11" s="691">
        <f>huishoudens!P8</f>
        <v>838.93333333333339</v>
      </c>
      <c r="R11" s="693">
        <f>SUM(C11:Q11)</f>
        <v>120356.02556093126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2185.0673658191172</v>
      </c>
      <c r="D13" s="690">
        <f>industrie!C18</f>
        <v>0</v>
      </c>
      <c r="E13" s="690">
        <f>industrie!D18</f>
        <v>1907.49897790963</v>
      </c>
      <c r="F13" s="690">
        <f>industrie!E18</f>
        <v>361.83813460965467</v>
      </c>
      <c r="G13" s="690">
        <f>industrie!F18</f>
        <v>1563.5102502826858</v>
      </c>
      <c r="H13" s="690">
        <f>industrie!G18</f>
        <v>0</v>
      </c>
      <c r="I13" s="690">
        <f>industrie!H18</f>
        <v>0</v>
      </c>
      <c r="J13" s="690">
        <f>industrie!I18</f>
        <v>0</v>
      </c>
      <c r="K13" s="690">
        <f>industrie!J18</f>
        <v>1.4359879160301336</v>
      </c>
      <c r="L13" s="690">
        <f>industrie!K18</f>
        <v>0</v>
      </c>
      <c r="M13" s="690">
        <f>industrie!L18</f>
        <v>0</v>
      </c>
      <c r="N13" s="690">
        <f>industrie!M18</f>
        <v>0</v>
      </c>
      <c r="O13" s="690">
        <f>industrie!N18</f>
        <v>693.46982491061556</v>
      </c>
      <c r="P13" s="690">
        <f>industrie!O18</f>
        <v>0</v>
      </c>
      <c r="Q13" s="691">
        <f>industrie!P18</f>
        <v>0</v>
      </c>
      <c r="R13" s="693">
        <f>SUM(C13:Q13)</f>
        <v>6712.8205414477334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31997.018086542848</v>
      </c>
      <c r="D16" s="725">
        <f t="shared" ref="D16:R16" ca="1" si="0">SUM(D9:D15)</f>
        <v>0</v>
      </c>
      <c r="E16" s="725">
        <f t="shared" ca="1" si="0"/>
        <v>62258.024127642995</v>
      </c>
      <c r="F16" s="725">
        <f t="shared" si="0"/>
        <v>2293.7540991332326</v>
      </c>
      <c r="G16" s="725">
        <f t="shared" ca="1" si="0"/>
        <v>24146.526610095509</v>
      </c>
      <c r="H16" s="725">
        <f t="shared" si="0"/>
        <v>0</v>
      </c>
      <c r="I16" s="725">
        <f t="shared" si="0"/>
        <v>0</v>
      </c>
      <c r="J16" s="725">
        <f t="shared" si="0"/>
        <v>0</v>
      </c>
      <c r="K16" s="725">
        <f t="shared" si="0"/>
        <v>1.4359879160301336</v>
      </c>
      <c r="L16" s="725">
        <f t="shared" si="0"/>
        <v>0</v>
      </c>
      <c r="M16" s="725">
        <f t="shared" ca="1" si="0"/>
        <v>0</v>
      </c>
      <c r="N16" s="725">
        <f t="shared" si="0"/>
        <v>0</v>
      </c>
      <c r="O16" s="725">
        <f t="shared" ca="1" si="0"/>
        <v>29226.043626747032</v>
      </c>
      <c r="P16" s="725">
        <f t="shared" si="0"/>
        <v>239.19000000000003</v>
      </c>
      <c r="Q16" s="725">
        <f t="shared" si="0"/>
        <v>877.06666666666672</v>
      </c>
      <c r="R16" s="725">
        <f t="shared" ca="1" si="0"/>
        <v>151039.05920474429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672.54924240228195</v>
      </c>
      <c r="I19" s="690">
        <f>transport!H54</f>
        <v>0</v>
      </c>
      <c r="J19" s="690">
        <f>transport!I54</f>
        <v>0</v>
      </c>
      <c r="K19" s="690">
        <f>transport!J54</f>
        <v>0</v>
      </c>
      <c r="L19" s="690">
        <f>transport!K54</f>
        <v>0</v>
      </c>
      <c r="M19" s="690">
        <f>transport!L54</f>
        <v>0</v>
      </c>
      <c r="N19" s="690">
        <f>transport!M54</f>
        <v>29.909909808836733</v>
      </c>
      <c r="O19" s="690">
        <f>transport!N54</f>
        <v>0</v>
      </c>
      <c r="P19" s="690">
        <f>transport!O54</f>
        <v>0</v>
      </c>
      <c r="Q19" s="691">
        <f>transport!P54</f>
        <v>0</v>
      </c>
      <c r="R19" s="693">
        <f>SUM(C19:Q19)</f>
        <v>702.45915221111864</v>
      </c>
      <c r="S19" s="67"/>
    </row>
    <row r="20" spans="1:19" s="458" customFormat="1">
      <c r="A20" s="805" t="s">
        <v>307</v>
      </c>
      <c r="B20" s="810"/>
      <c r="C20" s="690">
        <f>transport!B14</f>
        <v>6.2532842474996775</v>
      </c>
      <c r="D20" s="690">
        <f>transport!C14</f>
        <v>0</v>
      </c>
      <c r="E20" s="690">
        <f>transport!D14</f>
        <v>9.7966421413515761</v>
      </c>
      <c r="F20" s="690">
        <f>transport!E14</f>
        <v>317.65358396783614</v>
      </c>
      <c r="G20" s="690">
        <f>transport!F14</f>
        <v>0</v>
      </c>
      <c r="H20" s="690">
        <f>transport!G14</f>
        <v>95296.680063860273</v>
      </c>
      <c r="I20" s="690">
        <f>transport!H14</f>
        <v>14849.885792678504</v>
      </c>
      <c r="J20" s="690">
        <f>transport!I14</f>
        <v>0</v>
      </c>
      <c r="K20" s="690">
        <f>transport!J14</f>
        <v>0</v>
      </c>
      <c r="L20" s="690">
        <f>transport!K14</f>
        <v>0</v>
      </c>
      <c r="M20" s="690">
        <f>transport!L14</f>
        <v>0</v>
      </c>
      <c r="N20" s="690">
        <f>transport!M14</f>
        <v>4978.0943555981421</v>
      </c>
      <c r="O20" s="690">
        <f>transport!N14</f>
        <v>0</v>
      </c>
      <c r="P20" s="690">
        <f>transport!O14</f>
        <v>0</v>
      </c>
      <c r="Q20" s="691">
        <f>transport!P14</f>
        <v>0</v>
      </c>
      <c r="R20" s="693">
        <f>SUM(C20:Q20)</f>
        <v>115458.3637224936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6.2532842474996775</v>
      </c>
      <c r="D22" s="808">
        <f t="shared" ref="D22:R22" si="1">SUM(D18:D21)</f>
        <v>0</v>
      </c>
      <c r="E22" s="808">
        <f t="shared" si="1"/>
        <v>9.7966421413515761</v>
      </c>
      <c r="F22" s="808">
        <f t="shared" si="1"/>
        <v>317.65358396783614</v>
      </c>
      <c r="G22" s="808">
        <f t="shared" si="1"/>
        <v>0</v>
      </c>
      <c r="H22" s="808">
        <f t="shared" si="1"/>
        <v>95969.229306262554</v>
      </c>
      <c r="I22" s="808">
        <f t="shared" si="1"/>
        <v>14849.885792678504</v>
      </c>
      <c r="J22" s="808">
        <f t="shared" si="1"/>
        <v>0</v>
      </c>
      <c r="K22" s="808">
        <f t="shared" si="1"/>
        <v>0</v>
      </c>
      <c r="L22" s="808">
        <f t="shared" si="1"/>
        <v>0</v>
      </c>
      <c r="M22" s="808">
        <f t="shared" si="1"/>
        <v>0</v>
      </c>
      <c r="N22" s="808">
        <f t="shared" si="1"/>
        <v>5008.0042654069784</v>
      </c>
      <c r="O22" s="808">
        <f t="shared" si="1"/>
        <v>0</v>
      </c>
      <c r="P22" s="808">
        <f t="shared" si="1"/>
        <v>0</v>
      </c>
      <c r="Q22" s="808">
        <f t="shared" si="1"/>
        <v>0</v>
      </c>
      <c r="R22" s="808">
        <f t="shared" si="1"/>
        <v>116160.82287470471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2235.6426957342178</v>
      </c>
      <c r="D24" s="690">
        <f>+landbouw!C8</f>
        <v>0</v>
      </c>
      <c r="E24" s="690">
        <f>+landbouw!D8</f>
        <v>283.19168996096107</v>
      </c>
      <c r="F24" s="690">
        <f>+landbouw!E8</f>
        <v>28.171978059625488</v>
      </c>
      <c r="G24" s="690">
        <f>+landbouw!F8</f>
        <v>7713.5273622434061</v>
      </c>
      <c r="H24" s="690">
        <f>+landbouw!G8</f>
        <v>0</v>
      </c>
      <c r="I24" s="690">
        <f>+landbouw!H8</f>
        <v>0</v>
      </c>
      <c r="J24" s="690">
        <f>+landbouw!I8</f>
        <v>0</v>
      </c>
      <c r="K24" s="690">
        <f>+landbouw!J8</f>
        <v>336.21524754920085</v>
      </c>
      <c r="L24" s="690">
        <f>+landbouw!K8</f>
        <v>0</v>
      </c>
      <c r="M24" s="690">
        <f>+landbouw!L8</f>
        <v>0</v>
      </c>
      <c r="N24" s="690">
        <f>+landbouw!M8</f>
        <v>0</v>
      </c>
      <c r="O24" s="690">
        <f>+landbouw!N8</f>
        <v>0</v>
      </c>
      <c r="P24" s="690">
        <f>+landbouw!O8</f>
        <v>0</v>
      </c>
      <c r="Q24" s="691">
        <f>+landbouw!P8</f>
        <v>0</v>
      </c>
      <c r="R24" s="693">
        <f>SUM(C24:Q24)</f>
        <v>10596.74897354741</v>
      </c>
      <c r="S24" s="67"/>
    </row>
    <row r="25" spans="1:19" s="458" customFormat="1" ht="15" thickBot="1">
      <c r="A25" s="827" t="s">
        <v>872</v>
      </c>
      <c r="B25" s="1004"/>
      <c r="C25" s="1005">
        <f>IF(Onbekend_ele_kWh="---",0,Onbekend_ele_kWh)/1000+IF(REST_rest_ele_kWh="---",0,REST_rest_ele_kWh)/1000</f>
        <v>568.63141765607998</v>
      </c>
      <c r="D25" s="1005"/>
      <c r="E25" s="1005">
        <f>IF(onbekend_gas_kWh="---",0,onbekend_gas_kWh)/1000+IF(REST_rest_gas_kWh="---",0,REST_rest_gas_kWh)/1000</f>
        <v>1633.6583216039899</v>
      </c>
      <c r="F25" s="1005"/>
      <c r="G25" s="1005"/>
      <c r="H25" s="1005"/>
      <c r="I25" s="1005"/>
      <c r="J25" s="1005"/>
      <c r="K25" s="1005"/>
      <c r="L25" s="1005"/>
      <c r="M25" s="1005"/>
      <c r="N25" s="1005"/>
      <c r="O25" s="1005"/>
      <c r="P25" s="1005"/>
      <c r="Q25" s="1006"/>
      <c r="R25" s="693">
        <f>SUM(C25:Q25)</f>
        <v>2202.2897392600698</v>
      </c>
      <c r="S25" s="67"/>
    </row>
    <row r="26" spans="1:19" s="458" customFormat="1" ht="15.75" thickBot="1">
      <c r="A26" s="698" t="s">
        <v>873</v>
      </c>
      <c r="B26" s="813"/>
      <c r="C26" s="808">
        <f>SUM(C24:C25)</f>
        <v>2804.2741133902978</v>
      </c>
      <c r="D26" s="808">
        <f t="shared" ref="D26:R26" si="2">SUM(D24:D25)</f>
        <v>0</v>
      </c>
      <c r="E26" s="808">
        <f t="shared" si="2"/>
        <v>1916.8500115649508</v>
      </c>
      <c r="F26" s="808">
        <f t="shared" si="2"/>
        <v>28.171978059625488</v>
      </c>
      <c r="G26" s="808">
        <f t="shared" si="2"/>
        <v>7713.5273622434061</v>
      </c>
      <c r="H26" s="808">
        <f t="shared" si="2"/>
        <v>0</v>
      </c>
      <c r="I26" s="808">
        <f t="shared" si="2"/>
        <v>0</v>
      </c>
      <c r="J26" s="808">
        <f t="shared" si="2"/>
        <v>0</v>
      </c>
      <c r="K26" s="808">
        <f t="shared" si="2"/>
        <v>336.21524754920085</v>
      </c>
      <c r="L26" s="808">
        <f t="shared" si="2"/>
        <v>0</v>
      </c>
      <c r="M26" s="808">
        <f t="shared" si="2"/>
        <v>0</v>
      </c>
      <c r="N26" s="808">
        <f t="shared" si="2"/>
        <v>0</v>
      </c>
      <c r="O26" s="808">
        <f t="shared" si="2"/>
        <v>0</v>
      </c>
      <c r="P26" s="808">
        <f t="shared" si="2"/>
        <v>0</v>
      </c>
      <c r="Q26" s="808">
        <f t="shared" si="2"/>
        <v>0</v>
      </c>
      <c r="R26" s="808">
        <f t="shared" si="2"/>
        <v>12799.03871280748</v>
      </c>
      <c r="S26" s="67"/>
    </row>
    <row r="27" spans="1:19" s="458" customFormat="1" ht="17.25" thickTop="1" thickBot="1">
      <c r="A27" s="699" t="s">
        <v>116</v>
      </c>
      <c r="B27" s="800"/>
      <c r="C27" s="700">
        <f ca="1">C22+C16+C26</f>
        <v>34807.54548418065</v>
      </c>
      <c r="D27" s="700">
        <f t="shared" ref="D27:R27" ca="1" si="3">D22+D16+D26</f>
        <v>0</v>
      </c>
      <c r="E27" s="700">
        <f t="shared" ca="1" si="3"/>
        <v>64184.670781349298</v>
      </c>
      <c r="F27" s="700">
        <f t="shared" si="3"/>
        <v>2639.5796611606943</v>
      </c>
      <c r="G27" s="700">
        <f t="shared" ca="1" si="3"/>
        <v>31860.053972338916</v>
      </c>
      <c r="H27" s="700">
        <f t="shared" si="3"/>
        <v>95969.229306262554</v>
      </c>
      <c r="I27" s="700">
        <f t="shared" si="3"/>
        <v>14849.885792678504</v>
      </c>
      <c r="J27" s="700">
        <f t="shared" si="3"/>
        <v>0</v>
      </c>
      <c r="K27" s="700">
        <f t="shared" si="3"/>
        <v>337.65123546523097</v>
      </c>
      <c r="L27" s="700">
        <f t="shared" si="3"/>
        <v>0</v>
      </c>
      <c r="M27" s="700">
        <f t="shared" ca="1" si="3"/>
        <v>0</v>
      </c>
      <c r="N27" s="700">
        <f t="shared" si="3"/>
        <v>5008.0042654069784</v>
      </c>
      <c r="O27" s="700">
        <f t="shared" ca="1" si="3"/>
        <v>29226.043626747032</v>
      </c>
      <c r="P27" s="700">
        <f t="shared" si="3"/>
        <v>239.19000000000003</v>
      </c>
      <c r="Q27" s="700">
        <f t="shared" si="3"/>
        <v>877.06666666666672</v>
      </c>
      <c r="R27" s="700">
        <f t="shared" ca="1" si="3"/>
        <v>279998.92079225648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1806.5549637221836</v>
      </c>
      <c r="D40" s="690">
        <f ca="1">tertiair!C20</f>
        <v>0</v>
      </c>
      <c r="E40" s="690">
        <f ca="1">tertiair!D20</f>
        <v>2337.7225439370245</v>
      </c>
      <c r="F40" s="690">
        <f>tertiair!E20</f>
        <v>36.93903234737536</v>
      </c>
      <c r="G40" s="690">
        <f ca="1">tertiair!F20</f>
        <v>506.18404532364286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4687.400585330226</v>
      </c>
    </row>
    <row r="41" spans="1:18">
      <c r="A41" s="818" t="s">
        <v>225</v>
      </c>
      <c r="B41" s="825"/>
      <c r="C41" s="690">
        <f ca="1">huishoudens!B12</f>
        <v>4000.3306690099448</v>
      </c>
      <c r="D41" s="690">
        <f ca="1">huishoudens!C12</f>
        <v>0</v>
      </c>
      <c r="E41" s="690">
        <f>huishoudens!D12</f>
        <v>9853.0835363091155</v>
      </c>
      <c r="F41" s="690">
        <f>huishoudens!E12</f>
        <v>401.60589159947676</v>
      </c>
      <c r="G41" s="690">
        <f>huishoudens!F12</f>
        <v>5523.4813227463819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19778.501419664921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425.61576771648572</v>
      </c>
      <c r="D43" s="690">
        <f ca="1">industrie!C22</f>
        <v>0</v>
      </c>
      <c r="E43" s="690">
        <f>industrie!D22</f>
        <v>385.31479353774529</v>
      </c>
      <c r="F43" s="690">
        <f>industrie!E22</f>
        <v>82.13725655639162</v>
      </c>
      <c r="G43" s="690">
        <f>industrie!F22</f>
        <v>417.45723682547714</v>
      </c>
      <c r="H43" s="690">
        <f>industrie!G22</f>
        <v>0</v>
      </c>
      <c r="I43" s="690">
        <f>industrie!H22</f>
        <v>0</v>
      </c>
      <c r="J43" s="690">
        <f>industrie!I22</f>
        <v>0</v>
      </c>
      <c r="K43" s="690">
        <f>industrie!J22</f>
        <v>0.50833972227466728</v>
      </c>
      <c r="L43" s="690">
        <f>industrie!K22</f>
        <v>0</v>
      </c>
      <c r="M43" s="690">
        <f>industrie!L22</f>
        <v>0</v>
      </c>
      <c r="N43" s="690">
        <f>industrie!M22</f>
        <v>0</v>
      </c>
      <c r="O43" s="690">
        <f>industrie!N22</f>
        <v>0</v>
      </c>
      <c r="P43" s="690">
        <f>industrie!O22</f>
        <v>0</v>
      </c>
      <c r="Q43" s="767">
        <f>industrie!P22</f>
        <v>0</v>
      </c>
      <c r="R43" s="845">
        <f t="shared" ca="1" si="4"/>
        <v>1311.0333943583746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6232.5014004486138</v>
      </c>
      <c r="D46" s="725">
        <f t="shared" ref="D46:Q46" ca="1" si="5">SUM(D39:D45)</f>
        <v>0</v>
      </c>
      <c r="E46" s="725">
        <f t="shared" ca="1" si="5"/>
        <v>12576.120873783886</v>
      </c>
      <c r="F46" s="725">
        <f t="shared" si="5"/>
        <v>520.68218050324379</v>
      </c>
      <c r="G46" s="725">
        <f t="shared" ca="1" si="5"/>
        <v>6447.1226048955014</v>
      </c>
      <c r="H46" s="725">
        <f t="shared" si="5"/>
        <v>0</v>
      </c>
      <c r="I46" s="725">
        <f t="shared" si="5"/>
        <v>0</v>
      </c>
      <c r="J46" s="725">
        <f t="shared" si="5"/>
        <v>0</v>
      </c>
      <c r="K46" s="725">
        <f t="shared" si="5"/>
        <v>0.50833972227466728</v>
      </c>
      <c r="L46" s="725">
        <f t="shared" si="5"/>
        <v>0</v>
      </c>
      <c r="M46" s="725">
        <f t="shared" ca="1" si="5"/>
        <v>0</v>
      </c>
      <c r="N46" s="725">
        <f t="shared" si="5"/>
        <v>0</v>
      </c>
      <c r="O46" s="725">
        <f t="shared" ca="1" si="5"/>
        <v>0</v>
      </c>
      <c r="P46" s="725">
        <f t="shared" si="5"/>
        <v>0</v>
      </c>
      <c r="Q46" s="725">
        <f t="shared" si="5"/>
        <v>0</v>
      </c>
      <c r="R46" s="725">
        <f ca="1">SUM(R39:R45)</f>
        <v>25776.935399353522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179.5706477214093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179.5706477214093</v>
      </c>
    </row>
    <row r="50" spans="1:18">
      <c r="A50" s="821" t="s">
        <v>307</v>
      </c>
      <c r="B50" s="831"/>
      <c r="C50" s="696">
        <f ca="1">transport!B18</f>
        <v>1.2180385911128491</v>
      </c>
      <c r="D50" s="696">
        <f>transport!C18</f>
        <v>0</v>
      </c>
      <c r="E50" s="696">
        <f>transport!D18</f>
        <v>1.9789217125530185</v>
      </c>
      <c r="F50" s="696">
        <f>transport!E18</f>
        <v>72.107363560698801</v>
      </c>
      <c r="G50" s="696">
        <f>transport!F18</f>
        <v>0</v>
      </c>
      <c r="H50" s="696">
        <f>transport!G18</f>
        <v>25444.213577050694</v>
      </c>
      <c r="I50" s="696">
        <f>transport!H18</f>
        <v>3697.6215623769476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29217.139463292006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1.2180385911128491</v>
      </c>
      <c r="D52" s="725">
        <f t="shared" ref="D52:Q52" ca="1" si="6">SUM(D48:D51)</f>
        <v>0</v>
      </c>
      <c r="E52" s="725">
        <f t="shared" si="6"/>
        <v>1.9789217125530185</v>
      </c>
      <c r="F52" s="725">
        <f t="shared" si="6"/>
        <v>72.107363560698801</v>
      </c>
      <c r="G52" s="725">
        <f t="shared" si="6"/>
        <v>0</v>
      </c>
      <c r="H52" s="725">
        <f t="shared" si="6"/>
        <v>25623.784224772102</v>
      </c>
      <c r="I52" s="725">
        <f t="shared" si="6"/>
        <v>3697.6215623769476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29396.710111013414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435.46702365763184</v>
      </c>
      <c r="D54" s="696">
        <f ca="1">+landbouw!C12</f>
        <v>0</v>
      </c>
      <c r="E54" s="696">
        <f>+landbouw!D12</f>
        <v>57.204721372114143</v>
      </c>
      <c r="F54" s="696">
        <f>+landbouw!E12</f>
        <v>6.3950390195349858</v>
      </c>
      <c r="G54" s="696">
        <f>+landbouw!F12</f>
        <v>2059.5118057189893</v>
      </c>
      <c r="H54" s="696">
        <f>+landbouw!G12</f>
        <v>0</v>
      </c>
      <c r="I54" s="696">
        <f>+landbouw!H12</f>
        <v>0</v>
      </c>
      <c r="J54" s="696">
        <f>+landbouw!I12</f>
        <v>0</v>
      </c>
      <c r="K54" s="696">
        <f>+landbouw!J12</f>
        <v>119.02019763241709</v>
      </c>
      <c r="L54" s="696">
        <f>+landbouw!K12</f>
        <v>0</v>
      </c>
      <c r="M54" s="696">
        <f>+landbouw!L12</f>
        <v>0</v>
      </c>
      <c r="N54" s="696">
        <f>+landbouw!M12</f>
        <v>0</v>
      </c>
      <c r="O54" s="696">
        <f>+landbouw!N12</f>
        <v>0</v>
      </c>
      <c r="P54" s="696">
        <f>+landbouw!O12</f>
        <v>0</v>
      </c>
      <c r="Q54" s="697">
        <f>+landbouw!P12</f>
        <v>0</v>
      </c>
      <c r="R54" s="724">
        <f ca="1">SUM(C54:Q54)</f>
        <v>2677.5987874006873</v>
      </c>
    </row>
    <row r="55" spans="1:18" ht="15" thickBot="1">
      <c r="A55" s="821" t="s">
        <v>872</v>
      </c>
      <c r="B55" s="831"/>
      <c r="C55" s="696">
        <f ca="1">C25*'EF ele_warmte'!B12</f>
        <v>110.76019950656328</v>
      </c>
      <c r="D55" s="696"/>
      <c r="E55" s="696">
        <f>E25*EF_CO2_aardgas</f>
        <v>329.99898096400597</v>
      </c>
      <c r="F55" s="696"/>
      <c r="G55" s="696"/>
      <c r="H55" s="696"/>
      <c r="I55" s="696"/>
      <c r="J55" s="696"/>
      <c r="K55" s="696"/>
      <c r="L55" s="696"/>
      <c r="M55" s="696"/>
      <c r="N55" s="696"/>
      <c r="O55" s="696"/>
      <c r="P55" s="696"/>
      <c r="Q55" s="697"/>
      <c r="R55" s="724">
        <f ca="1">SUM(C55:Q55)</f>
        <v>440.75918047056928</v>
      </c>
    </row>
    <row r="56" spans="1:18" ht="15.75" thickBot="1">
      <c r="A56" s="819" t="s">
        <v>873</v>
      </c>
      <c r="B56" s="832"/>
      <c r="C56" s="725">
        <f ca="1">SUM(C54:C55)</f>
        <v>546.22722316419515</v>
      </c>
      <c r="D56" s="725">
        <f t="shared" ref="D56:Q56" ca="1" si="7">SUM(D54:D55)</f>
        <v>0</v>
      </c>
      <c r="E56" s="725">
        <f t="shared" si="7"/>
        <v>387.2037023361201</v>
      </c>
      <c r="F56" s="725">
        <f t="shared" si="7"/>
        <v>6.3950390195349858</v>
      </c>
      <c r="G56" s="725">
        <f t="shared" si="7"/>
        <v>2059.5118057189893</v>
      </c>
      <c r="H56" s="725">
        <f t="shared" si="7"/>
        <v>0</v>
      </c>
      <c r="I56" s="725">
        <f t="shared" si="7"/>
        <v>0</v>
      </c>
      <c r="J56" s="725">
        <f t="shared" si="7"/>
        <v>0</v>
      </c>
      <c r="K56" s="725">
        <f t="shared" si="7"/>
        <v>119.02019763241709</v>
      </c>
      <c r="L56" s="725">
        <f t="shared" si="7"/>
        <v>0</v>
      </c>
      <c r="M56" s="725">
        <f t="shared" si="7"/>
        <v>0</v>
      </c>
      <c r="N56" s="725">
        <f t="shared" si="7"/>
        <v>0</v>
      </c>
      <c r="O56" s="725">
        <f t="shared" si="7"/>
        <v>0</v>
      </c>
      <c r="P56" s="725">
        <f t="shared" si="7"/>
        <v>0</v>
      </c>
      <c r="Q56" s="726">
        <f t="shared" si="7"/>
        <v>0</v>
      </c>
      <c r="R56" s="727">
        <f ca="1">SUM(R54:R55)</f>
        <v>3118.3579678712567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6779.9466622039217</v>
      </c>
      <c r="D61" s="733">
        <f t="shared" ref="D61:Q61" ca="1" si="8">D46+D52+D56</f>
        <v>0</v>
      </c>
      <c r="E61" s="733">
        <f t="shared" ca="1" si="8"/>
        <v>12965.30349783256</v>
      </c>
      <c r="F61" s="733">
        <f t="shared" si="8"/>
        <v>599.18458308347761</v>
      </c>
      <c r="G61" s="733">
        <f t="shared" ca="1" si="8"/>
        <v>8506.6344106144898</v>
      </c>
      <c r="H61" s="733">
        <f t="shared" si="8"/>
        <v>25623.784224772102</v>
      </c>
      <c r="I61" s="733">
        <f t="shared" si="8"/>
        <v>3697.6215623769476</v>
      </c>
      <c r="J61" s="733">
        <f t="shared" si="8"/>
        <v>0</v>
      </c>
      <c r="K61" s="733">
        <f t="shared" si="8"/>
        <v>119.52853735469176</v>
      </c>
      <c r="L61" s="733">
        <f t="shared" si="8"/>
        <v>0</v>
      </c>
      <c r="M61" s="733">
        <f t="shared" ca="1" si="8"/>
        <v>0</v>
      </c>
      <c r="N61" s="733">
        <f t="shared" si="8"/>
        <v>0</v>
      </c>
      <c r="O61" s="733">
        <f t="shared" ca="1" si="8"/>
        <v>0</v>
      </c>
      <c r="P61" s="733">
        <f t="shared" si="8"/>
        <v>0</v>
      </c>
      <c r="Q61" s="733">
        <f t="shared" si="8"/>
        <v>0</v>
      </c>
      <c r="R61" s="733">
        <f ca="1">R46+R52+R56</f>
        <v>58292.003478238192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0.19478381965442737</v>
      </c>
      <c r="D63" s="776">
        <f t="shared" ca="1" si="9"/>
        <v>0</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4129.0537999999997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4129.0537999999997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4129.0537999999997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4129.0537999999997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20537.284236991898</v>
      </c>
      <c r="C4" s="462">
        <f>huishoudens!C8</f>
        <v>0</v>
      </c>
      <c r="D4" s="462">
        <f>huishoudens!D8</f>
        <v>48777.641268857005</v>
      </c>
      <c r="E4" s="462">
        <f>huishoudens!E8</f>
        <v>1769.1889497774307</v>
      </c>
      <c r="F4" s="462">
        <f>huishoudens!F8</f>
        <v>20687.195965342253</v>
      </c>
      <c r="G4" s="462">
        <f>huishoudens!G8</f>
        <v>0</v>
      </c>
      <c r="H4" s="462">
        <f>huishoudens!H8</f>
        <v>0</v>
      </c>
      <c r="I4" s="462">
        <f>huishoudens!I8</f>
        <v>0</v>
      </c>
      <c r="J4" s="462">
        <f>huishoudens!J8</f>
        <v>0</v>
      </c>
      <c r="K4" s="462">
        <f>huishoudens!K8</f>
        <v>0</v>
      </c>
      <c r="L4" s="462">
        <f>huishoudens!L8</f>
        <v>0</v>
      </c>
      <c r="M4" s="462">
        <f>huishoudens!M8</f>
        <v>0</v>
      </c>
      <c r="N4" s="462">
        <f>huishoudens!N8</f>
        <v>27512.845139962679</v>
      </c>
      <c r="O4" s="462">
        <f>huishoudens!O8</f>
        <v>232.9366666666667</v>
      </c>
      <c r="P4" s="463">
        <f>huishoudens!P8</f>
        <v>838.93333333333339</v>
      </c>
      <c r="Q4" s="464">
        <f>SUM(B4:P4)</f>
        <v>120356.02556093126</v>
      </c>
    </row>
    <row r="5" spans="1:17">
      <c r="A5" s="461" t="s">
        <v>156</v>
      </c>
      <c r="B5" s="462">
        <f ca="1">tertiair!B16</f>
        <v>8717.3834837318318</v>
      </c>
      <c r="C5" s="462">
        <f ca="1">tertiair!C16</f>
        <v>0</v>
      </c>
      <c r="D5" s="462">
        <f ca="1">tertiair!D16</f>
        <v>11572.883880876358</v>
      </c>
      <c r="E5" s="462">
        <f>tertiair!E16</f>
        <v>162.72701474614695</v>
      </c>
      <c r="F5" s="462">
        <f ca="1">tertiair!F16</f>
        <v>1895.8203944705724</v>
      </c>
      <c r="G5" s="462">
        <f>tertiair!G16</f>
        <v>0</v>
      </c>
      <c r="H5" s="462">
        <f>tertiair!H16</f>
        <v>0</v>
      </c>
      <c r="I5" s="462">
        <f>tertiair!I16</f>
        <v>0</v>
      </c>
      <c r="J5" s="462">
        <f>tertiair!J16</f>
        <v>0</v>
      </c>
      <c r="K5" s="462">
        <f>tertiair!K16</f>
        <v>0</v>
      </c>
      <c r="L5" s="462">
        <f ca="1">tertiair!L16</f>
        <v>0</v>
      </c>
      <c r="M5" s="462">
        <f>tertiair!M16</f>
        <v>0</v>
      </c>
      <c r="N5" s="462">
        <f ca="1">tertiair!N16</f>
        <v>1019.7286618737378</v>
      </c>
      <c r="O5" s="462">
        <f>tertiair!O16</f>
        <v>6.2533333333333339</v>
      </c>
      <c r="P5" s="463">
        <f>tertiair!P16</f>
        <v>38.133333333333333</v>
      </c>
      <c r="Q5" s="461">
        <f t="shared" ref="Q5:Q14" ca="1" si="0">SUM(B5:P5)</f>
        <v>23412.930102365313</v>
      </c>
    </row>
    <row r="6" spans="1:17">
      <c r="A6" s="461" t="s">
        <v>194</v>
      </c>
      <c r="B6" s="462">
        <f>'openbare verlichting'!B8</f>
        <v>557.28300000000002</v>
      </c>
      <c r="C6" s="462"/>
      <c r="D6" s="462"/>
      <c r="E6" s="462"/>
      <c r="F6" s="462"/>
      <c r="G6" s="462"/>
      <c r="H6" s="462"/>
      <c r="I6" s="462"/>
      <c r="J6" s="462"/>
      <c r="K6" s="462"/>
      <c r="L6" s="462"/>
      <c r="M6" s="462"/>
      <c r="N6" s="462"/>
      <c r="O6" s="462"/>
      <c r="P6" s="463"/>
      <c r="Q6" s="461">
        <f t="shared" si="0"/>
        <v>557.28300000000002</v>
      </c>
    </row>
    <row r="7" spans="1:17">
      <c r="A7" s="461" t="s">
        <v>112</v>
      </c>
      <c r="B7" s="462">
        <f>landbouw!B8</f>
        <v>2235.6426957342178</v>
      </c>
      <c r="C7" s="462">
        <f>landbouw!C8</f>
        <v>0</v>
      </c>
      <c r="D7" s="462">
        <f>landbouw!D8</f>
        <v>283.19168996096107</v>
      </c>
      <c r="E7" s="462">
        <f>landbouw!E8</f>
        <v>28.171978059625488</v>
      </c>
      <c r="F7" s="462">
        <f>landbouw!F8</f>
        <v>7713.5273622434061</v>
      </c>
      <c r="G7" s="462">
        <f>landbouw!G8</f>
        <v>0</v>
      </c>
      <c r="H7" s="462">
        <f>landbouw!H8</f>
        <v>0</v>
      </c>
      <c r="I7" s="462">
        <f>landbouw!I8</f>
        <v>0</v>
      </c>
      <c r="J7" s="462">
        <f>landbouw!J8</f>
        <v>336.21524754920085</v>
      </c>
      <c r="K7" s="462">
        <f>landbouw!K8</f>
        <v>0</v>
      </c>
      <c r="L7" s="462">
        <f>landbouw!L8</f>
        <v>0</v>
      </c>
      <c r="M7" s="462">
        <f>landbouw!M8</f>
        <v>0</v>
      </c>
      <c r="N7" s="462">
        <f>landbouw!N8</f>
        <v>0</v>
      </c>
      <c r="O7" s="462">
        <f>landbouw!O8</f>
        <v>0</v>
      </c>
      <c r="P7" s="463">
        <f>landbouw!P8</f>
        <v>0</v>
      </c>
      <c r="Q7" s="461">
        <f t="shared" si="0"/>
        <v>10596.74897354741</v>
      </c>
    </row>
    <row r="8" spans="1:17">
      <c r="A8" s="461" t="s">
        <v>657</v>
      </c>
      <c r="B8" s="462">
        <f>industrie!B18</f>
        <v>2185.0673658191172</v>
      </c>
      <c r="C8" s="462">
        <f>industrie!C18</f>
        <v>0</v>
      </c>
      <c r="D8" s="462">
        <f>industrie!D18</f>
        <v>1907.49897790963</v>
      </c>
      <c r="E8" s="462">
        <f>industrie!E18</f>
        <v>361.83813460965467</v>
      </c>
      <c r="F8" s="462">
        <f>industrie!F18</f>
        <v>1563.5102502826858</v>
      </c>
      <c r="G8" s="462">
        <f>industrie!G18</f>
        <v>0</v>
      </c>
      <c r="H8" s="462">
        <f>industrie!H18</f>
        <v>0</v>
      </c>
      <c r="I8" s="462">
        <f>industrie!I18</f>
        <v>0</v>
      </c>
      <c r="J8" s="462">
        <f>industrie!J18</f>
        <v>1.4359879160301336</v>
      </c>
      <c r="K8" s="462">
        <f>industrie!K18</f>
        <v>0</v>
      </c>
      <c r="L8" s="462">
        <f>industrie!L18</f>
        <v>0</v>
      </c>
      <c r="M8" s="462">
        <f>industrie!M18</f>
        <v>0</v>
      </c>
      <c r="N8" s="462">
        <f>industrie!N18</f>
        <v>693.46982491061556</v>
      </c>
      <c r="O8" s="462">
        <f>industrie!O18</f>
        <v>0</v>
      </c>
      <c r="P8" s="463">
        <f>industrie!P18</f>
        <v>0</v>
      </c>
      <c r="Q8" s="461">
        <f t="shared" si="0"/>
        <v>6712.8205414477334</v>
      </c>
    </row>
    <row r="9" spans="1:17" s="467" customFormat="1">
      <c r="A9" s="465" t="s">
        <v>574</v>
      </c>
      <c r="B9" s="466">
        <f>transport!B14</f>
        <v>6.2532842474996775</v>
      </c>
      <c r="C9" s="466">
        <f>transport!C14</f>
        <v>0</v>
      </c>
      <c r="D9" s="466">
        <f>transport!D14</f>
        <v>9.7966421413515761</v>
      </c>
      <c r="E9" s="466">
        <f>transport!E14</f>
        <v>317.65358396783614</v>
      </c>
      <c r="F9" s="466">
        <f>transport!F14</f>
        <v>0</v>
      </c>
      <c r="G9" s="466">
        <f>transport!G14</f>
        <v>95296.680063860273</v>
      </c>
      <c r="H9" s="466">
        <f>transport!H14</f>
        <v>14849.885792678504</v>
      </c>
      <c r="I9" s="466">
        <f>transport!I14</f>
        <v>0</v>
      </c>
      <c r="J9" s="466">
        <f>transport!J14</f>
        <v>0</v>
      </c>
      <c r="K9" s="466">
        <f>transport!K14</f>
        <v>0</v>
      </c>
      <c r="L9" s="466">
        <f>transport!L14</f>
        <v>0</v>
      </c>
      <c r="M9" s="466">
        <f>transport!M14</f>
        <v>4978.0943555981421</v>
      </c>
      <c r="N9" s="466">
        <f>transport!N14</f>
        <v>0</v>
      </c>
      <c r="O9" s="466">
        <f>transport!O14</f>
        <v>0</v>
      </c>
      <c r="P9" s="466">
        <f>transport!P14</f>
        <v>0</v>
      </c>
      <c r="Q9" s="465">
        <f>SUM(B9:P9)</f>
        <v>115458.3637224936</v>
      </c>
    </row>
    <row r="10" spans="1:17">
      <c r="A10" s="461" t="s">
        <v>564</v>
      </c>
      <c r="B10" s="462">
        <f>transport!B54</f>
        <v>0</v>
      </c>
      <c r="C10" s="462">
        <f>transport!C54</f>
        <v>0</v>
      </c>
      <c r="D10" s="462">
        <f>transport!D54</f>
        <v>0</v>
      </c>
      <c r="E10" s="462">
        <f>transport!E54</f>
        <v>0</v>
      </c>
      <c r="F10" s="462">
        <f>transport!F54</f>
        <v>0</v>
      </c>
      <c r="G10" s="462">
        <f>transport!G54</f>
        <v>672.54924240228195</v>
      </c>
      <c r="H10" s="462">
        <f>transport!H54</f>
        <v>0</v>
      </c>
      <c r="I10" s="462">
        <f>transport!I54</f>
        <v>0</v>
      </c>
      <c r="J10" s="462">
        <f>transport!J54</f>
        <v>0</v>
      </c>
      <c r="K10" s="462">
        <f>transport!K54</f>
        <v>0</v>
      </c>
      <c r="L10" s="462">
        <f>transport!L54</f>
        <v>0</v>
      </c>
      <c r="M10" s="462">
        <f>transport!M54</f>
        <v>29.909909808836733</v>
      </c>
      <c r="N10" s="462">
        <f>transport!N54</f>
        <v>0</v>
      </c>
      <c r="O10" s="462">
        <f>transport!O54</f>
        <v>0</v>
      </c>
      <c r="P10" s="463">
        <f>transport!P54</f>
        <v>0</v>
      </c>
      <c r="Q10" s="461">
        <f t="shared" si="0"/>
        <v>702.45915221111864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568.63141765607998</v>
      </c>
      <c r="C14" s="469"/>
      <c r="D14" s="469">
        <f>'SEAP template'!E25</f>
        <v>1633.6583216039899</v>
      </c>
      <c r="E14" s="469"/>
      <c r="F14" s="469"/>
      <c r="G14" s="469"/>
      <c r="H14" s="469"/>
      <c r="I14" s="469"/>
      <c r="J14" s="469"/>
      <c r="K14" s="469"/>
      <c r="L14" s="469"/>
      <c r="M14" s="469"/>
      <c r="N14" s="469"/>
      <c r="O14" s="469"/>
      <c r="P14" s="470"/>
      <c r="Q14" s="461">
        <f t="shared" si="0"/>
        <v>2202.2897392600698</v>
      </c>
    </row>
    <row r="15" spans="1:17" s="474" customFormat="1">
      <c r="A15" s="471" t="s">
        <v>568</v>
      </c>
      <c r="B15" s="472">
        <f ca="1">SUM(B4:B14)</f>
        <v>34807.545484180642</v>
      </c>
      <c r="C15" s="472">
        <f t="shared" ref="C15:Q15" ca="1" si="1">SUM(C4:C14)</f>
        <v>0</v>
      </c>
      <c r="D15" s="472">
        <f t="shared" ca="1" si="1"/>
        <v>64184.670781349298</v>
      </c>
      <c r="E15" s="472">
        <f t="shared" si="1"/>
        <v>2639.5796611606943</v>
      </c>
      <c r="F15" s="472">
        <f t="shared" ca="1" si="1"/>
        <v>31860.053972338916</v>
      </c>
      <c r="G15" s="472">
        <f t="shared" si="1"/>
        <v>95969.229306262554</v>
      </c>
      <c r="H15" s="472">
        <f t="shared" si="1"/>
        <v>14849.885792678504</v>
      </c>
      <c r="I15" s="472">
        <f t="shared" si="1"/>
        <v>0</v>
      </c>
      <c r="J15" s="472">
        <f t="shared" si="1"/>
        <v>337.65123546523097</v>
      </c>
      <c r="K15" s="472">
        <f t="shared" si="1"/>
        <v>0</v>
      </c>
      <c r="L15" s="472">
        <f t="shared" ca="1" si="1"/>
        <v>0</v>
      </c>
      <c r="M15" s="472">
        <f t="shared" si="1"/>
        <v>5008.0042654069784</v>
      </c>
      <c r="N15" s="472">
        <f t="shared" ca="1" si="1"/>
        <v>29226.043626747032</v>
      </c>
      <c r="O15" s="472">
        <f t="shared" si="1"/>
        <v>239.19000000000003</v>
      </c>
      <c r="P15" s="472">
        <f t="shared" si="1"/>
        <v>877.06666666666672</v>
      </c>
      <c r="Q15" s="472">
        <f t="shared" ca="1" si="1"/>
        <v>279998.92079225648</v>
      </c>
    </row>
    <row r="17" spans="1:17">
      <c r="A17" s="475" t="s">
        <v>569</v>
      </c>
      <c r="B17" s="781">
        <f ca="1">huishoudens!B10</f>
        <v>0.19478381965442743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4000.3306690099448</v>
      </c>
      <c r="C22" s="462">
        <f t="shared" ref="C22:C32" ca="1" si="3">C4*$C$17</f>
        <v>0</v>
      </c>
      <c r="D22" s="462">
        <f t="shared" ref="D22:D32" si="4">D4*$D$17</f>
        <v>9853.0835363091155</v>
      </c>
      <c r="E22" s="462">
        <f t="shared" ref="E22:E32" si="5">E4*$E$17</f>
        <v>401.60589159947676</v>
      </c>
      <c r="F22" s="462">
        <f t="shared" ref="F22:F32" si="6">F4*$F$17</f>
        <v>5523.4813227463819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19778.501419664921</v>
      </c>
    </row>
    <row r="23" spans="1:17">
      <c r="A23" s="461" t="s">
        <v>156</v>
      </c>
      <c r="B23" s="462">
        <f t="shared" ca="1" si="2"/>
        <v>1698.0052523537054</v>
      </c>
      <c r="C23" s="462">
        <f t="shared" ca="1" si="3"/>
        <v>0</v>
      </c>
      <c r="D23" s="462">
        <f t="shared" ca="1" si="4"/>
        <v>2337.7225439370245</v>
      </c>
      <c r="E23" s="462">
        <f t="shared" si="5"/>
        <v>36.93903234737536</v>
      </c>
      <c r="F23" s="462">
        <f t="shared" ca="1" si="6"/>
        <v>506.18404532364286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4578.8508739617482</v>
      </c>
    </row>
    <row r="24" spans="1:17">
      <c r="A24" s="461" t="s">
        <v>194</v>
      </c>
      <c r="B24" s="462">
        <f t="shared" ca="1" si="2"/>
        <v>108.54971136847828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108.54971136847828</v>
      </c>
    </row>
    <row r="25" spans="1:17">
      <c r="A25" s="461" t="s">
        <v>112</v>
      </c>
      <c r="B25" s="462">
        <f t="shared" ca="1" si="2"/>
        <v>435.46702365763184</v>
      </c>
      <c r="C25" s="462">
        <f t="shared" ca="1" si="3"/>
        <v>0</v>
      </c>
      <c r="D25" s="462">
        <f t="shared" si="4"/>
        <v>57.204721372114143</v>
      </c>
      <c r="E25" s="462">
        <f t="shared" si="5"/>
        <v>6.3950390195349858</v>
      </c>
      <c r="F25" s="462">
        <f t="shared" si="6"/>
        <v>2059.5118057189893</v>
      </c>
      <c r="G25" s="462">
        <f t="shared" si="7"/>
        <v>0</v>
      </c>
      <c r="H25" s="462">
        <f t="shared" si="8"/>
        <v>0</v>
      </c>
      <c r="I25" s="462">
        <f t="shared" si="9"/>
        <v>0</v>
      </c>
      <c r="J25" s="462">
        <f t="shared" si="10"/>
        <v>119.02019763241709</v>
      </c>
      <c r="K25" s="462">
        <f t="shared" si="11"/>
        <v>0</v>
      </c>
      <c r="L25" s="462">
        <f t="shared" si="12"/>
        <v>0</v>
      </c>
      <c r="M25" s="462">
        <f t="shared" si="13"/>
        <v>0</v>
      </c>
      <c r="N25" s="462">
        <f t="shared" si="14"/>
        <v>0</v>
      </c>
      <c r="O25" s="462">
        <f t="shared" si="15"/>
        <v>0</v>
      </c>
      <c r="P25" s="463">
        <f t="shared" si="16"/>
        <v>0</v>
      </c>
      <c r="Q25" s="461">
        <f t="shared" ca="1" si="17"/>
        <v>2677.5987874006873</v>
      </c>
    </row>
    <row r="26" spans="1:17">
      <c r="A26" s="461" t="s">
        <v>657</v>
      </c>
      <c r="B26" s="462">
        <f t="shared" ca="1" si="2"/>
        <v>425.61576771648572</v>
      </c>
      <c r="C26" s="462">
        <f t="shared" ca="1" si="3"/>
        <v>0</v>
      </c>
      <c r="D26" s="462">
        <f t="shared" si="4"/>
        <v>385.31479353774529</v>
      </c>
      <c r="E26" s="462">
        <f t="shared" si="5"/>
        <v>82.13725655639162</v>
      </c>
      <c r="F26" s="462">
        <f t="shared" si="6"/>
        <v>417.45723682547714</v>
      </c>
      <c r="G26" s="462">
        <f t="shared" si="7"/>
        <v>0</v>
      </c>
      <c r="H26" s="462">
        <f t="shared" si="8"/>
        <v>0</v>
      </c>
      <c r="I26" s="462">
        <f t="shared" si="9"/>
        <v>0</v>
      </c>
      <c r="J26" s="462">
        <f t="shared" si="10"/>
        <v>0.50833972227466728</v>
      </c>
      <c r="K26" s="462">
        <f t="shared" si="11"/>
        <v>0</v>
      </c>
      <c r="L26" s="462">
        <f t="shared" si="12"/>
        <v>0</v>
      </c>
      <c r="M26" s="462">
        <f t="shared" si="13"/>
        <v>0</v>
      </c>
      <c r="N26" s="462">
        <f t="shared" si="14"/>
        <v>0</v>
      </c>
      <c r="O26" s="462">
        <f t="shared" si="15"/>
        <v>0</v>
      </c>
      <c r="P26" s="463">
        <f t="shared" si="16"/>
        <v>0</v>
      </c>
      <c r="Q26" s="461">
        <f t="shared" ca="1" si="17"/>
        <v>1311.0333943583746</v>
      </c>
    </row>
    <row r="27" spans="1:17" s="467" customFormat="1">
      <c r="A27" s="465" t="s">
        <v>574</v>
      </c>
      <c r="B27" s="775">
        <f t="shared" ca="1" si="2"/>
        <v>1.2180385911128491</v>
      </c>
      <c r="C27" s="466">
        <f t="shared" ca="1" si="3"/>
        <v>0</v>
      </c>
      <c r="D27" s="466">
        <f t="shared" si="4"/>
        <v>1.9789217125530185</v>
      </c>
      <c r="E27" s="466">
        <f t="shared" si="5"/>
        <v>72.107363560698801</v>
      </c>
      <c r="F27" s="466">
        <f t="shared" si="6"/>
        <v>0</v>
      </c>
      <c r="G27" s="466">
        <f t="shared" si="7"/>
        <v>25444.213577050694</v>
      </c>
      <c r="H27" s="466">
        <f t="shared" si="8"/>
        <v>3697.6215623769476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29217.139463292006</v>
      </c>
    </row>
    <row r="28" spans="1:17">
      <c r="A28" s="461" t="s">
        <v>564</v>
      </c>
      <c r="B28" s="462">
        <f t="shared" ca="1" si="2"/>
        <v>0</v>
      </c>
      <c r="C28" s="462">
        <f t="shared" ca="1" si="3"/>
        <v>0</v>
      </c>
      <c r="D28" s="462">
        <f t="shared" si="4"/>
        <v>0</v>
      </c>
      <c r="E28" s="462">
        <f t="shared" si="5"/>
        <v>0</v>
      </c>
      <c r="F28" s="462">
        <f t="shared" si="6"/>
        <v>0</v>
      </c>
      <c r="G28" s="462">
        <f t="shared" si="7"/>
        <v>179.5706477214093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179.5706477214093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110.76019950656328</v>
      </c>
      <c r="C32" s="462">
        <f t="shared" ca="1" si="3"/>
        <v>0</v>
      </c>
      <c r="D32" s="462">
        <f t="shared" si="4"/>
        <v>329.99898096400597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440.75918047056928</v>
      </c>
    </row>
    <row r="33" spans="1:17" s="474" customFormat="1">
      <c r="A33" s="471" t="s">
        <v>568</v>
      </c>
      <c r="B33" s="472">
        <f ca="1">SUM(B22:B32)</f>
        <v>6779.9466622039226</v>
      </c>
      <c r="C33" s="472">
        <f t="shared" ref="C33:Q33" ca="1" si="18">SUM(C22:C32)</f>
        <v>0</v>
      </c>
      <c r="D33" s="472">
        <f t="shared" ca="1" si="18"/>
        <v>12965.30349783256</v>
      </c>
      <c r="E33" s="472">
        <f t="shared" si="18"/>
        <v>599.18458308347749</v>
      </c>
      <c r="F33" s="472">
        <f t="shared" ca="1" si="18"/>
        <v>8506.6344106144916</v>
      </c>
      <c r="G33" s="472">
        <f t="shared" si="18"/>
        <v>25623.784224772102</v>
      </c>
      <c r="H33" s="472">
        <f t="shared" si="18"/>
        <v>3697.6215623769476</v>
      </c>
      <c r="I33" s="472">
        <f t="shared" si="18"/>
        <v>0</v>
      </c>
      <c r="J33" s="472">
        <f t="shared" si="18"/>
        <v>119.52853735469176</v>
      </c>
      <c r="K33" s="472">
        <f t="shared" si="18"/>
        <v>0</v>
      </c>
      <c r="L33" s="472">
        <f t="shared" ca="1" si="18"/>
        <v>0</v>
      </c>
      <c r="M33" s="472">
        <f t="shared" si="18"/>
        <v>0</v>
      </c>
      <c r="N33" s="472">
        <f t="shared" ca="1" si="18"/>
        <v>0</v>
      </c>
      <c r="O33" s="472">
        <f t="shared" si="18"/>
        <v>0</v>
      </c>
      <c r="P33" s="472">
        <f t="shared" si="18"/>
        <v>0</v>
      </c>
      <c r="Q33" s="472">
        <f t="shared" ca="1" si="18"/>
        <v>58292.003478238192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4129.0537999999997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4129.0537999999997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0.19478381965442743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0.19478381965442743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2019-07-04T14:24:59Z</dcterms:modified>
</cp:coreProperties>
</file>