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L10" s="1"/>
  <c r="K9"/>
  <c r="J9"/>
  <c r="G9"/>
  <c r="F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K10"/>
  <c r="G10"/>
  <c r="F10"/>
  <c r="D10"/>
  <c r="B6"/>
  <c r="B5"/>
  <c r="B4"/>
  <c r="O9" l="1"/>
  <c r="I102"/>
  <c r="H17" s="1"/>
  <c r="H20" s="1"/>
  <c r="C102"/>
  <c r="B102"/>
  <c r="C17" s="1"/>
  <c r="F102"/>
  <c r="G102"/>
  <c r="I101"/>
  <c r="H8" s="1"/>
  <c r="H10" s="1"/>
  <c r="H101"/>
  <c r="D101"/>
  <c r="B101"/>
  <c r="C8" s="1"/>
  <c r="C10" s="1"/>
  <c r="C101"/>
  <c r="F101"/>
  <c r="G101"/>
  <c r="B10"/>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I54"/>
  <c r="H54"/>
  <c r="H56" s="1"/>
  <c r="Q24"/>
  <c r="P24"/>
  <c r="P26" s="1"/>
  <c r="N24"/>
  <c r="L24"/>
  <c r="J24"/>
  <c r="I24"/>
  <c r="H24"/>
  <c r="Q50"/>
  <c r="P50"/>
  <c r="O50"/>
  <c r="M50"/>
  <c r="L50"/>
  <c r="K50"/>
  <c r="J50"/>
  <c r="G50"/>
  <c r="D50"/>
  <c r="Q49"/>
  <c r="P49"/>
  <c r="Q20"/>
  <c r="P20"/>
  <c r="O20"/>
  <c r="M20"/>
  <c r="M22" s="1"/>
  <c r="L20"/>
  <c r="K20"/>
  <c r="J20"/>
  <c r="G20"/>
  <c r="D20"/>
  <c r="Q19"/>
  <c r="P19"/>
  <c r="O19"/>
  <c r="M19"/>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I26"/>
  <c r="E25"/>
  <c r="E55" s="1"/>
  <c r="C25"/>
  <c r="B14" i="48" s="1"/>
  <c r="N26" i="14"/>
  <c r="L26"/>
  <c r="J26"/>
  <c r="H26"/>
  <c r="J22"/>
  <c r="L78" l="1"/>
  <c r="L9" i="59"/>
  <c r="L10" s="1"/>
  <c r="Q52" i="14"/>
  <c r="G10" i="59"/>
  <c r="P28" i="48"/>
  <c r="Q11"/>
  <c r="K22" i="14"/>
  <c r="L22"/>
  <c r="K20" i="59"/>
  <c r="L20"/>
  <c r="D22" i="14"/>
  <c r="P32" i="48"/>
  <c r="E10" i="59"/>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J78" i="14"/>
  <c r="J8" i="59"/>
  <c r="J1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1"/>
  <c r="E30"/>
  <c r="E24"/>
  <c r="M32"/>
  <c r="M29"/>
  <c r="M26"/>
  <c r="M25"/>
  <c r="M30"/>
  <c r="M22"/>
  <c r="M24"/>
  <c r="M23"/>
  <c r="L27"/>
  <c r="L29"/>
  <c r="L32"/>
  <c r="L28"/>
  <c r="L24"/>
  <c r="L22"/>
  <c r="L31"/>
  <c r="L30"/>
  <c r="J31"/>
  <c r="J29"/>
  <c r="J32"/>
  <c r="J27"/>
  <c r="J28"/>
  <c r="J24"/>
  <c r="J30"/>
  <c r="O4"/>
  <c r="P11" i="14"/>
  <c r="I22" i="48"/>
  <c r="I31"/>
  <c r="I26"/>
  <c r="I32"/>
  <c r="I25"/>
  <c r="I27"/>
  <c r="I30"/>
  <c r="I28"/>
  <c r="I24"/>
  <c r="I29"/>
  <c r="L10" i="14"/>
  <c r="L16" s="1"/>
  <c r="L27" s="1"/>
  <c r="K5" i="48"/>
  <c r="P5"/>
  <c r="P23" s="1"/>
  <c r="Q10" i="14"/>
  <c r="K32" i="48"/>
  <c r="K28"/>
  <c r="K26"/>
  <c r="K22"/>
  <c r="K31"/>
  <c r="K30"/>
  <c r="K27"/>
  <c r="K25"/>
  <c r="K29"/>
  <c r="K24"/>
  <c r="B7"/>
  <c r="C24" i="14"/>
  <c r="C26" s="1"/>
  <c r="P4" i="48"/>
  <c r="Q11" i="14"/>
  <c r="E11"/>
  <c r="D4" i="48"/>
  <c r="D22" s="1"/>
  <c r="D11" i="14"/>
  <c r="C4" i="48"/>
  <c r="G32"/>
  <c r="G26"/>
  <c r="G22"/>
  <c r="G29"/>
  <c r="G25"/>
  <c r="G30"/>
  <c r="G24"/>
  <c r="G23"/>
  <c r="D30"/>
  <c r="D28"/>
  <c r="D24"/>
  <c r="D31"/>
  <c r="D29"/>
  <c r="D32"/>
  <c r="H29"/>
  <c r="H26"/>
  <c r="H32"/>
  <c r="H25"/>
  <c r="H30"/>
  <c r="H24"/>
  <c r="H28"/>
  <c r="H22"/>
  <c r="H23"/>
  <c r="C11" i="14"/>
  <c r="B4" i="48"/>
  <c r="F32"/>
  <c r="F28"/>
  <c r="F24"/>
  <c r="F29"/>
  <c r="F27"/>
  <c r="F31"/>
  <c r="F30"/>
  <c r="N32"/>
  <c r="N31"/>
  <c r="N29"/>
  <c r="N28"/>
  <c r="N30"/>
  <c r="N24"/>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M12" i="22"/>
  <c r="N18" i="14"/>
  <c r="M13" i="48"/>
  <c r="M31" s="1"/>
  <c r="H18" i="14"/>
  <c r="G13" i="48"/>
  <c r="H13"/>
  <c r="H31" s="1"/>
  <c r="I18" i="14"/>
  <c r="K33" i="48"/>
  <c r="P22" i="16"/>
  <c r="Q43" i="14" s="1"/>
  <c r="P8" i="48"/>
  <c r="P26" s="1"/>
  <c r="Q13" i="14"/>
  <c r="K15" i="48"/>
  <c r="K23"/>
  <c r="O5"/>
  <c r="O23" s="1"/>
  <c r="P10" i="14"/>
  <c r="F4" i="48"/>
  <c r="F22" s="1"/>
  <c r="G11" i="14"/>
  <c r="K24"/>
  <c r="K26" s="1"/>
  <c r="J7" i="48"/>
  <c r="J25" s="1"/>
  <c r="O22"/>
  <c r="J10" i="14"/>
  <c r="J16" s="1"/>
  <c r="J27" s="1"/>
  <c r="I5" i="48"/>
  <c r="Q16" i="14"/>
  <c r="Q27" s="1"/>
  <c r="L46"/>
  <c r="L61" s="1"/>
  <c r="L63" s="1"/>
  <c r="C22"/>
  <c r="P22" i="48"/>
  <c r="E9"/>
  <c r="F20" i="14"/>
  <c r="F22" s="1"/>
  <c r="E20"/>
  <c r="E22" s="1"/>
  <c r="D9" i="48"/>
  <c r="D27"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H20"/>
  <c r="H22" s="1"/>
  <c r="H27" s="1"/>
  <c r="G9" i="48"/>
  <c r="O8"/>
  <c r="P13" i="14"/>
  <c r="P16" s="1"/>
  <c r="P27" s="1"/>
  <c r="E27" i="48"/>
  <c r="E7"/>
  <c r="E25" s="1"/>
  <c r="F24" i="14"/>
  <c r="F26" s="1"/>
  <c r="M10" i="48"/>
  <c r="M28" s="1"/>
  <c r="N19" i="14"/>
  <c r="N22" s="1"/>
  <c r="N27" s="1"/>
  <c r="P46"/>
  <c r="P61" s="1"/>
  <c r="Q46"/>
  <c r="Q61" s="1"/>
  <c r="Q63" s="1"/>
  <c r="P33" i="48"/>
  <c r="R18" i="14"/>
  <c r="H19"/>
  <c r="G10" i="48"/>
  <c r="I23"/>
  <c r="I33" s="1"/>
  <c r="I15"/>
  <c r="G31"/>
  <c r="Q13"/>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E61"/>
  <c r="P63"/>
  <c r="G28" i="48"/>
  <c r="Q10"/>
  <c r="O26"/>
  <c r="O33" s="1"/>
  <c r="O15"/>
  <c r="R11" i="14"/>
  <c r="I20"/>
  <c r="I22" s="1"/>
  <c r="I27" s="1"/>
  <c r="H9" i="48"/>
  <c r="G27"/>
  <c r="G33" s="1"/>
  <c r="G15"/>
  <c r="K10" i="14"/>
  <c r="J5" i="48"/>
  <c r="J23" s="1"/>
  <c r="M27"/>
  <c r="M33" s="1"/>
  <c r="M15"/>
  <c r="E20" i="15"/>
  <c r="F40" i="14" s="1"/>
  <c r="E5" i="48"/>
  <c r="E23" s="1"/>
  <c r="F10" i="14"/>
  <c r="E22" i="48"/>
  <c r="Q4"/>
  <c r="J22"/>
  <c r="R19" i="14"/>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I63" i="14"/>
  <c r="R20"/>
  <c r="R22" s="1"/>
  <c r="F13"/>
  <c r="E8" i="48"/>
  <c r="F46" i="14"/>
  <c r="F61" s="1"/>
  <c r="H27" i="48"/>
  <c r="H33" s="1"/>
  <c r="H15"/>
  <c r="Q9"/>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<sst xmlns="http://schemas.openxmlformats.org/spreadsheetml/2006/main" count="2438" uniqueCount="916">
  <si>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</si>
  <si>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</si>
  <si>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</si>
  <si>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</si>
  <si>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</si>
  <si>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</si>
  <si>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</si>
  <si>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</si>
  <si>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</si>
  <si>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</si>
  <si>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</si>
  <si>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</si>
  <si>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</si>
  <si>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</si>
  <si>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</si>
  <si>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</si>
  <si>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</si>
  <si>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</si>
  <si>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</si>
  <si>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</si>
  <si>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</si>
  <si>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</si>
  <si>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</si>
  <si>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</si>
  <si>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</si>
  <si>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</si>
  <si>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</si>
  <si>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</si>
  <si>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</si>
  <si>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</si>
  <si>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</si>
  <si>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</si>
  <si>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</si>
  <si>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</si>
  <si>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</si>
  <si>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</si>
  <si>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</si>
  <si>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</si>
  <si>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</si>
  <si>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</si>
  <si>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</si>
  <si>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</si>
  <si>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</si>
  <si>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</si>
  <si>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</si>
  <si>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</si>
  <si>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</si>
  <si>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</si>
  <si>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</si>
  <si>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</si>
  <si>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</si>
  <si>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</si>
  <si>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</si>
  <si>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</si>
  <si>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</si>
  <si>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</si>
  <si>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</si>
  <si>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</si>
  <si>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</si>
  <si>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</si>
  <si>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</si>
  <si>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</si>
  <si>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</si>
  <si>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</si>
  <si>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</si>
  <si>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</si>
  <si>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</si>
  <si>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</si>
  <si>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</si>
  <si>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</si>
  <si>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</si>
  <si>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</si>
  <si>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</si>
  <si>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</si>
  <si>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</si>
  <si>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</si>
  <si>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</si>
  <si>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</si>
  <si>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</si>
  <si>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</si>
  <si>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</si>
  <si>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</si>
  <si>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</si>
  <si>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</si>
  <si>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</si>
  <si>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</si>
  <si>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</si>
  <si>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</si>
  <si>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</si>
  <si>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</si>
  <si>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</si>
  <si>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</si>
  <si>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</si>
  <si>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</si>
  <si>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</si>
  <si>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</si>
  <si>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</si>
  <si>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</si>
  <si>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</si>
  <si>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</si>
  <si>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</si>
  <si>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</si>
  <si>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</si>
  <si>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</si>
  <si>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</si>
  <si>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</si>
  <si>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</si>
  <si>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</si>
  <si>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</si>
  <si>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</si>
  <si>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</si>
  <si>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</si>
  <si>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</si>
  <si>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</si>
  <si>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</si>
  <si>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</si>
  <si>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</si>
  <si>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</si>
  <si>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</si>
  <si>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</si>
  <si>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</si>
  <si>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</si>
  <si>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</si>
  <si>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</si>
  <si>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</si>
  <si>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</si>
  <si>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</si>
  <si>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</si>
  <si>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</si>
  <si>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</si>
  <si>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</si>
  <si>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</si>
  <si>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</si>
  <si>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</si>
  <si>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</si>
  <si>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</si>
  <si>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</si>
  <si>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</si>
  <si>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</si>
  <si>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</si>
  <si>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</si>
  <si>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</si>
  <si>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</si>
  <si>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</si>
  <si>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</si>
  <si>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</si>
  <si>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</si>
  <si>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</si>
  <si>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</si>
  <si>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</si>
  <si>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</si>
  <si>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</si>
  <si>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</si>
  <si>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</si>
  <si>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</si>
  <si>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</si>
  <si>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</si>
  <si>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</si>
  <si>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</si>
  <si>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</si>
  <si>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</si>
  <si>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</si>
  <si>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</si>
  <si>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</si>
  <si>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</si>
  <si>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</si>
  <si>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</si>
  <si>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</si>
  <si>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</si>
  <si>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</si>
  <si>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</si>
  <si>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</si>
  <si>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</si>
  <si>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</si>
  <si>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</si>
  <si>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</si>
  <si>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</si>
  <si>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</si>
  <si>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</si>
  <si>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</si>
  <si>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</si>
  <si>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</si>
  <si>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</si>
  <si>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</si>
  <si>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</si>
  <si>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</si>
  <si>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</si>
  <si>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</si>
  <si>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</si>
  <si>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</si>
  <si>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</si>
  <si>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</si>
  <si>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</si>
  <si>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</si>
  <si>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</si>
  <si>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</si>
  <si>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</si>
  <si>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</si>
  <si>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</si>
  <si>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</si>
  <si>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</si>
  <si>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</si>
  <si>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</si>
  <si>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</si>
  <si>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</si>
  <si>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</si>
  <si>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</si>
  <si>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</si>
  <si>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</si>
  <si>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</si>
  <si>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</si>
  <si>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</si>
  <si>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</si>
  <si>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</si>
  <si>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</si>
  <si>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</si>
  <si>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</si>
  <si>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</si>
  <si>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</si>
  <si>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</si>
  <si>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</si>
  <si>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</si>
  <si>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</si>
  <si>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</si>
  <si>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</si>
  <si>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</si>
  <si>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</si>
  <si>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</si>
  <si>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</si>
  <si>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</si>
  <si>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</si>
  <si>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</si>
  <si>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</si>
  <si>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</si>
  <si>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</si>
  <si>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</si>
  <si>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</si>
  <si>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</si>
  <si>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</si>
  <si>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</si>
  <si>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</si>
  <si>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</si>
  <si>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</si>
  <si>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</si>
  <si>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</si>
  <si>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</si>
  <si>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</si>
  <si>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</si>
  <si>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</si>
  <si>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</si>
  <si>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</si>
  <si>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</si>
  <si>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</si>
  <si>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</si>
  <si>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</si>
  <si>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</si>
  <si>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</si>
  <si>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</si>
  <si>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</si>
  <si>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</si>
  <si>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</si>
  <si>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</si>
  <si>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</si>
  <si>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</si>
  <si>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</si>
  <si>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</si>
  <si>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</si>
  <si>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</si>
  <si>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</si>
  <si>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</si>
  <si>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</si>
  <si>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</si>
  <si>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</si>
  <si>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</si>
  <si>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</si>
  <si>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</si>
  <si>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</si>
  <si>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</si>
  <si>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</si>
  <si>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</si>
  <si>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</si>
  <si>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</si>
  <si>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</si>
  <si>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</si>
  <si>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</si>
  <si>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</si>
  <si>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</si>
  <si>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</si>
  <si>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</si>
  <si>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</si>
  <si>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</si>
  <si>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</si>
  <si>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</si>
  <si>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</si>
  <si>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</si>
  <si>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</si>
  <si>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</si>
  <si>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</si>
  <si>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</si>
  <si>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</si>
  <si>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</si>
  <si>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</si>
  <si>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</si>
  <si>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</si>
  <si>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</si>
  <si>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</si>
  <si>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</si>
  <si>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</si>
  <si>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</si>
  <si>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</si>
  <si>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</si>
  <si>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</si>
  <si>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</si>
  <si>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</si>
  <si>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</si>
  <si>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</si>
  <si>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</si>
  <si>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</si>
  <si>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</si>
  <si>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</si>
  <si>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</si>
  <si>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</si>
  <si>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</si>
  <si>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</si>
  <si>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</si>
  <si>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</si>
  <si>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</si>
  <si>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</si>
  <si>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</si>
  <si>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</si>
  <si>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</si>
  <si>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</si>
  <si>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</si>
  <si>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</si>
  <si>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</si>
  <si>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</si>
  <si>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</si>
  <si>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</si>
  <si>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</si>
  <si>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</si>
  <si>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</si>
  <si>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</si>
  <si>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</si>
  <si>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</si>
  <si>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</si>
  <si>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</si>
  <si>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</si>
  <si>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</si>
  <si>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</si>
  <si>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</si>
  <si>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</si>
  <si>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</si>
  <si>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</si>
  <si>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</si>
  <si>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</si>
  <si>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</si>
  <si>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</si>
  <si>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</si>
  <si>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</si>
  <si>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</si>
  <si>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</si>
  <si>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</si>
  <si>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</si>
  <si>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</si>
  <si>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</si>
  <si>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</si>
  <si>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</si>
  <si>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</si>
  <si>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</si>
  <si>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</si>
  <si>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</si>
  <si>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</si>
  <si>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</si>
  <si>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</si>
  <si>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</si>
  <si>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</si>
  <si>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</si>
  <si>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</si>
  <si>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</si>
  <si>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</si>
  <si>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</si>
  <si>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</si>
  <si>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</si>
  <si>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</si>
  <si>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</si>
  <si>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</si>
  <si>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</si>
  <si>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</si>
  <si>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</si>
  <si>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</si>
  <si>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</si>
  <si>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</si>
  <si>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</si>
  <si>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</si>
  <si>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</si>
  <si>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</si>
  <si>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</si>
  <si>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</si>
  <si>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</si>
  <si>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</si>
  <si>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</si>
  <si>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</si>
  <si>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</si>
  <si>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</si>
  <si>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</si>
  <si>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</si>
  <si>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</si>
  <si>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</si>
  <si>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</si>
  <si>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</si>
  <si>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</si>
  <si>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</si>
  <si>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</si>
  <si>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</si>
  <si>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</si>
  <si>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</si>
  <si>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</si>
  <si>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</si>
  <si>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</si>
  <si>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</si>
  <si>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</si>
  <si>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</si>
  <si>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</si>
  <si>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</si>
  <si>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</si>
  <si>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</si>
  <si>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</si>
  <si>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</si>
  <si>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</si>
  <si>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</si>
  <si>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</si>
  <si>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</si>
  <si>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</si>
  <si>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</si>
  <si>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</si>
  <si>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</si>
  <si>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</si>
  <si>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</si>
  <si>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</si>
  <si>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</si>
  <si>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</si>
  <si>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</si>
  <si>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</si>
  <si>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</si>
  <si>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</si>
  <si>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</si>
  <si>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</si>
  <si>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</si>
  <si>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</si>
  <si>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</si>
  <si>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</si>
  <si>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</si>
  <si>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</si>
  <si>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</si>
  <si>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</si>
  <si>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</si>
  <si>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</si>
  <si>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</si>
  <si>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</si>
  <si>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</si>
  <si>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</si>
  <si>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</si>
  <si>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</si>
  <si>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</si>
  <si>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</si>
  <si>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</si>
  <si>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</si>
  <si>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</si>
  <si>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</si>
  <si>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</si>
  <si>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</si>
  <si>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</si>
  <si>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</si>
  <si>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</si>
  <si>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</si>
  <si>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</si>
  <si>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</si>
  <si>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</si>
  <si>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</si>
  <si>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</si>
  <si>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</si>
  <si>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</si>
  <si>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</si>
  <si>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</si>
  <si>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</si>
  <si>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</si>
  <si>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</si>
  <si>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</si>
  <si>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</si>
  <si>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</si>
  <si>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</si>
  <si>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</si>
  <si>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</si>
  <si>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</si>
  <si>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</si>
  <si>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</si>
  <si>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</si>
  <si>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</si>
  <si>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</si>
  <si>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</si>
  <si>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</si>
  <si>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</si>
  <si>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</si>
  <si>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</si>
  <si>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</si>
  <si>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</si>
  <si>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</si>
  <si>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</si>
  <si>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</si>
  <si>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</si>
  <si>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</si>
  <si>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</si>
  <si>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</si>
  <si>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</si>
  <si>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</si>
  <si>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</si>
  <si>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</si>
  <si>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</si>
  <si>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</si>
  <si>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</si>
  <si>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</si>
  <si>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</si>
  <si>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</si>
  <si>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</si>
  <si>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</si>
  <si>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</si>
  <si>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</si>
  <si>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</si>
  <si>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</si>
  <si>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</si>
  <si>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</si>
  <si>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</si>
  <si>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</si>
  <si>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</si>
  <si>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</si>
  <si>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</si>
  <si>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</si>
  <si>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</si>
  <si>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</si>
  <si>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</si>
  <si>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</si>
  <si>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</si>
  <si>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</si>
  <si>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</si>
  <si>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</si>
  <si>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</si>
  <si>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</si>
  <si>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</si>
  <si>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</si>
  <si>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</si>
  <si>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</si>
  <si>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</si>
  <si>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</si>
  <si>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</si>
  <si>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</si>
  <si>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</si>
  <si>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</si>
  <si>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</si>
  <si>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</si>
  <si>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</si>
  <si>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</si>
  <si>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</si>
  <si>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</si>
  <si>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</si>
  <si>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</si>
  <si>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</si>
  <si>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</si>
  <si>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</si>
  <si>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</si>
  <si>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</si>
  <si>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</si>
  <si>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</si>
  <si>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</si>
  <si>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</si>
  <si>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</si>
  <si>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</si>
  <si>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</si>
  <si>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</si>
  <si>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</si>
  <si>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</si>
  <si>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</si>
  <si>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</si>
  <si>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</si>
  <si>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</si>
  <si>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</si>
  <si>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</si>
  <si>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</si>
  <si>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</si>
  <si>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</si>
  <si>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</si>
  <si>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</si>
  <si>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</si>
  <si>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</si>
  <si>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</si>
  <si>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</si>
  <si>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</si>
  <si>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</si>
  <si>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</si>
  <si>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</si>
  <si>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</si>
  <si>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</si>
  <si>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</si>
  <si>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</si>
  <si>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</si>
  <si>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</si>
  <si>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</si>
  <si>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</si>
  <si>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</si>
  <si>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</si>
  <si>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</si>
  <si>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</si>
  <si>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</si>
  <si>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</si>
  <si>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</si>
  <si>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</si>
  <si>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</si>
  <si>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</si>
  <si>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</si>
  <si>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</si>
  <si>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</si>
  <si>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</si>
  <si>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</si>
  <si>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</si>
  <si>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</si>
  <si>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</si>
  <si>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</si>
  <si>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</si>
  <si>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</si>
  <si>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</si>
  <si>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</si>
  <si>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</si>
  <si>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</si>
  <si>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</si>
  <si>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</si>
  <si>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</si>
  <si>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</si>
  <si>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</si>
  <si>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</si>
  <si>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</si>
  <si>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</si>
  <si>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</si>
  <si>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</si>
  <si>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</si>
  <si>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</si>
  <si>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</si>
  <si>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</si>
  <si>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</si>
  <si>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</si>
  <si>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</si>
  <si>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</si>
  <si>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</si>
  <si>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</si>
  <si>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</si>
  <si>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</si>
  <si>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</si>
  <si>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</si>
  <si>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</si>
  <si>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</si>
  <si>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</si>
  <si>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</si>
  <si>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</si>
  <si>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</si>
  <si>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</si>
  <si>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</si>
  <si>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</si>
  <si>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</si>
  <si>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</si>
  <si>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</si>
  <si>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</si>
  <si>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</si>
  <si>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</si>
  <si>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</si>
  <si>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</si>
  <si>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</si>
  <si>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</si>
  <si>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</si>
  <si>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</si>
  <si>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</si>
  <si>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</si>
  <si>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</si>
  <si>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</si>
  <si>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</si>
  <si>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</si>
  <si>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</si>
  <si>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</si>
  <si>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</si>
  <si>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</si>
  <si>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</si>
  <si>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</si>
  <si>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</si>
  <si>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</si>
  <si>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</si>
  <si>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</si>
  <si>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</si>
  <si>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</si>
  <si>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</si>
  <si>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</si>
  <si>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</si>
  <si>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</si>
  <si>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</si>
  <si>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</si>
  <si>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</si>
  <si>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</si>
  <si>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</si>
  <si>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</si>
  <si>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</si>
  <si>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</si>
  <si>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</si>
  <si>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</si>
  <si>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</si>
  <si>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</si>
  <si>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</si>
  <si>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</si>
  <si>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</si>
  <si>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</si>
  <si>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</si>
  <si>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</si>
  <si>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</si>
  <si>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</si>
  <si>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</si>
  <si>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</si>
  <si>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</si>
  <si>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</si>
  <si>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</si>
  <si>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</si>
  <si>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</si>
  <si>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</si>
  <si>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</si>
  <si>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</si>
  <si>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</si>
  <si>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</si>
  <si>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</si>
  <si>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</si>
  <si>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</si>
  <si>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</si>
  <si>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</si>
  <si>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</si>
  <si>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</si>
  <si>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</si>
  <si>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</si>
  <si>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</si>
  <si>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</si>
  <si>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</si>
  <si>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</si>
  <si>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</si>
  <si>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</si>
  <si>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</si>
  <si>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</si>
  <si>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</si>
  <si>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</si>
  <si>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</si>
  <si>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</si>
  <si>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</si>
  <si>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</si>
  <si>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</si>
  <si>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</si>
  <si>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</si>
  <si>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</si>
  <si>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</si>
  <si>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</si>
  <si>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</si>
  <si>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</si>
  <si>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</si>
  <si>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</si>
  <si>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</si>
  <si>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</si>
  <si>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</si>
  <si>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</si>
  <si>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</si>
  <si>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</si>
  <si>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</si>
  <si>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</si>
  <si>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</si>
  <si>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</si>
  <si>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</si>
  <si>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</si>
  <si>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</si>
  <si>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</si>
  <si>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</si>
  <si>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</si>
  <si>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</si>
  <si>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</si>
  <si>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</si>
  <si>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</si>
  <si>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</si>
  <si>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</si>
  <si>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</si>
  <si>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</si>
  <si>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</si>
  <si>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</si>
  <si>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</si>
  <si>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</si>
  <si>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</si>
  <si>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</si>
  <si>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</si>
  <si>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</si>
  <si>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</si>
  <si>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</si>
  <si>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</si>
  <si>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</si>
  <si>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</si>
  <si>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</si>
  <si>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</si>
  <si>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</si>
  <si>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</si>
  <si>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</si>
  <si>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</si>
  <si>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</si>
  <si>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</si>
  <si>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</si>
  <si>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</si>
  <si>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</si>
  <si>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</si>
  <si>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</si>
  <si>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</si>
  <si>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</si>
  <si>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</si>
  <si>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</si>
  <si>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</si>
  <si>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</si>
  <si>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</si>
  <si>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</si>
  <si>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</si>
  <si>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</si>
  <si>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</si>
  <si>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</si>
  <si>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</si>
  <si>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</si>
  <si>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</si>
  <si>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</si>
  <si>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</si>
  <si>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</si>
  <si>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</si>
  <si>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</si>
  <si>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</si>
  <si>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</si>
  <si>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</si>
  <si>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</si>
  <si>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</si>
  <si>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</si>
  <si>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</si>
  <si>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</si>
  <si>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</si>
  <si>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</si>
  <si>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</si>
  <si>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</si>
  <si>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</si>
  <si>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</si>
  <si>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</si>
  <si>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</si>
  <si>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</si>
  <si>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</si>
  <si>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</si>
  <si>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</si>
  <si>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</si>
  <si>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</si>
  <si>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</si>
  <si>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</si>
  <si>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</si>
  <si>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</si>
  <si>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</si>
  <si>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</si>
  <si>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</si>
  <si>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</si>
  <si>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</si>
  <si>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</si>
  <si>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</si>
  <si>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</si>
  <si>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</si>
  <si>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</si>
  <si>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</si>
  <si>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</si>
  <si>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</si>
  <si>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</si>
  <si>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</si>
  <si>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</si>
  <si>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</si>
  <si>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</si>
  <si>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</si>
  <si>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</si>
  <si>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</si>
  <si>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</si>
  <si>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</si>
  <si>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</si>
  <si>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</si>
  <si>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</si>
  <si>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</si>
  <si>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</si>
  <si>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</si>
  <si>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</si>
  <si>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</si>
  <si>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</si>
  <si>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</si>
  <si>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</si>
  <si>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</si>
  <si>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</si>
  <si>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</si>
  <si>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</si>
  <si>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</si>
  <si>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</si>
  <si>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</si>
  <si>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</si>
  <si>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</si>
  <si>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11057</t>
  </si>
  <si>
    <t>MALLE</t>
  </si>
  <si>
    <t>Cultuurgrond (ha)</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</si>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</sst>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134341.73866862964</c:v>
                </c:pt>
                <c:pt idx="1">
                  <c:v>109654.02716136789</c:v>
                </c:pt>
                <c:pt idx="2">
                  <c:v>742.67200000000003</c:v>
                </c:pt>
                <c:pt idx="3">
                  <c:v>11578.094986828346</c:v>
                </c:pt>
                <c:pt idx="4">
                  <c:v>154942.71780223254</c:v>
                </c:pt>
                <c:pt idx="5">
                  <c:v>90438.88918826486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134341.73866862964</c:v>
                </c:pt>
                <c:pt idx="1">
                  <c:v>109654.02716136789</c:v>
                </c:pt>
                <c:pt idx="2">
                  <c:v>742.67200000000003</c:v>
                </c:pt>
                <c:pt idx="3">
                  <c:v>11578.094986828346</c:v>
                </c:pt>
                <c:pt idx="4">
                  <c:v>154942.71780223254</c:v>
                </c:pt>
                <c:pt idx="5">
                  <c:v>90438.88918826486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22393.47249236569</c:v>
                </c:pt>
                <c:pt idx="2">
                  <c:v>17034.755043813344</c:v>
                </c:pt>
                <c:pt idx="3">
                  <c:v>134.26888350292799</c:v>
                </c:pt>
                <c:pt idx="4">
                  <c:v>2657.0003532864148</c:v>
                </c:pt>
                <c:pt idx="5">
                  <c:v>29973.098583691764</c:v>
                </c:pt>
                <c:pt idx="6">
                  <c:v>22856.081321485497</c:v>
                </c:pt>
                <c:pt idx="7">
                  <c:v>764.27018535811465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22393.47249236569</c:v>
                </c:pt>
                <c:pt idx="2">
                  <c:v>17034.755043813344</c:v>
                </c:pt>
                <c:pt idx="3">
                  <c:v>134.26888350292799</c:v>
                </c:pt>
                <c:pt idx="4">
                  <c:v>2657.0003532864148</c:v>
                </c:pt>
                <c:pt idx="5">
                  <c:v>29973.098583691764</c:v>
                </c:pt>
                <c:pt idx="6">
                  <c:v>22856.081321485497</c:v>
                </c:pt>
                <c:pt idx="7">
                  <c:v>764.27018535811465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11057</v>
      </c>
      <c r="B6" s="398"/>
      <c r="C6" s="399"/>
    </row>
    <row r="7" spans="1:7" s="396" customFormat="1" ht="15.75" customHeight="1">
      <c r="A7" s="400" t="str">
        <f>txtMunicipality</f>
        <v>MALLE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0.18079163278395846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0.18079163278395846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5857</v>
      </c>
      <c r="C9" s="338">
        <v>5930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2390</v>
      </c>
    </row>
    <row r="15" spans="1:6">
      <c r="A15" s="1295" t="s">
        <v>184</v>
      </c>
      <c r="B15" s="335">
        <v>759</v>
      </c>
    </row>
    <row r="16" spans="1:6">
      <c r="A16" s="1295" t="s">
        <v>6</v>
      </c>
      <c r="B16" s="335">
        <v>1794</v>
      </c>
    </row>
    <row r="17" spans="1:6">
      <c r="A17" s="1295" t="s">
        <v>7</v>
      </c>
      <c r="B17" s="335">
        <v>622</v>
      </c>
    </row>
    <row r="18" spans="1:6">
      <c r="A18" s="1295" t="s">
        <v>8</v>
      </c>
      <c r="B18" s="335">
        <v>1336</v>
      </c>
    </row>
    <row r="19" spans="1:6">
      <c r="A19" s="1295" t="s">
        <v>9</v>
      </c>
      <c r="B19" s="335">
        <v>1241</v>
      </c>
    </row>
    <row r="20" spans="1:6">
      <c r="A20" s="1295" t="s">
        <v>10</v>
      </c>
      <c r="B20" s="335">
        <v>1029</v>
      </c>
    </row>
    <row r="21" spans="1:6">
      <c r="A21" s="1295" t="s">
        <v>11</v>
      </c>
      <c r="B21" s="335">
        <v>1083</v>
      </c>
    </row>
    <row r="22" spans="1:6">
      <c r="A22" s="1295" t="s">
        <v>12</v>
      </c>
      <c r="B22" s="335">
        <v>8589</v>
      </c>
    </row>
    <row r="23" spans="1:6">
      <c r="A23" s="1295" t="s">
        <v>13</v>
      </c>
      <c r="B23" s="335">
        <v>125</v>
      </c>
    </row>
    <row r="24" spans="1:6">
      <c r="A24" s="1295" t="s">
        <v>14</v>
      </c>
      <c r="B24" s="335">
        <v>4</v>
      </c>
    </row>
    <row r="25" spans="1:6">
      <c r="A25" s="1295" t="s">
        <v>15</v>
      </c>
      <c r="B25" s="335">
        <v>473</v>
      </c>
    </row>
    <row r="26" spans="1:6">
      <c r="A26" s="1295" t="s">
        <v>16</v>
      </c>
      <c r="B26" s="335">
        <v>165</v>
      </c>
    </row>
    <row r="27" spans="1:6">
      <c r="A27" s="1295" t="s">
        <v>17</v>
      </c>
      <c r="B27" s="335">
        <v>0</v>
      </c>
    </row>
    <row r="28" spans="1:6" s="341" customFormat="1">
      <c r="A28" s="1296" t="s">
        <v>18</v>
      </c>
      <c r="B28" s="1296">
        <v>111143</v>
      </c>
    </row>
    <row r="29" spans="1:6">
      <c r="A29" s="1296" t="s">
        <v>906</v>
      </c>
      <c r="B29" s="1296">
        <v>221</v>
      </c>
      <c r="C29" s="341"/>
      <c r="D29" s="341"/>
      <c r="E29" s="341"/>
      <c r="F29" s="341"/>
    </row>
    <row r="30" spans="1:6">
      <c r="A30" s="1291" t="s">
        <v>907</v>
      </c>
      <c r="B30" s="1291">
        <v>56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44073.468444483602</v>
      </c>
      <c r="E38" s="335">
        <v>5</v>
      </c>
      <c r="F38" s="335">
        <v>27328.0833934277</v>
      </c>
    </row>
    <row r="39" spans="1:6">
      <c r="A39" s="1295" t="s">
        <v>30</v>
      </c>
      <c r="B39" s="1295" t="s">
        <v>31</v>
      </c>
      <c r="C39" s="335">
        <v>4289</v>
      </c>
      <c r="D39" s="335">
        <v>91751410.965700597</v>
      </c>
      <c r="E39" s="335">
        <v>5657</v>
      </c>
      <c r="F39" s="335">
        <v>25295073.487244099</v>
      </c>
    </row>
    <row r="40" spans="1:6">
      <c r="A40" s="1295" t="s">
        <v>30</v>
      </c>
      <c r="B40" s="1295" t="s">
        <v>29</v>
      </c>
      <c r="C40" s="335">
        <v>0</v>
      </c>
      <c r="D40" s="335">
        <v>0</v>
      </c>
      <c r="E40" s="335">
        <v>0</v>
      </c>
      <c r="F40" s="335">
        <v>0</v>
      </c>
    </row>
    <row r="41" spans="1:6">
      <c r="A41" s="1295" t="s">
        <v>32</v>
      </c>
      <c r="B41" s="1295" t="s">
        <v>33</v>
      </c>
      <c r="C41" s="335">
        <v>50</v>
      </c>
      <c r="D41" s="335">
        <v>2305256.3711522198</v>
      </c>
      <c r="E41" s="335">
        <v>142</v>
      </c>
      <c r="F41" s="335">
        <v>10107625.4974805</v>
      </c>
    </row>
    <row r="42" spans="1:6">
      <c r="A42" s="1295" t="s">
        <v>32</v>
      </c>
      <c r="B42" s="1295" t="s">
        <v>34</v>
      </c>
      <c r="C42" s="335">
        <v>0</v>
      </c>
      <c r="D42" s="335">
        <v>0</v>
      </c>
      <c r="E42" s="335">
        <v>3</v>
      </c>
      <c r="F42" s="335">
        <v>855444.56711865799</v>
      </c>
    </row>
    <row r="43" spans="1:6">
      <c r="A43" s="1295" t="s">
        <v>32</v>
      </c>
      <c r="B43" s="1295" t="s">
        <v>35</v>
      </c>
      <c r="C43" s="335">
        <v>0</v>
      </c>
      <c r="D43" s="335">
        <v>0</v>
      </c>
      <c r="E43" s="335">
        <v>0</v>
      </c>
      <c r="F43" s="335">
        <v>0</v>
      </c>
    </row>
    <row r="44" spans="1:6">
      <c r="A44" s="1295" t="s">
        <v>32</v>
      </c>
      <c r="B44" s="1295" t="s">
        <v>36</v>
      </c>
      <c r="C44" s="335">
        <v>3</v>
      </c>
      <c r="D44" s="335">
        <v>833924.14847757202</v>
      </c>
      <c r="E44" s="335">
        <v>24</v>
      </c>
      <c r="F44" s="335">
        <v>5717477.1678972002</v>
      </c>
    </row>
    <row r="45" spans="1:6">
      <c r="A45" s="1295" t="s">
        <v>32</v>
      </c>
      <c r="B45" s="1295" t="s">
        <v>37</v>
      </c>
      <c r="C45" s="335">
        <v>0</v>
      </c>
      <c r="D45" s="335">
        <v>0</v>
      </c>
      <c r="E45" s="335">
        <v>3</v>
      </c>
      <c r="F45" s="335">
        <v>1028891.75336192</v>
      </c>
    </row>
    <row r="46" spans="1:6">
      <c r="A46" s="1295" t="s">
        <v>32</v>
      </c>
      <c r="B46" s="1295" t="s">
        <v>38</v>
      </c>
      <c r="C46" s="335">
        <v>0</v>
      </c>
      <c r="D46" s="335">
        <v>0</v>
      </c>
      <c r="E46" s="335">
        <v>0</v>
      </c>
      <c r="F46" s="335">
        <v>0</v>
      </c>
    </row>
    <row r="47" spans="1:6">
      <c r="A47" s="1295" t="s">
        <v>32</v>
      </c>
      <c r="B47" s="1295" t="s">
        <v>39</v>
      </c>
      <c r="C47" s="335">
        <v>4</v>
      </c>
      <c r="D47" s="335">
        <v>149864.34167386399</v>
      </c>
      <c r="E47" s="335">
        <v>4</v>
      </c>
      <c r="F47" s="335">
        <v>46895.566697574097</v>
      </c>
    </row>
    <row r="48" spans="1:6">
      <c r="A48" s="1295" t="s">
        <v>32</v>
      </c>
      <c r="B48" s="1295" t="s">
        <v>29</v>
      </c>
      <c r="C48" s="335">
        <v>33</v>
      </c>
      <c r="D48" s="335">
        <v>34106970.0573752</v>
      </c>
      <c r="E48" s="335">
        <v>39</v>
      </c>
      <c r="F48" s="335">
        <v>25537959.7458634</v>
      </c>
    </row>
    <row r="49" spans="1:6">
      <c r="A49" s="1295" t="s">
        <v>32</v>
      </c>
      <c r="B49" s="1295" t="s">
        <v>40</v>
      </c>
      <c r="C49" s="335">
        <v>0</v>
      </c>
      <c r="D49" s="335">
        <v>0</v>
      </c>
      <c r="E49" s="335">
        <v>0</v>
      </c>
      <c r="F49" s="335">
        <v>0</v>
      </c>
    </row>
    <row r="50" spans="1:6">
      <c r="A50" s="1295" t="s">
        <v>32</v>
      </c>
      <c r="B50" s="1295" t="s">
        <v>41</v>
      </c>
      <c r="C50" s="335">
        <v>22</v>
      </c>
      <c r="D50" s="335">
        <v>11118529.324421201</v>
      </c>
      <c r="E50" s="335">
        <v>21</v>
      </c>
      <c r="F50" s="335">
        <v>14052794.5768853</v>
      </c>
    </row>
    <row r="51" spans="1:6">
      <c r="A51" s="1295" t="s">
        <v>42</v>
      </c>
      <c r="B51" s="1295" t="s">
        <v>43</v>
      </c>
      <c r="C51" s="335">
        <v>3</v>
      </c>
      <c r="D51" s="335">
        <v>30999.5351462283</v>
      </c>
      <c r="E51" s="335">
        <v>60</v>
      </c>
      <c r="F51" s="335">
        <v>1121932.12125074</v>
      </c>
    </row>
    <row r="52" spans="1:6">
      <c r="A52" s="1295" t="s">
        <v>42</v>
      </c>
      <c r="B52" s="1295" t="s">
        <v>29</v>
      </c>
      <c r="C52" s="335">
        <v>3</v>
      </c>
      <c r="D52" s="335">
        <v>5610867.4851354202</v>
      </c>
      <c r="E52" s="335">
        <v>12</v>
      </c>
      <c r="F52" s="335">
        <v>284699.73006426502</v>
      </c>
    </row>
    <row r="53" spans="1:6">
      <c r="A53" s="1295" t="s">
        <v>44</v>
      </c>
      <c r="B53" s="1295" t="s">
        <v>45</v>
      </c>
      <c r="C53" s="335">
        <v>90</v>
      </c>
      <c r="D53" s="335">
        <v>3798323.67717594</v>
      </c>
      <c r="E53" s="335">
        <v>174</v>
      </c>
      <c r="F53" s="335">
        <v>888721.61718605994</v>
      </c>
    </row>
    <row r="54" spans="1:6">
      <c r="A54" s="1295" t="s">
        <v>46</v>
      </c>
      <c r="B54" s="1295" t="s">
        <v>47</v>
      </c>
      <c r="C54" s="335">
        <v>0</v>
      </c>
      <c r="D54" s="335">
        <v>0</v>
      </c>
      <c r="E54" s="335">
        <v>1</v>
      </c>
      <c r="F54" s="335">
        <v>742672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43</v>
      </c>
      <c r="D57" s="335">
        <v>2490500.3728041002</v>
      </c>
      <c r="E57" s="335">
        <v>83</v>
      </c>
      <c r="F57" s="335">
        <v>2410171.8759755101</v>
      </c>
    </row>
    <row r="58" spans="1:6">
      <c r="A58" s="1295" t="s">
        <v>49</v>
      </c>
      <c r="B58" s="1295" t="s">
        <v>51</v>
      </c>
      <c r="C58" s="335">
        <v>22</v>
      </c>
      <c r="D58" s="335">
        <v>12705589.492022499</v>
      </c>
      <c r="E58" s="335">
        <v>31</v>
      </c>
      <c r="F58" s="335">
        <v>1458516.5248789301</v>
      </c>
    </row>
    <row r="59" spans="1:6">
      <c r="A59" s="1295" t="s">
        <v>49</v>
      </c>
      <c r="B59" s="1295" t="s">
        <v>52</v>
      </c>
      <c r="C59" s="335">
        <v>101</v>
      </c>
      <c r="D59" s="335">
        <v>4670217.8117987197</v>
      </c>
      <c r="E59" s="335">
        <v>187</v>
      </c>
      <c r="F59" s="335">
        <v>7165920.691261</v>
      </c>
    </row>
    <row r="60" spans="1:6">
      <c r="A60" s="1295" t="s">
        <v>49</v>
      </c>
      <c r="B60" s="1295" t="s">
        <v>53</v>
      </c>
      <c r="C60" s="335">
        <v>61</v>
      </c>
      <c r="D60" s="335">
        <v>4376522.7629316105</v>
      </c>
      <c r="E60" s="335">
        <v>78</v>
      </c>
      <c r="F60" s="335">
        <v>3085323.5279599898</v>
      </c>
    </row>
    <row r="61" spans="1:6">
      <c r="A61" s="1295" t="s">
        <v>49</v>
      </c>
      <c r="B61" s="1295" t="s">
        <v>54</v>
      </c>
      <c r="C61" s="335">
        <v>131</v>
      </c>
      <c r="D61" s="335">
        <v>6934126.2735283496</v>
      </c>
      <c r="E61" s="335">
        <v>249</v>
      </c>
      <c r="F61" s="335">
        <v>4732319.6684254203</v>
      </c>
    </row>
    <row r="62" spans="1:6">
      <c r="A62" s="1295" t="s">
        <v>49</v>
      </c>
      <c r="B62" s="1295" t="s">
        <v>55</v>
      </c>
      <c r="C62" s="335">
        <v>18</v>
      </c>
      <c r="D62" s="335">
        <v>3607232.6782777901</v>
      </c>
      <c r="E62" s="335">
        <v>22</v>
      </c>
      <c r="F62" s="335">
        <v>1694000.29167224</v>
      </c>
    </row>
    <row r="63" spans="1:6">
      <c r="A63" s="1295" t="s">
        <v>49</v>
      </c>
      <c r="B63" s="1295" t="s">
        <v>29</v>
      </c>
      <c r="C63" s="335">
        <v>111</v>
      </c>
      <c r="D63" s="335">
        <v>12906372.509291001</v>
      </c>
      <c r="E63" s="335">
        <v>112</v>
      </c>
      <c r="F63" s="335">
        <v>2104133.2445286298</v>
      </c>
    </row>
    <row r="64" spans="1:6">
      <c r="A64" s="1295" t="s">
        <v>56</v>
      </c>
      <c r="B64" s="1295" t="s">
        <v>57</v>
      </c>
      <c r="C64" s="335">
        <v>0</v>
      </c>
      <c r="D64" s="335">
        <v>0</v>
      </c>
      <c r="E64" s="335">
        <v>0</v>
      </c>
      <c r="F64" s="335">
        <v>0</v>
      </c>
    </row>
    <row r="65" spans="1:6">
      <c r="A65" s="1295" t="s">
        <v>56</v>
      </c>
      <c r="B65" s="1295" t="s">
        <v>29</v>
      </c>
      <c r="C65" s="335">
        <v>1</v>
      </c>
      <c r="D65" s="335">
        <v>6472.9031153220003</v>
      </c>
      <c r="E65" s="335">
        <v>3</v>
      </c>
      <c r="F65" s="335">
        <v>135797.73434273101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203265.60804140699</v>
      </c>
      <c r="E68" s="335">
        <v>15</v>
      </c>
      <c r="F68" s="335">
        <v>212327.97849490601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88973770</v>
      </c>
      <c r="E73" s="335">
        <v>92638240.079691842</v>
      </c>
    </row>
    <row r="74" spans="1:6">
      <c r="A74" s="1295" t="s">
        <v>64</v>
      </c>
      <c r="B74" s="1295" t="s">
        <v>727</v>
      </c>
      <c r="C74" s="1295" t="s">
        <v>728</v>
      </c>
      <c r="D74" s="335">
        <v>7854808.8796946835</v>
      </c>
      <c r="E74" s="335">
        <v>8363323.5372042321</v>
      </c>
    </row>
    <row r="75" spans="1:6">
      <c r="A75" s="1295" t="s">
        <v>65</v>
      </c>
      <c r="B75" s="1295" t="s">
        <v>725</v>
      </c>
      <c r="C75" s="1295" t="s">
        <v>729</v>
      </c>
      <c r="D75" s="335">
        <v>10656707</v>
      </c>
      <c r="E75" s="335">
        <v>11083963.166266575</v>
      </c>
    </row>
    <row r="76" spans="1:6">
      <c r="A76" s="1295" t="s">
        <v>65</v>
      </c>
      <c r="B76" s="1295" t="s">
        <v>727</v>
      </c>
      <c r="C76" s="1295" t="s">
        <v>730</v>
      </c>
      <c r="D76" s="335">
        <v>175931.87969468394</v>
      </c>
      <c r="E76" s="335">
        <v>218635.43613237061</v>
      </c>
    </row>
    <row r="77" spans="1:6">
      <c r="A77" s="1295" t="s">
        <v>66</v>
      </c>
      <c r="B77" s="1295" t="s">
        <v>725</v>
      </c>
      <c r="C77" s="1295" t="s">
        <v>731</v>
      </c>
      <c r="D77" s="335">
        <v>5208057</v>
      </c>
      <c r="E77" s="335">
        <v>5268255.3740212806</v>
      </c>
    </row>
    <row r="78" spans="1:6">
      <c r="A78" s="1291" t="s">
        <v>66</v>
      </c>
      <c r="B78" s="1291" t="s">
        <v>727</v>
      </c>
      <c r="C78" s="1291" t="s">
        <v>732</v>
      </c>
      <c r="D78" s="1291">
        <v>1248116</v>
      </c>
      <c r="E78" s="1291">
        <v>1236116.9943560921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789852.24061063211</v>
      </c>
      <c r="C83" s="335">
        <v>780322.59186142008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2790.7109999999998</v>
      </c>
    </row>
    <row r="92" spans="1:6">
      <c r="A92" s="1291" t="s">
        <v>69</v>
      </c>
      <c r="B92" s="338">
        <v>4370.058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3064</v>
      </c>
    </row>
    <row r="98" spans="1:6">
      <c r="A98" s="1295" t="s">
        <v>72</v>
      </c>
      <c r="B98" s="335">
        <v>2</v>
      </c>
    </row>
    <row r="99" spans="1:6">
      <c r="A99" s="1295" t="s">
        <v>73</v>
      </c>
      <c r="B99" s="335">
        <v>56</v>
      </c>
    </row>
    <row r="100" spans="1:6">
      <c r="A100" s="1295" t="s">
        <v>74</v>
      </c>
      <c r="B100" s="335">
        <v>513</v>
      </c>
    </row>
    <row r="101" spans="1:6">
      <c r="A101" s="1295" t="s">
        <v>75</v>
      </c>
      <c r="B101" s="335">
        <v>115</v>
      </c>
    </row>
    <row r="102" spans="1:6">
      <c r="A102" s="1295" t="s">
        <v>76</v>
      </c>
      <c r="B102" s="335">
        <v>55</v>
      </c>
    </row>
    <row r="103" spans="1:6">
      <c r="A103" s="1295" t="s">
        <v>77</v>
      </c>
      <c r="B103" s="335">
        <v>102</v>
      </c>
    </row>
    <row r="104" spans="1:6">
      <c r="A104" s="1295" t="s">
        <v>78</v>
      </c>
      <c r="B104" s="335">
        <v>1072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76</v>
      </c>
    </row>
    <row r="130" spans="1:6">
      <c r="A130" s="1295" t="s">
        <v>295</v>
      </c>
      <c r="B130" s="335">
        <v>3</v>
      </c>
    </row>
    <row r="131" spans="1:6">
      <c r="A131" s="1295" t="s">
        <v>296</v>
      </c>
      <c r="B131" s="335">
        <v>2</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127088.50925340003</v>
      </c>
      <c r="C3" s="43" t="s">
        <v>170</v>
      </c>
      <c r="D3" s="43"/>
      <c r="E3" s="156"/>
      <c r="F3" s="43"/>
      <c r="G3" s="43"/>
      <c r="H3" s="43"/>
      <c r="I3" s="43"/>
      <c r="J3" s="43"/>
      <c r="K3" s="96"/>
    </row>
    <row r="4" spans="1:11">
      <c r="A4" s="366" t="s">
        <v>171</v>
      </c>
      <c r="B4" s="49">
        <f>IF(ISERROR('SEAP template'!B78),0,'SEAP template'!B78)</f>
        <v>23122.269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0.18079163278395846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22802.142857142859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742.67200000000003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742.67200000000003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0.18079163278395846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134.26888350292799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25295.073487244099</v>
      </c>
      <c r="C5" s="17">
        <f>IF(ISERROR('Eigen informatie GS &amp; warmtenet'!B57),0,'Eigen informatie GS &amp; warmtenet'!B57)</f>
        <v>0</v>
      </c>
      <c r="D5" s="30">
        <f>(SUM(HH_hh_gas_kWh,HH_rest_gas_kWh)/1000)*0.902</f>
        <v>82759.772691061939</v>
      </c>
      <c r="E5" s="17">
        <f>B46*B57</f>
        <v>2635.7866665372185</v>
      </c>
      <c r="F5" s="17">
        <f>B51*B62</f>
        <v>0</v>
      </c>
      <c r="G5" s="18"/>
      <c r="H5" s="17"/>
      <c r="I5" s="17"/>
      <c r="J5" s="17">
        <f>B50*B61+C50*C61</f>
        <v>0</v>
      </c>
      <c r="K5" s="17"/>
      <c r="L5" s="17"/>
      <c r="M5" s="17"/>
      <c r="N5" s="17">
        <f>B48*B59+C48*C59</f>
        <v>20292.104823786409</v>
      </c>
      <c r="O5" s="17">
        <f>B69*B70*B71</f>
        <v>129.75666666666669</v>
      </c>
      <c r="P5" s="17">
        <f>B77*B78*B79/1000-B77*B78*B79/1000/B80</f>
        <v>438.5333333333333</v>
      </c>
    </row>
    <row r="6" spans="1:16">
      <c r="A6" s="16" t="s">
        <v>634</v>
      </c>
      <c r="B6" s="783">
        <f>kWh_PV_kleiner_dan_10kW</f>
        <v>2790.7109999999998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28085.784487244098</v>
      </c>
      <c r="C8" s="21">
        <f>C5</f>
        <v>0</v>
      </c>
      <c r="D8" s="21">
        <f>D5</f>
        <v>82759.772691061939</v>
      </c>
      <c r="E8" s="21">
        <f>E5</f>
        <v>2635.7866665372185</v>
      </c>
      <c r="F8" s="21">
        <f>F5</f>
        <v>0</v>
      </c>
      <c r="G8" s="21"/>
      <c r="H8" s="21"/>
      <c r="I8" s="21"/>
      <c r="J8" s="21">
        <f>J5</f>
        <v>0</v>
      </c>
      <c r="K8" s="21"/>
      <c r="L8" s="21">
        <f>L5</f>
        <v>0</v>
      </c>
      <c r="M8" s="21">
        <f>M5</f>
        <v>0</v>
      </c>
      <c r="N8" s="21">
        <f>N5</f>
        <v>20292.104823786409</v>
      </c>
      <c r="O8" s="21">
        <f>O5</f>
        <v>129.75666666666669</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0.18079163278395846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5077.6748354672318</v>
      </c>
      <c r="C12" s="23">
        <f ca="1">C10*C8</f>
        <v>0</v>
      </c>
      <c r="D12" s="23">
        <f>D8*D10</f>
        <v>16717.474083594512</v>
      </c>
      <c r="E12" s="23">
        <f>E10*E8</f>
        <v>598.32357330394859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3064</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8.1871345029239766</v>
      </c>
      <c r="D20" s="231"/>
      <c r="E20" s="15"/>
    </row>
    <row r="21" spans="1:7">
      <c r="A21" s="173" t="s">
        <v>74</v>
      </c>
      <c r="B21" s="37">
        <f>aantalw2001_elektriciteit</f>
        <v>513</v>
      </c>
      <c r="C21" s="169">
        <f>IF(ISERROR(B21/SUM($B$20,$B$21,$B$22)*100),0,B21/SUM($B$20,$B$21,$B$22)*100)</f>
        <v>75</v>
      </c>
      <c r="D21" s="231"/>
      <c r="E21" s="15"/>
    </row>
    <row r="22" spans="1:7">
      <c r="A22" s="173" t="s">
        <v>75</v>
      </c>
      <c r="B22" s="37">
        <f>aantalw2001_hout</f>
        <v>115</v>
      </c>
      <c r="C22" s="169">
        <f>IF(ISERROR(B22/SUM($B$20,$B$21,$B$22)*100),0,B22/SUM($B$20,$B$21,$B$22)*100)</f>
        <v>16.812865497076025</v>
      </c>
      <c r="D22" s="231"/>
      <c r="E22" s="15"/>
    </row>
    <row r="23" spans="1:7">
      <c r="A23" s="173" t="s">
        <v>76</v>
      </c>
      <c r="B23" s="37">
        <f>aantalw2001_niet_gespec</f>
        <v>55</v>
      </c>
      <c r="C23" s="168" t="s">
        <v>111</v>
      </c>
      <c r="D23" s="230"/>
      <c r="E23" s="15"/>
    </row>
    <row r="24" spans="1:7">
      <c r="A24" s="173" t="s">
        <v>77</v>
      </c>
      <c r="B24" s="37">
        <f>aantalw2001_steenkool</f>
        <v>102</v>
      </c>
      <c r="C24" s="168" t="s">
        <v>111</v>
      </c>
      <c r="D24" s="231"/>
      <c r="E24" s="15"/>
    </row>
    <row r="25" spans="1:7">
      <c r="A25" s="173" t="s">
        <v>78</v>
      </c>
      <c r="B25" s="37">
        <f>aantalw2001_stookolie</f>
        <v>1072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5857</v>
      </c>
      <c r="C28" s="36"/>
      <c r="D28" s="230"/>
    </row>
    <row r="29" spans="1:7" s="15" customFormat="1">
      <c r="A29" s="232" t="s">
        <v>746</v>
      </c>
      <c r="B29" s="37">
        <f>SUM(HH_hh_gas_aantal,HH_rest_gas_aantal)</f>
        <v>4289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4289</v>
      </c>
      <c r="C32" s="169">
        <f>IF(ISERROR(B32/SUM($B$32,$B$34,$B$35,$B$36,$B$38,$B$39)*100),0,B32/SUM($B$32,$B$34,$B$35,$B$36,$B$38,$B$39)*100)</f>
        <v>73.5173123071649</v>
      </c>
      <c r="D32" s="235"/>
      <c r="G32" s="15"/>
    </row>
    <row r="33" spans="1:7">
      <c r="A33" s="173" t="s">
        <v>72</v>
      </c>
      <c r="B33" s="34" t="s">
        <v>111</v>
      </c>
      <c r="C33" s="169"/>
      <c r="D33" s="235"/>
      <c r="G33" s="15"/>
    </row>
    <row r="34" spans="1:7">
      <c r="A34" s="173" t="s">
        <v>73</v>
      </c>
      <c r="B34" s="33">
        <f>IF((($B$28-$B$32-$B$39-$B$77-$B$38)*C20/100)&lt;0,0,($B$28-$B$32-$B$39-$B$77-$B$38)*C20/100)</f>
        <v>126.49122807017544</v>
      </c>
      <c r="C34" s="169">
        <f>IF(ISERROR(B34/SUM($B$32,$B$34,$B$35,$B$36,$B$38,$B$39)*100),0,B34/SUM($B$32,$B$34,$B$35,$B$36,$B$38,$B$39)*100)</f>
        <v>2.1681732614017046</v>
      </c>
      <c r="D34" s="235"/>
      <c r="G34" s="15"/>
    </row>
    <row r="35" spans="1:7">
      <c r="A35" s="173" t="s">
        <v>74</v>
      </c>
      <c r="B35" s="33">
        <f>IF((($B$28-$B$32-$B$39-$B$77-$B$38)*C21/100)&lt;0,0,($B$28-$B$32-$B$39-$B$77-$B$38)*C21/100)</f>
        <v>1158.75</v>
      </c>
      <c r="C35" s="169">
        <f>IF(ISERROR(B35/SUM($B$32,$B$34,$B$35,$B$36,$B$38,$B$39)*100),0,B35/SUM($B$32,$B$34,$B$35,$B$36,$B$38,$B$39)*100)</f>
        <v>19.862015769626328</v>
      </c>
      <c r="D35" s="235"/>
      <c r="G35" s="15"/>
    </row>
    <row r="36" spans="1:7">
      <c r="A36" s="173" t="s">
        <v>75</v>
      </c>
      <c r="B36" s="33">
        <f>IF((($B$28-$B$32-$B$39-$B$77-$B$38)*C22/100)&lt;0,0,($B$28-$B$32-$B$39-$B$77-$B$38)*C22/100)</f>
        <v>259.7587719298246</v>
      </c>
      <c r="C36" s="169">
        <f>IF(ISERROR(B36/SUM($B$32,$B$34,$B$35,$B$36,$B$38,$B$39)*100),0,B36/SUM($B$32,$B$34,$B$35,$B$36,$B$38,$B$39)*100)</f>
        <v>4.4524986618070725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4289</v>
      </c>
      <c r="C44" s="34" t="s">
        <v>111</v>
      </c>
      <c r="D44" s="176"/>
    </row>
    <row r="45" spans="1:7">
      <c r="A45" s="173" t="s">
        <v>72</v>
      </c>
      <c r="B45" s="33" t="str">
        <f t="shared" si="0"/>
        <v>-</v>
      </c>
      <c r="C45" s="34" t="s">
        <v>111</v>
      </c>
      <c r="D45" s="176"/>
    </row>
    <row r="46" spans="1:7">
      <c r="A46" s="173" t="s">
        <v>73</v>
      </c>
      <c r="B46" s="33">
        <f t="shared" si="0"/>
        <v>126.49122807017544</v>
      </c>
      <c r="C46" s="34" t="s">
        <v>111</v>
      </c>
      <c r="D46" s="176"/>
    </row>
    <row r="47" spans="1:7">
      <c r="A47" s="173" t="s">
        <v>74</v>
      </c>
      <c r="B47" s="33">
        <f t="shared" si="0"/>
        <v>1158.75</v>
      </c>
      <c r="C47" s="34" t="s">
        <v>111</v>
      </c>
      <c r="D47" s="176"/>
    </row>
    <row r="48" spans="1:7">
      <c r="A48" s="173" t="s">
        <v>75</v>
      </c>
      <c r="B48" s="33">
        <f t="shared" si="0"/>
        <v>259.7587719298246</v>
      </c>
      <c r="C48" s="33">
        <f>B48*10</f>
        <v>2597.5877192982462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22650.38582470172</v>
      </c>
      <c r="C5" s="17">
        <f>IF(ISERROR('Eigen informatie GS &amp; warmtenet'!B58),0,'Eigen informatie GS &amp; warmtenet'!B58)</f>
        <v>0</v>
      </c>
      <c r="D5" s="30">
        <f>SUM(D6:D12)</f>
        <v>43016.886834389974</v>
      </c>
      <c r="E5" s="17">
        <f>SUM(E6:E12)</f>
        <v>335.20397749095019</v>
      </c>
      <c r="F5" s="17">
        <f>SUM(F6:F12)</f>
        <v>4826.0176676423907</v>
      </c>
      <c r="G5" s="18"/>
      <c r="H5" s="17"/>
      <c r="I5" s="17"/>
      <c r="J5" s="17">
        <f>SUM(J6:J12)</f>
        <v>0</v>
      </c>
      <c r="K5" s="17"/>
      <c r="L5" s="17"/>
      <c r="M5" s="17"/>
      <c r="N5" s="17">
        <f>SUM(N6:N12)</f>
        <v>1884.6097324655057</v>
      </c>
      <c r="O5" s="17">
        <f>B38*B39*B40</f>
        <v>4.6900000000000004</v>
      </c>
      <c r="P5" s="17">
        <f>B46*B47*B48/1000-B46*B47*B48/1000/B49</f>
        <v>57.2</v>
      </c>
      <c r="R5" s="32"/>
    </row>
    <row r="6" spans="1:18">
      <c r="A6" s="32" t="s">
        <v>54</v>
      </c>
      <c r="B6" s="37">
        <f>B26</f>
        <v>4732.3196684254199</v>
      </c>
      <c r="C6" s="33"/>
      <c r="D6" s="37">
        <f>IF(ISERROR(TER_kantoor_gas_kWh/1000),0,TER_kantoor_gas_kWh/1000)*0.902</f>
        <v>6254.5818987225721</v>
      </c>
      <c r="E6" s="33">
        <f>$C$26*'E Balans VL '!I12/100/3.6*1000000</f>
        <v>18.386063802281551</v>
      </c>
      <c r="F6" s="33">
        <f>$C$26*('E Balans VL '!L12+'E Balans VL '!N12)/100/3.6*1000000</f>
        <v>719.74276089161879</v>
      </c>
      <c r="G6" s="34"/>
      <c r="H6" s="33"/>
      <c r="I6" s="33"/>
      <c r="J6" s="33">
        <f>$C$26*('E Balans VL '!D12+'E Balans VL '!E12)/100/3.6*1000000</f>
        <v>0</v>
      </c>
      <c r="K6" s="33"/>
      <c r="L6" s="33"/>
      <c r="M6" s="33"/>
      <c r="N6" s="33">
        <f>$C$26*'E Balans VL '!Y12/100/3.6*1000000</f>
        <v>2.608075055237228</v>
      </c>
      <c r="O6" s="33"/>
      <c r="P6" s="33"/>
      <c r="R6" s="32"/>
    </row>
    <row r="7" spans="1:18">
      <c r="A7" s="32" t="s">
        <v>53</v>
      </c>
      <c r="B7" s="37">
        <f t="shared" ref="B7:B12" si="0">B27</f>
        <v>3085.3235279599899</v>
      </c>
      <c r="C7" s="33"/>
      <c r="D7" s="37">
        <f>IF(ISERROR(TER_horeca_gas_kWh/1000),0,TER_horeca_gas_kWh/1000)*0.902</f>
        <v>3947.6235321643126</v>
      </c>
      <c r="E7" s="33">
        <f>$C$27*'E Balans VL '!I9/100/3.6*1000000</f>
        <v>173.79709920882962</v>
      </c>
      <c r="F7" s="33">
        <f>$C$27*('E Balans VL '!L9+'E Balans VL '!N9)/100/3.6*1000000</f>
        <v>889.62259091480439</v>
      </c>
      <c r="G7" s="34"/>
      <c r="H7" s="33"/>
      <c r="I7" s="33"/>
      <c r="J7" s="33">
        <f>$C$27*('E Balans VL '!D9+'E Balans VL '!E9)/100/3.6*1000000</f>
        <v>0</v>
      </c>
      <c r="K7" s="33"/>
      <c r="L7" s="33"/>
      <c r="M7" s="33"/>
      <c r="N7" s="33">
        <f>$C$27*'E Balans VL '!Y9/100/3.6*1000000</f>
        <v>0.85184179322022024</v>
      </c>
      <c r="O7" s="33"/>
      <c r="P7" s="33"/>
      <c r="R7" s="32"/>
    </row>
    <row r="8" spans="1:18">
      <c r="A8" s="6" t="s">
        <v>52</v>
      </c>
      <c r="B8" s="37">
        <f t="shared" si="0"/>
        <v>7165.9206912609998</v>
      </c>
      <c r="C8" s="33"/>
      <c r="D8" s="37">
        <f>IF(ISERROR(TER_handel_gas_kWh/1000),0,TER_handel_gas_kWh/1000)*0.902</f>
        <v>4212.5364662424454</v>
      </c>
      <c r="E8" s="33">
        <f>$C$28*'E Balans VL '!I13/100/3.6*1000000</f>
        <v>103.28522871156854</v>
      </c>
      <c r="F8" s="33">
        <f>$C$28*('E Balans VL '!L13+'E Balans VL '!N13)/100/3.6*1000000</f>
        <v>1244.8873071038595</v>
      </c>
      <c r="G8" s="34"/>
      <c r="H8" s="33"/>
      <c r="I8" s="33"/>
      <c r="J8" s="33">
        <f>$C$28*('E Balans VL '!D13+'E Balans VL '!E13)/100/3.6*1000000</f>
        <v>0</v>
      </c>
      <c r="K8" s="33"/>
      <c r="L8" s="33"/>
      <c r="M8" s="33"/>
      <c r="N8" s="33">
        <f>$C$28*'E Balans VL '!Y13/100/3.6*1000000</f>
        <v>21.469896117742604</v>
      </c>
      <c r="O8" s="33"/>
      <c r="P8" s="33"/>
      <c r="R8" s="32"/>
    </row>
    <row r="9" spans="1:18">
      <c r="A9" s="32" t="s">
        <v>51</v>
      </c>
      <c r="B9" s="37">
        <f t="shared" si="0"/>
        <v>1458.5165248789301</v>
      </c>
      <c r="C9" s="33"/>
      <c r="D9" s="37">
        <f>IF(ISERROR(TER_gezond_gas_kWh/1000),0,TER_gezond_gas_kWh/1000)*0.902</f>
        <v>11460.441721804295</v>
      </c>
      <c r="E9" s="33">
        <f>$C$29*'E Balans VL '!I10/100/3.6*1000000</f>
        <v>1.5580736821711019</v>
      </c>
      <c r="F9" s="33">
        <f>$C$29*('E Balans VL '!L10+'E Balans VL '!N10)/100/3.6*1000000</f>
        <v>237.92837118828763</v>
      </c>
      <c r="G9" s="34"/>
      <c r="H9" s="33"/>
      <c r="I9" s="33"/>
      <c r="J9" s="33">
        <f>$C$29*('E Balans VL '!D10+'E Balans VL '!E10)/100/3.6*1000000</f>
        <v>0</v>
      </c>
      <c r="K9" s="33"/>
      <c r="L9" s="33"/>
      <c r="M9" s="33"/>
      <c r="N9" s="33">
        <f>$C$29*'E Balans VL '!Y10/100/3.6*1000000</f>
        <v>15.014595410702391</v>
      </c>
      <c r="O9" s="33"/>
      <c r="P9" s="33"/>
      <c r="R9" s="32"/>
    </row>
    <row r="10" spans="1:18">
      <c r="A10" s="32" t="s">
        <v>50</v>
      </c>
      <c r="B10" s="37">
        <f t="shared" si="0"/>
        <v>2410.1718759755099</v>
      </c>
      <c r="C10" s="33"/>
      <c r="D10" s="37">
        <f>IF(ISERROR(TER_ander_gas_kWh/1000),0,TER_ander_gas_kWh/1000)*0.902</f>
        <v>2246.4313362692983</v>
      </c>
      <c r="E10" s="33">
        <f>$C$30*'E Balans VL '!I14/100/3.6*1000000</f>
        <v>11.084013843253915</v>
      </c>
      <c r="F10" s="33">
        <f>$C$30*('E Balans VL '!L14+'E Balans VL '!N14)/100/3.6*1000000</f>
        <v>722.40453488370497</v>
      </c>
      <c r="G10" s="34"/>
      <c r="H10" s="33"/>
      <c r="I10" s="33"/>
      <c r="J10" s="33">
        <f>$C$30*('E Balans VL '!D14+'E Balans VL '!E14)/100/3.6*1000000</f>
        <v>0</v>
      </c>
      <c r="K10" s="33"/>
      <c r="L10" s="33"/>
      <c r="M10" s="33"/>
      <c r="N10" s="33">
        <f>$C$30*'E Balans VL '!Y14/100/3.6*1000000</f>
        <v>1677.6387229771522</v>
      </c>
      <c r="O10" s="33"/>
      <c r="P10" s="33"/>
      <c r="R10" s="32"/>
    </row>
    <row r="11" spans="1:18">
      <c r="A11" s="32" t="s">
        <v>55</v>
      </c>
      <c r="B11" s="37">
        <f t="shared" si="0"/>
        <v>1694.0002916722401</v>
      </c>
      <c r="C11" s="33"/>
      <c r="D11" s="37">
        <f>IF(ISERROR(TER_onderwijs_gas_kWh/1000),0,TER_onderwijs_gas_kWh/1000)*0.902</f>
        <v>3253.7238758065669</v>
      </c>
      <c r="E11" s="33">
        <f>$C$31*'E Balans VL '!I11/100/3.6*1000000</f>
        <v>1.5714080464346707</v>
      </c>
      <c r="F11" s="33">
        <f>$C$31*('E Balans VL '!L11+'E Balans VL '!N11)/100/3.6*1000000</f>
        <v>595.06336866694642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2104.1332445286298</v>
      </c>
      <c r="C12" s="33"/>
      <c r="D12" s="37">
        <f>IF(ISERROR(TER_rest_gas_kWh/1000),0,TER_rest_gas_kWh/1000)*0.902</f>
        <v>11641.548003380483</v>
      </c>
      <c r="E12" s="33">
        <f>$C$32*'E Balans VL '!I8/100/3.6*1000000</f>
        <v>25.522090196410854</v>
      </c>
      <c r="F12" s="33">
        <f>$C$32*('E Balans VL '!L8+'E Balans VL '!N8)/100/3.6*1000000</f>
        <v>416.36873399316983</v>
      </c>
      <c r="G12" s="34"/>
      <c r="H12" s="33"/>
      <c r="I12" s="33"/>
      <c r="J12" s="33">
        <f>$C$32*('E Balans VL '!D8+'E Balans VL '!E8)/100/3.6*1000000</f>
        <v>0</v>
      </c>
      <c r="K12" s="33"/>
      <c r="L12" s="33"/>
      <c r="M12" s="33"/>
      <c r="N12" s="33">
        <f>$C$32*'E Balans VL '!Y8/100/3.6*1000000</f>
        <v>167.02660111145121</v>
      </c>
      <c r="O12" s="33"/>
      <c r="P12" s="33"/>
      <c r="R12" s="32"/>
    </row>
    <row r="13" spans="1:18">
      <c r="A13" s="16" t="s">
        <v>497</v>
      </c>
      <c r="B13" s="249">
        <f ca="1">'lokale energieproductie'!N91+'lokale energieproductie'!N60</f>
        <v>15961.5</v>
      </c>
      <c r="C13" s="249">
        <f ca="1">'lokale energieproductie'!O91+'lokale energieproductie'!O60</f>
        <v>22802.142857142859</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-45604.285714285717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38611.88582470172</v>
      </c>
      <c r="C16" s="21">
        <f t="shared" ca="1" si="1"/>
        <v>22802.142857142859</v>
      </c>
      <c r="D16" s="21">
        <f t="shared" ca="1" si="1"/>
        <v>43016.886834389974</v>
      </c>
      <c r="E16" s="21">
        <f t="shared" si="1"/>
        <v>335.20397749095019</v>
      </c>
      <c r="F16" s="21">
        <f t="shared" ca="1" si="1"/>
        <v>4826.0176676423907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0.18079163278395846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6980.7058831156046</v>
      </c>
      <c r="C20" s="23">
        <f t="shared" ref="C20:P20" ca="1" si="2">C16*C18</f>
        <v>0</v>
      </c>
      <c r="D20" s="23">
        <f t="shared" ca="1" si="2"/>
        <v>8689.4111405467756</v>
      </c>
      <c r="E20" s="23">
        <f t="shared" si="2"/>
        <v>76.091302890445704</v>
      </c>
      <c r="F20" s="23">
        <f t="shared" ca="1" si="2"/>
        <v>1288.5467172605183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4732.3196684254199</v>
      </c>
      <c r="C26" s="39">
        <f>IF(ISERROR(B26*3.6/1000000/'E Balans VL '!Z12*100),0,B26*3.6/1000000/'E Balans VL '!Z12*100)</f>
        <v>0.10051681384379259</v>
      </c>
      <c r="D26" s="239" t="s">
        <v>692</v>
      </c>
      <c r="F26" s="6"/>
    </row>
    <row r="27" spans="1:18">
      <c r="A27" s="233" t="s">
        <v>53</v>
      </c>
      <c r="B27" s="33">
        <f>IF(ISERROR(TER_horeca_ele_kWh/1000),0,TER_horeca_ele_kWh/1000)</f>
        <v>3085.3235279599899</v>
      </c>
      <c r="C27" s="39">
        <f>IF(ISERROR(B27*3.6/1000000/'E Balans VL '!Z9*100),0,B27*3.6/1000000/'E Balans VL '!Z9*100)</f>
        <v>0.23990269416074231</v>
      </c>
      <c r="D27" s="239" t="s">
        <v>692</v>
      </c>
      <c r="F27" s="6"/>
    </row>
    <row r="28" spans="1:18">
      <c r="A28" s="173" t="s">
        <v>52</v>
      </c>
      <c r="B28" s="33">
        <f>IF(ISERROR(TER_handel_ele_kWh/1000),0,TER_handel_ele_kWh/1000)</f>
        <v>7165.9206912609998</v>
      </c>
      <c r="C28" s="39">
        <f>IF(ISERROR(B28*3.6/1000000/'E Balans VL '!Z13*100),0,B28*3.6/1000000/'E Balans VL '!Z13*100)</f>
        <v>0.20502542442199048</v>
      </c>
      <c r="D28" s="239" t="s">
        <v>692</v>
      </c>
      <c r="F28" s="6"/>
    </row>
    <row r="29" spans="1:18">
      <c r="A29" s="233" t="s">
        <v>51</v>
      </c>
      <c r="B29" s="33">
        <f>IF(ISERROR(TER_gezond_ele_kWh/1000),0,TER_gezond_ele_kWh/1000)</f>
        <v>1458.5165248789301</v>
      </c>
      <c r="C29" s="39">
        <f>IF(ISERROR(B29*3.6/1000000/'E Balans VL '!Z10*100),0,B29*3.6/1000000/'E Balans VL '!Z10*100)</f>
        <v>0.15901219307112899</v>
      </c>
      <c r="D29" s="239" t="s">
        <v>692</v>
      </c>
      <c r="F29" s="6"/>
    </row>
    <row r="30" spans="1:18">
      <c r="A30" s="233" t="s">
        <v>50</v>
      </c>
      <c r="B30" s="33">
        <f>IF(ISERROR(TER_ander_ele_kWh/1000),0,TER_ander_ele_kWh/1000)</f>
        <v>2410.1718759755099</v>
      </c>
      <c r="C30" s="39">
        <f>IF(ISERROR(B30*3.6/1000000/'E Balans VL '!Z14*100),0,B30*3.6/1000000/'E Balans VL '!Z14*100)</f>
        <v>0.176370910538593</v>
      </c>
      <c r="D30" s="239" t="s">
        <v>692</v>
      </c>
      <c r="F30" s="6"/>
    </row>
    <row r="31" spans="1:18">
      <c r="A31" s="233" t="s">
        <v>55</v>
      </c>
      <c r="B31" s="33">
        <f>IF(ISERROR(TER_onderwijs_ele_kWh/1000),0,TER_onderwijs_ele_kWh/1000)</f>
        <v>1694.0002916722401</v>
      </c>
      <c r="C31" s="39">
        <f>IF(ISERROR(B31*3.6/1000000/'E Balans VL '!Z11*100),0,B31*3.6/1000000/'E Balans VL '!Z11*100)</f>
        <v>0.34024121651229872</v>
      </c>
      <c r="D31" s="239" t="s">
        <v>692</v>
      </c>
    </row>
    <row r="32" spans="1:18">
      <c r="A32" s="233" t="s">
        <v>260</v>
      </c>
      <c r="B32" s="33">
        <f>IF(ISERROR(TER_rest_ele_kWh/1000),0,TER_rest_ele_kWh/1000)</f>
        <v>2104.1332445286298</v>
      </c>
      <c r="C32" s="39">
        <f>IF(ISERROR(B32*3.6/1000000/'E Balans VL '!Z8*100),0,B32*3.6/1000000/'E Balans VL '!Z8*100)</f>
        <v>1.7147409009322195E-2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57347.088875304558</v>
      </c>
      <c r="C5" s="17">
        <f>IF(ISERROR('Eigen informatie GS &amp; warmtenet'!B59),0,'Eigen informatie GS &amp; warmtenet'!B59)</f>
        <v>0</v>
      </c>
      <c r="D5" s="30">
        <f>SUM(D6:D15)</f>
        <v>43760.11890727625</v>
      </c>
      <c r="E5" s="17">
        <f>SUM(E6:E15)</f>
        <v>5483.5572826493135</v>
      </c>
      <c r="F5" s="17">
        <f>SUM(F6:F15)</f>
        <v>35564.318307550879</v>
      </c>
      <c r="G5" s="18"/>
      <c r="H5" s="17"/>
      <c r="I5" s="17"/>
      <c r="J5" s="17">
        <f>SUM(J6:J15)</f>
        <v>71.30011291353874</v>
      </c>
      <c r="K5" s="17"/>
      <c r="L5" s="17"/>
      <c r="M5" s="17"/>
      <c r="N5" s="17">
        <f>SUM(N6:N15)</f>
        <v>12716.334316538021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5717.4771678972002</v>
      </c>
      <c r="C8" s="33"/>
      <c r="D8" s="37">
        <f>IF( ISERROR(IND_metaal_Gas_kWH/1000),0,IND_metaal_Gas_kWH/1000)*0.902</f>
        <v>752.19958192676995</v>
      </c>
      <c r="E8" s="33">
        <f>C30*'E Balans VL '!I18/100/3.6*1000000</f>
        <v>164.22740503851881</v>
      </c>
      <c r="F8" s="33">
        <f>C30*'E Balans VL '!L18/100/3.6*1000000+C30*'E Balans VL '!N18/100/3.6*1000000</f>
        <v>1466.4229306767857</v>
      </c>
      <c r="G8" s="34"/>
      <c r="H8" s="33"/>
      <c r="I8" s="33"/>
      <c r="J8" s="40">
        <f>C30*'E Balans VL '!D18/100/3.6*1000000+C30*'E Balans VL '!E18/100/3.6*1000000</f>
        <v>0</v>
      </c>
      <c r="K8" s="33"/>
      <c r="L8" s="33"/>
      <c r="M8" s="33"/>
      <c r="N8" s="33">
        <f>C30*'E Balans VL '!Y18/100/3.6*1000000</f>
        <v>155.24117613283283</v>
      </c>
      <c r="O8" s="33"/>
      <c r="P8" s="33"/>
      <c r="R8" s="32"/>
    </row>
    <row r="9" spans="1:18">
      <c r="A9" s="6" t="s">
        <v>33</v>
      </c>
      <c r="B9" s="37">
        <f t="shared" si="0"/>
        <v>10107.6254974805</v>
      </c>
      <c r="C9" s="33"/>
      <c r="D9" s="37">
        <f>IF( ISERROR(IND_andere_gas_kWh/1000),0,IND_andere_gas_kWh/1000)*0.902</f>
        <v>2079.3412467793023</v>
      </c>
      <c r="E9" s="33">
        <f>C31*'E Balans VL '!I19/100/3.6*1000000</f>
        <v>2735.8857055710541</v>
      </c>
      <c r="F9" s="33">
        <f>C31*'E Balans VL '!L19/100/3.6*1000000+C31*'E Balans VL '!N19/100/3.6*1000000</f>
        <v>6732.7481915307917</v>
      </c>
      <c r="G9" s="34"/>
      <c r="H9" s="33"/>
      <c r="I9" s="33"/>
      <c r="J9" s="40">
        <f>C31*'E Balans VL '!D19/100/3.6*1000000+C31*'E Balans VL '!E19/100/3.6*1000000</f>
        <v>0</v>
      </c>
      <c r="K9" s="33"/>
      <c r="L9" s="33"/>
      <c r="M9" s="33"/>
      <c r="N9" s="33">
        <f>C31*'E Balans VL '!Y19/100/3.6*1000000</f>
        <v>3299.971822893609</v>
      </c>
      <c r="O9" s="33"/>
      <c r="P9" s="33"/>
      <c r="R9" s="32"/>
    </row>
    <row r="10" spans="1:18">
      <c r="A10" s="6" t="s">
        <v>41</v>
      </c>
      <c r="B10" s="37">
        <f t="shared" si="0"/>
        <v>14052.794576885301</v>
      </c>
      <c r="C10" s="33"/>
      <c r="D10" s="37">
        <f>IF( ISERROR(IND_voed_gas_kWh/1000),0,IND_voed_gas_kWh/1000)*0.902</f>
        <v>10028.913450627922</v>
      </c>
      <c r="E10" s="33">
        <f>C32*'E Balans VL '!I20/100/3.6*1000000</f>
        <v>1146.1782111461944</v>
      </c>
      <c r="F10" s="33">
        <f>C32*'E Balans VL '!L20/100/3.6*1000000+C32*'E Balans VL '!N20/100/3.6*1000000</f>
        <v>20953.991695375498</v>
      </c>
      <c r="G10" s="34"/>
      <c r="H10" s="33"/>
      <c r="I10" s="33"/>
      <c r="J10" s="40">
        <f>C32*'E Balans VL '!D20/100/3.6*1000000+C32*'E Balans VL '!E20/100/3.6*1000000</f>
        <v>0.18590141444789104</v>
      </c>
      <c r="K10" s="33"/>
      <c r="L10" s="33"/>
      <c r="M10" s="33"/>
      <c r="N10" s="33">
        <f>C32*'E Balans VL '!Y20/100/3.6*1000000</f>
        <v>4128.2151770368464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1028.8917533619201</v>
      </c>
      <c r="C12" s="33"/>
      <c r="D12" s="37">
        <f>IF( ISERROR(IND_min_gas_kWh/1000),0,IND_min_gas_kWh/1000)*0.902</f>
        <v>0</v>
      </c>
      <c r="E12" s="33">
        <f>C34*'E Balans VL '!I22/100/3.6*1000000</f>
        <v>8.0148425727188979</v>
      </c>
      <c r="F12" s="33">
        <f>C34*'E Balans VL '!L22/100/3.6*1000000+C34*'E Balans VL '!N22/100/3.6*1000000</f>
        <v>388.0347420387676</v>
      </c>
      <c r="G12" s="34"/>
      <c r="H12" s="33"/>
      <c r="I12" s="33"/>
      <c r="J12" s="40">
        <f>C34*'E Balans VL '!D22/100/3.6*1000000+C34*'E Balans VL '!E22/100/3.6*1000000</f>
        <v>5.6588146844725502</v>
      </c>
      <c r="K12" s="33"/>
      <c r="L12" s="33"/>
      <c r="M12" s="33"/>
      <c r="N12" s="33">
        <f>C34*'E Balans VL '!Y22/100/3.6*1000000</f>
        <v>0</v>
      </c>
      <c r="O12" s="33"/>
      <c r="P12" s="33"/>
      <c r="R12" s="32"/>
    </row>
    <row r="13" spans="1:18">
      <c r="A13" s="6" t="s">
        <v>39</v>
      </c>
      <c r="B13" s="37">
        <f t="shared" si="0"/>
        <v>46.895566697574097</v>
      </c>
      <c r="C13" s="33"/>
      <c r="D13" s="37">
        <f>IF( ISERROR(IND_papier_gas_kWh/1000),0,IND_papier_gas_kWh/1000)*0.902</f>
        <v>135.17763618982534</v>
      </c>
      <c r="E13" s="33">
        <f>C35*'E Balans VL '!I23/100/3.6*1000000</f>
        <v>0.49131649445331049</v>
      </c>
      <c r="F13" s="33">
        <f>C35*'E Balans VL '!L23/100/3.6*1000000+C35*'E Balans VL '!N23/100/3.6*1000000</f>
        <v>3.4993554990261413</v>
      </c>
      <c r="G13" s="34"/>
      <c r="H13" s="33"/>
      <c r="I13" s="33"/>
      <c r="J13" s="40">
        <f>C35*'E Balans VL '!D23/100/3.6*1000000+C35*'E Balans VL '!E23/100/3.6*1000000</f>
        <v>0</v>
      </c>
      <c r="K13" s="33"/>
      <c r="L13" s="33"/>
      <c r="M13" s="33"/>
      <c r="N13" s="33">
        <f>C35*'E Balans VL '!Y23/100/3.6*1000000</f>
        <v>100.23437900553643</v>
      </c>
      <c r="O13" s="33"/>
      <c r="P13" s="33"/>
      <c r="R13" s="32"/>
    </row>
    <row r="14" spans="1:18">
      <c r="A14" s="6" t="s">
        <v>34</v>
      </c>
      <c r="B14" s="37">
        <f t="shared" si="0"/>
        <v>855.44456711865803</v>
      </c>
      <c r="C14" s="33"/>
      <c r="D14" s="37">
        <f>IF( ISERROR(IND_chemie_gas_kWh/1000),0,IND_chemie_gas_kWh/1000)*0.902</f>
        <v>0</v>
      </c>
      <c r="E14" s="33">
        <f>C36*'E Balans VL '!I24/100/3.6*1000000</f>
        <v>4.0438873530130239</v>
      </c>
      <c r="F14" s="33">
        <f>C36*'E Balans VL '!L24/100/3.6*1000000+C36*'E Balans VL '!N24/100/3.6*1000000</f>
        <v>16.167443149214861</v>
      </c>
      <c r="G14" s="34"/>
      <c r="H14" s="33"/>
      <c r="I14" s="33"/>
      <c r="J14" s="40">
        <f>C36*'E Balans VL '!D24/100/3.6*1000000+C36*'E Balans VL '!E24/100/3.6*1000000</f>
        <v>0</v>
      </c>
      <c r="K14" s="33"/>
      <c r="L14" s="33"/>
      <c r="M14" s="33"/>
      <c r="N14" s="33">
        <f>C36*'E Balans VL '!Y24/100/3.6*1000000</f>
        <v>20.767300094018324</v>
      </c>
      <c r="O14" s="33"/>
      <c r="P14" s="33"/>
      <c r="R14" s="32"/>
    </row>
    <row r="15" spans="1:18">
      <c r="A15" s="6" t="s">
        <v>270</v>
      </c>
      <c r="B15" s="37">
        <f t="shared" si="0"/>
        <v>25537.959745863402</v>
      </c>
      <c r="C15" s="33"/>
      <c r="D15" s="37">
        <f>IF( ISERROR(IND_rest_gas_kWh/1000),0,IND_rest_gas_kWh/1000)*0.902</f>
        <v>30764.48699175243</v>
      </c>
      <c r="E15" s="33">
        <f>C37*'E Balans VL '!I15/100/3.6*1000000</f>
        <v>1424.7159144733605</v>
      </c>
      <c r="F15" s="33">
        <f>C37*'E Balans VL '!L15/100/3.6*1000000+C37*'E Balans VL '!N15/100/3.6*1000000</f>
        <v>6003.453949280798</v>
      </c>
      <c r="G15" s="34"/>
      <c r="H15" s="33"/>
      <c r="I15" s="33"/>
      <c r="J15" s="40">
        <f>C37*'E Balans VL '!D15/100/3.6*1000000+C37*'E Balans VL '!E15/100/3.6*1000000</f>
        <v>65.455396814618297</v>
      </c>
      <c r="K15" s="33"/>
      <c r="L15" s="33"/>
      <c r="M15" s="33"/>
      <c r="N15" s="33">
        <f>C37*'E Balans VL '!Y15/100/3.6*1000000</f>
        <v>5011.9044613751776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57347.088875304558</v>
      </c>
      <c r="C18" s="21">
        <f>C5+C16</f>
        <v>0</v>
      </c>
      <c r="D18" s="21">
        <f>MAX((D5+D16),0)</f>
        <v>43760.11890727625</v>
      </c>
      <c r="E18" s="21">
        <f>MAX((E5+E16),0)</f>
        <v>5483.5572826493135</v>
      </c>
      <c r="F18" s="21">
        <f>MAX((F5+F16),0)</f>
        <v>35564.318307550879</v>
      </c>
      <c r="G18" s="21"/>
      <c r="H18" s="21"/>
      <c r="I18" s="21"/>
      <c r="J18" s="21">
        <f>MAX((J5+J16),0)</f>
        <v>71.30011291353874</v>
      </c>
      <c r="K18" s="21"/>
      <c r="L18" s="21">
        <f>MAX((L5+L16),0)</f>
        <v>0</v>
      </c>
      <c r="M18" s="21"/>
      <c r="N18" s="21">
        <f>MAX((N5+N16),0)</f>
        <v>12716.334316538021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0.18079163278395846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10367.873833173091</v>
      </c>
      <c r="C22" s="23">
        <f ca="1">C18*C20</f>
        <v>0</v>
      </c>
      <c r="D22" s="23">
        <f>D18*D20</f>
        <v>8839.5440192698024</v>
      </c>
      <c r="E22" s="23">
        <f>E18*E20</f>
        <v>1244.7675031613942</v>
      </c>
      <c r="F22" s="23">
        <f>F18*F20</f>
        <v>9495.6729881160845</v>
      </c>
      <c r="G22" s="23"/>
      <c r="H22" s="23"/>
      <c r="I22" s="23"/>
      <c r="J22" s="23">
        <f>J18*J20</f>
        <v>25.240239971392711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5717.4771678972002</v>
      </c>
      <c r="C30" s="39">
        <f>IF(ISERROR(B30*3.6/1000000/'E Balans VL '!Z18*100),0,B30*3.6/1000000/'E Balans VL '!Z18*100)</f>
        <v>0.56258515815662569</v>
      </c>
      <c r="D30" s="239" t="s">
        <v>692</v>
      </c>
    </row>
    <row r="31" spans="1:18">
      <c r="A31" s="6" t="s">
        <v>33</v>
      </c>
      <c r="B31" s="37">
        <f>IF( ISERROR(IND_ander_ele_kWh/1000),0,IND_ander_ele_kWh/1000)</f>
        <v>10107.6254974805</v>
      </c>
      <c r="C31" s="39">
        <f>IF(ISERROR(B31*3.6/1000000/'E Balans VL '!Z19*100),0,B31*3.6/1000000/'E Balans VL '!Z19*100)</f>
        <v>0.44017902764184003</v>
      </c>
      <c r="D31" s="239" t="s">
        <v>692</v>
      </c>
    </row>
    <row r="32" spans="1:18">
      <c r="A32" s="173" t="s">
        <v>41</v>
      </c>
      <c r="B32" s="37">
        <f>IF( ISERROR(IND_voed_ele_kWh/1000),0,IND_voed_ele_kWh/1000)</f>
        <v>14052.794576885301</v>
      </c>
      <c r="C32" s="39">
        <f>IF(ISERROR(B32*3.6/1000000/'E Balans VL '!Z20*100),0,B32*3.6/1000000/'E Balans VL '!Z20*100)</f>
        <v>2.6663151076190497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1028.8917533619201</v>
      </c>
      <c r="C34" s="39">
        <f>IF(ISERROR(B34*3.6/1000000/'E Balans VL '!Z22*100),0,B34*3.6/1000000/'E Balans VL '!Z22*100)</f>
        <v>0.14467251233163456</v>
      </c>
      <c r="D34" s="239" t="s">
        <v>692</v>
      </c>
    </row>
    <row r="35" spans="1:5">
      <c r="A35" s="173" t="s">
        <v>39</v>
      </c>
      <c r="B35" s="37">
        <f>IF( ISERROR(IND_papier_ele_kWh/1000),0,IND_papier_ele_kWh/1000)</f>
        <v>46.895566697574097</v>
      </c>
      <c r="C35" s="39">
        <f>IF(ISERROR(B35*3.6/1000000/'E Balans VL '!Z22*100),0,B35*3.6/1000000/'E Balans VL '!Z22*100)</f>
        <v>6.5939875882815857E-3</v>
      </c>
      <c r="D35" s="239" t="s">
        <v>692</v>
      </c>
    </row>
    <row r="36" spans="1:5">
      <c r="A36" s="173" t="s">
        <v>34</v>
      </c>
      <c r="B36" s="37">
        <f>IF( ISERROR(IND_chemie_ele_kWh/1000),0,IND_chemie_ele_kWh/1000)</f>
        <v>855.44456711865803</v>
      </c>
      <c r="C36" s="39">
        <f>IF(ISERROR(B36*3.6/1000000/'E Balans VL '!Z24*100),0,B36*3.6/1000000/'E Balans VL '!Z24*100)</f>
        <v>2.4930182475288529E-2</v>
      </c>
      <c r="D36" s="239" t="s">
        <v>692</v>
      </c>
    </row>
    <row r="37" spans="1:5">
      <c r="A37" s="173" t="s">
        <v>270</v>
      </c>
      <c r="B37" s="37">
        <f>IF( ISERROR(IND_rest_ele_kWh/1000),0,IND_rest_ele_kWh/1000)</f>
        <v>25537.959745863402</v>
      </c>
      <c r="C37" s="39">
        <f>IF(ISERROR(B37*3.6/1000000/'E Balans VL '!Z15*100),0,B37*3.6/1000000/'E Balans VL '!Z15*100)</f>
        <v>0.19680134692209608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1406.631851315005</v>
      </c>
      <c r="C5" s="17">
        <f>'Eigen informatie GS &amp; warmtenet'!B60</f>
        <v>0</v>
      </c>
      <c r="D5" s="30">
        <f>IF(ISERROR(SUM(LB_lb_gas_kWh,LB_rest_gas_kWh)/1000),0,SUM(LB_lb_gas_kWh,LB_rest_gas_kWh)/1000)*0.902</f>
        <v>5088.9640522940472</v>
      </c>
      <c r="E5" s="17">
        <f>B17*'E Balans VL '!I25/3.6*1000000/100</f>
        <v>17.725373436832857</v>
      </c>
      <c r="F5" s="17">
        <f>B17*('E Balans VL '!L25/3.6*1000000+'E Balans VL '!N25/3.6*1000000)/100</f>
        <v>4853.2322693712294</v>
      </c>
      <c r="G5" s="18"/>
      <c r="H5" s="17"/>
      <c r="I5" s="17"/>
      <c r="J5" s="17">
        <f>('E Balans VL '!D25+'E Balans VL '!E25)/3.6*1000000*landbouw!B17/100</f>
        <v>211.54144041123152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1406.631851315005</v>
      </c>
      <c r="C8" s="21">
        <f>C5+C6</f>
        <v>0</v>
      </c>
      <c r="D8" s="21">
        <f>MAX((D5+D6),0)</f>
        <v>5088.9640522940472</v>
      </c>
      <c r="E8" s="21">
        <f>MAX((E5+E6),0)</f>
        <v>17.725373436832857</v>
      </c>
      <c r="F8" s="21">
        <f>MAX((F5+F6),0)</f>
        <v>4853.2322693712294</v>
      </c>
      <c r="G8" s="21"/>
      <c r="H8" s="21"/>
      <c r="I8" s="21"/>
      <c r="J8" s="21">
        <f>MAX((J5+J6),0)</f>
        <v>211.54144041123152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0.18079163278395846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254.30726912516204</v>
      </c>
      <c r="C12" s="23">
        <f ca="1">C8*C10</f>
        <v>0</v>
      </c>
      <c r="D12" s="23">
        <f>D8*D10</f>
        <v>1027.9707385633976</v>
      </c>
      <c r="E12" s="23">
        <f>E8*E10</f>
        <v>4.0236597701610588</v>
      </c>
      <c r="F12" s="23">
        <f>F8*F10</f>
        <v>1295.8130159221184</v>
      </c>
      <c r="G12" s="23"/>
      <c r="H12" s="23"/>
      <c r="I12" s="23"/>
      <c r="J12" s="23">
        <f>J8*J10</f>
        <v>74.885669905575952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0.19618080879594124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490.84001958010134</v>
      </c>
      <c r="C26" s="249">
        <f>B26*'GWP N2O_CH4'!B5</f>
        <v>10307.640411182128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140.78937310819458</v>
      </c>
      <c r="C27" s="249">
        <f>B27*'GWP N2O_CH4'!B5</f>
        <v>2956.5768352720861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6.6843490725499146</v>
      </c>
      <c r="C28" s="249">
        <f>B28*'GWP N2O_CH4'!B4</f>
        <v>2072.1482124904737</v>
      </c>
      <c r="D28" s="50"/>
    </row>
    <row r="29" spans="1:4">
      <c r="A29" s="41" t="s">
        <v>277</v>
      </c>
      <c r="B29" s="249">
        <f>B34*'ha_N2O bodem landbouw'!B4</f>
        <v>14.236331732071587</v>
      </c>
      <c r="C29" s="249">
        <f>B29*'GWP N2O_CH4'!B4</f>
        <v>4413.2628369421918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3.554669780101286E-3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2.060855153489163E-5</v>
      </c>
      <c r="C5" s="448" t="s">
        <v>211</v>
      </c>
      <c r="D5" s="433">
        <f>SUM(D6:D11)</f>
        <v>3.1568258793986525E-5</v>
      </c>
      <c r="E5" s="433">
        <f>SUM(E6:E11)</f>
        <v>9.9019006744168153E-4</v>
      </c>
      <c r="F5" s="446" t="s">
        <v>211</v>
      </c>
      <c r="G5" s="433">
        <f>SUM(G6:G11)</f>
        <v>0.26290528368792326</v>
      </c>
      <c r="H5" s="433">
        <f>SUM(H6:H11)</f>
        <v>4.7595607330945089E-2</v>
      </c>
      <c r="I5" s="448" t="s">
        <v>211</v>
      </c>
      <c r="J5" s="448" t="s">
        <v>211</v>
      </c>
      <c r="K5" s="448" t="s">
        <v>211</v>
      </c>
      <c r="L5" s="448" t="s">
        <v>211</v>
      </c>
      <c r="M5" s="433">
        <f>SUM(M6:M11)</f>
        <v>1.4036743181114617E-2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1.7489948154927413E-5</v>
      </c>
      <c r="C6" s="887"/>
      <c r="D6" s="887">
        <f>vkm_2011_GW_PW*SUMIFS(TableVerdeelsleutelVkm[CNG],TableVerdeelsleutelVkm[Voertuigtype],"Lichte voertuigen")*SUMIFS(TableECFTransport[EnergieConsumptieFactor (PJ per km)],TableECFTransport[Index],CONCATENATE($A6,"_CNG_CNG"))</f>
        <v>2.4769187282183983E-5</v>
      </c>
      <c r="E6" s="887">
        <f>vkm_2011_GW_PW*SUMIFS(TableVerdeelsleutelVkm[LPG],TableVerdeelsleutelVkm[Voertuigtype],"Lichte voertuigen")*SUMIFS(TableECFTransport[EnergieConsumptieFactor (PJ per km)],TableECFTransport[Index],CONCATENATE($A6,"_LPG_LPG"))</f>
        <v>7.7791863021613216E-4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0.13981327884829411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3.746409308928178E-2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8.0205947563478062E-3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7.4147419292018762E-2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2.6343809405768916E-5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3.3460383722522546E-3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2.0948337125902614E-6</v>
      </c>
      <c r="C8" s="887"/>
      <c r="D8" s="436">
        <f>vkm_2011_NGW_PW*SUMIFS(TableVerdeelsleutelVkm[CNG],TableVerdeelsleutelVkm[Voertuigtype],"Lichte voertuigen")*SUMIFS(TableECFTransport[EnergieConsumptieFactor (PJ per km)],TableECFTransport[Index],CONCATENATE($A8,"_CNG_CNG"))</f>
        <v>5.2852163845135653E-6</v>
      </c>
      <c r="E8" s="436">
        <f>vkm_2011_NGW_PW*SUMIFS(TableVerdeelsleutelVkm[LPG],TableVerdeelsleutelVkm[Voertuigtype],"Lichte voertuigen")*SUMIFS(TableECFTransport[EnergieConsumptieFactor (PJ per km)],TableECFTransport[Index],CONCATENATE($A8,"_LPG_LPG"))</f>
        <v>1.5288942625056026E-4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2.591624031771601E-2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7.7134608841037712E-3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1.5218957084373835E-3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2.118513734760599E-3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7.1225994422872569E-7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9.5599971207221461E-5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1.0237696673739553E-6</v>
      </c>
      <c r="C10" s="887"/>
      <c r="D10" s="436">
        <f>vkm_2011_SW_PW*SUMIFS(TableVerdeelsleutelVkm[CNG],TableVerdeelsleutelVkm[Voertuigtype],"Lichte voertuigen")*SUMIFS(TableECFTransport[EnergieConsumptieFactor (PJ per km)],TableECFTransport[Index],CONCATENATE($A10,"_CNG_CNG"))</f>
        <v>1.5138551272889748E-6</v>
      </c>
      <c r="E10" s="436">
        <f>vkm_2011_SW_PW*SUMIFS(TableVerdeelsleutelVkm[LPG],TableVerdeelsleutelVkm[Voertuigtype],"Lichte voertuigen")*SUMIFS(TableECFTransport[EnergieConsumptieFactor (PJ per km)],TableECFTransport[Index],CONCATENATE($A10,"_LPG_LPG"))</f>
        <v>5.9382010974989203E-5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9.6656456625947764E-3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2.3866891465369132E-3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5.4518552651736498E-4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1.1244185832539007E-2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4.3081416726241767E-6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5.0742884635258576E-4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5.7245976485810086</v>
      </c>
      <c r="C14" s="21"/>
      <c r="D14" s="21">
        <f t="shared" ref="D14:M14" si="0">((D5)*10^9/3600)+D12</f>
        <v>8.7689607761073685</v>
      </c>
      <c r="E14" s="21">
        <f t="shared" si="0"/>
        <v>275.05279651157821</v>
      </c>
      <c r="F14" s="21"/>
      <c r="G14" s="21">
        <f t="shared" si="0"/>
        <v>73029.245468867564</v>
      </c>
      <c r="H14" s="21">
        <f t="shared" si="0"/>
        <v>13221.002036373637</v>
      </c>
      <c r="I14" s="21"/>
      <c r="J14" s="21"/>
      <c r="K14" s="21"/>
      <c r="L14" s="21"/>
      <c r="M14" s="21">
        <f t="shared" si="0"/>
        <v>3899.0953280873937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0.18079163278395846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1.0349593559181698</v>
      </c>
      <c r="C18" s="23"/>
      <c r="D18" s="23">
        <f t="shared" ref="D18:M18" si="1">D14*D16</f>
        <v>1.7713300767736886</v>
      </c>
      <c r="E18" s="23">
        <f t="shared" si="1"/>
        <v>62.436984808128258</v>
      </c>
      <c r="F18" s="23"/>
      <c r="G18" s="23">
        <f t="shared" si="1"/>
        <v>19498.808540187641</v>
      </c>
      <c r="H18" s="23">
        <f t="shared" si="1"/>
        <v>3292.0295070570355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1.0304766544154353E-2</v>
      </c>
      <c r="H50" s="323">
        <f t="shared" si="2"/>
        <v>0</v>
      </c>
      <c r="I50" s="323">
        <f t="shared" si="2"/>
        <v>0</v>
      </c>
      <c r="J50" s="323">
        <f t="shared" si="2"/>
        <v>0</v>
      </c>
      <c r="K50" s="323">
        <f t="shared" si="2"/>
        <v>0</v>
      </c>
      <c r="L50" s="323">
        <f t="shared" si="2"/>
        <v>0</v>
      </c>
      <c r="M50" s="323">
        <f t="shared" si="2"/>
        <v>4.5827817281580985E-4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1.0304766544154353E-2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4.5827817281580985E-4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2862.4351511539871</v>
      </c>
      <c r="H54" s="21">
        <f t="shared" si="3"/>
        <v>0</v>
      </c>
      <c r="I54" s="21">
        <f t="shared" si="3"/>
        <v>0</v>
      </c>
      <c r="J54" s="21">
        <f t="shared" si="3"/>
        <v>0</v>
      </c>
      <c r="K54" s="21">
        <f t="shared" si="3"/>
        <v>0</v>
      </c>
      <c r="L54" s="21">
        <f t="shared" si="3"/>
        <v>0</v>
      </c>
      <c r="M54" s="21">
        <f t="shared" si="3"/>
        <v>127.29949244883606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0.18079163278395846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764.27018535811465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39354.557824701718</v>
      </c>
      <c r="D10" s="690">
        <f ca="1">tertiair!C16</f>
        <v>22802.142857142859</v>
      </c>
      <c r="E10" s="690">
        <f ca="1">tertiair!D16</f>
        <v>43016.886834389974</v>
      </c>
      <c r="F10" s="690">
        <f>tertiair!E16</f>
        <v>335.20397749095019</v>
      </c>
      <c r="G10" s="690">
        <f ca="1">tertiair!F16</f>
        <v>4826.0176676423907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57.2</v>
      </c>
      <c r="R10" s="693">
        <f ca="1">SUM(C10:Q10)</f>
        <v>110396.69916136788</v>
      </c>
      <c r="S10" s="67"/>
    </row>
    <row r="11" spans="1:19" s="458" customFormat="1">
      <c r="A11" s="805" t="s">
        <v>225</v>
      </c>
      <c r="B11" s="810"/>
      <c r="C11" s="690">
        <f>huishoudens!B8</f>
        <v>28085.784487244098</v>
      </c>
      <c r="D11" s="690">
        <f>huishoudens!C8</f>
        <v>0</v>
      </c>
      <c r="E11" s="690">
        <f>huishoudens!D8</f>
        <v>82759.772691061939</v>
      </c>
      <c r="F11" s="690">
        <f>huishoudens!E8</f>
        <v>2635.7866665372185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20292.104823786409</v>
      </c>
      <c r="P11" s="690">
        <f>huishoudens!O8</f>
        <v>129.75666666666669</v>
      </c>
      <c r="Q11" s="691">
        <f>huishoudens!P8</f>
        <v>438.5333333333333</v>
      </c>
      <c r="R11" s="693">
        <f>SUM(C11:Q11)</f>
        <v>134341.73866862964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57347.088875304558</v>
      </c>
      <c r="D13" s="690">
        <f>industrie!C18</f>
        <v>0</v>
      </c>
      <c r="E13" s="690">
        <f>industrie!D18</f>
        <v>43760.11890727625</v>
      </c>
      <c r="F13" s="690">
        <f>industrie!E18</f>
        <v>5483.5572826493135</v>
      </c>
      <c r="G13" s="690">
        <f>industrie!F18</f>
        <v>35564.318307550879</v>
      </c>
      <c r="H13" s="690">
        <f>industrie!G18</f>
        <v>0</v>
      </c>
      <c r="I13" s="690">
        <f>industrie!H18</f>
        <v>0</v>
      </c>
      <c r="J13" s="690">
        <f>industrie!I18</f>
        <v>0</v>
      </c>
      <c r="K13" s="690">
        <f>industrie!J18</f>
        <v>71.30011291353874</v>
      </c>
      <c r="L13" s="690">
        <f>industrie!K18</f>
        <v>0</v>
      </c>
      <c r="M13" s="690">
        <f>industrie!L18</f>
        <v>0</v>
      </c>
      <c r="N13" s="690">
        <f>industrie!M18</f>
        <v>0</v>
      </c>
      <c r="O13" s="690">
        <f>industrie!N18</f>
        <v>12716.334316538021</v>
      </c>
      <c r="P13" s="690">
        <f>industrie!O18</f>
        <v>0</v>
      </c>
      <c r="Q13" s="691">
        <f>industrie!P18</f>
        <v>0</v>
      </c>
      <c r="R13" s="693">
        <f>SUM(C13:Q13)</f>
        <v>154942.71780223254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124787.43118725037</v>
      </c>
      <c r="D16" s="725">
        <f t="shared" ref="D16:R16" ca="1" si="0">SUM(D9:D15)</f>
        <v>22802.142857142859</v>
      </c>
      <c r="E16" s="725">
        <f t="shared" ca="1" si="0"/>
        <v>169536.77843272817</v>
      </c>
      <c r="F16" s="725">
        <f t="shared" si="0"/>
        <v>8454.5479266774819</v>
      </c>
      <c r="G16" s="725">
        <f t="shared" ca="1" si="0"/>
        <v>40390.335975193273</v>
      </c>
      <c r="H16" s="725">
        <f t="shared" si="0"/>
        <v>0</v>
      </c>
      <c r="I16" s="725">
        <f t="shared" si="0"/>
        <v>0</v>
      </c>
      <c r="J16" s="725">
        <f t="shared" si="0"/>
        <v>0</v>
      </c>
      <c r="K16" s="725">
        <f t="shared" si="0"/>
        <v>71.30011291353874</v>
      </c>
      <c r="L16" s="725">
        <f t="shared" si="0"/>
        <v>0</v>
      </c>
      <c r="M16" s="725">
        <f t="shared" ca="1" si="0"/>
        <v>0</v>
      </c>
      <c r="N16" s="725">
        <f t="shared" si="0"/>
        <v>0</v>
      </c>
      <c r="O16" s="725">
        <f t="shared" ca="1" si="0"/>
        <v>33008.43914032443</v>
      </c>
      <c r="P16" s="725">
        <f t="shared" si="0"/>
        <v>134.44666666666669</v>
      </c>
      <c r="Q16" s="725">
        <f t="shared" si="0"/>
        <v>495.73333333333329</v>
      </c>
      <c r="R16" s="725">
        <f t="shared" ca="1" si="0"/>
        <v>399681.15563223005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2862.4351511539871</v>
      </c>
      <c r="I19" s="690">
        <f>transport!H54</f>
        <v>0</v>
      </c>
      <c r="J19" s="690">
        <f>transport!I54</f>
        <v>0</v>
      </c>
      <c r="K19" s="690">
        <f>transport!J54</f>
        <v>0</v>
      </c>
      <c r="L19" s="690">
        <f>transport!K54</f>
        <v>0</v>
      </c>
      <c r="M19" s="690">
        <f>transport!L54</f>
        <v>0</v>
      </c>
      <c r="N19" s="690">
        <f>transport!M54</f>
        <v>127.29949244883606</v>
      </c>
      <c r="O19" s="690">
        <f>transport!N54</f>
        <v>0</v>
      </c>
      <c r="P19" s="690">
        <f>transport!O54</f>
        <v>0</v>
      </c>
      <c r="Q19" s="691">
        <f>transport!P54</f>
        <v>0</v>
      </c>
      <c r="R19" s="693">
        <f>SUM(C19:Q19)</f>
        <v>2989.7346436028233</v>
      </c>
      <c r="S19" s="67"/>
    </row>
    <row r="20" spans="1:19" s="458" customFormat="1">
      <c r="A20" s="805" t="s">
        <v>307</v>
      </c>
      <c r="B20" s="810"/>
      <c r="C20" s="690">
        <f>transport!B14</f>
        <v>5.7245976485810086</v>
      </c>
      <c r="D20" s="690">
        <f>transport!C14</f>
        <v>0</v>
      </c>
      <c r="E20" s="690">
        <f>transport!D14</f>
        <v>8.7689607761073685</v>
      </c>
      <c r="F20" s="690">
        <f>transport!E14</f>
        <v>275.05279651157821</v>
      </c>
      <c r="G20" s="690">
        <f>transport!F14</f>
        <v>0</v>
      </c>
      <c r="H20" s="690">
        <f>transport!G14</f>
        <v>73029.245468867564</v>
      </c>
      <c r="I20" s="690">
        <f>transport!H14</f>
        <v>13221.002036373637</v>
      </c>
      <c r="J20" s="690">
        <f>transport!I14</f>
        <v>0</v>
      </c>
      <c r="K20" s="690">
        <f>transport!J14</f>
        <v>0</v>
      </c>
      <c r="L20" s="690">
        <f>transport!K14</f>
        <v>0</v>
      </c>
      <c r="M20" s="690">
        <f>transport!L14</f>
        <v>0</v>
      </c>
      <c r="N20" s="690">
        <f>transport!M14</f>
        <v>3899.0953280873937</v>
      </c>
      <c r="O20" s="690">
        <f>transport!N14</f>
        <v>0</v>
      </c>
      <c r="P20" s="690">
        <f>transport!O14</f>
        <v>0</v>
      </c>
      <c r="Q20" s="691">
        <f>transport!P14</f>
        <v>0</v>
      </c>
      <c r="R20" s="693">
        <f>SUM(C20:Q20)</f>
        <v>90438.88918826486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5.7245976485810086</v>
      </c>
      <c r="D22" s="808">
        <f t="shared" ref="D22:R22" si="1">SUM(D18:D21)</f>
        <v>0</v>
      </c>
      <c r="E22" s="808">
        <f t="shared" si="1"/>
        <v>8.7689607761073685</v>
      </c>
      <c r="F22" s="808">
        <f t="shared" si="1"/>
        <v>275.05279651157821</v>
      </c>
      <c r="G22" s="808">
        <f t="shared" si="1"/>
        <v>0</v>
      </c>
      <c r="H22" s="808">
        <f t="shared" si="1"/>
        <v>75891.680620021551</v>
      </c>
      <c r="I22" s="808">
        <f t="shared" si="1"/>
        <v>13221.002036373637</v>
      </c>
      <c r="J22" s="808">
        <f t="shared" si="1"/>
        <v>0</v>
      </c>
      <c r="K22" s="808">
        <f t="shared" si="1"/>
        <v>0</v>
      </c>
      <c r="L22" s="808">
        <f t="shared" si="1"/>
        <v>0</v>
      </c>
      <c r="M22" s="808">
        <f t="shared" si="1"/>
        <v>0</v>
      </c>
      <c r="N22" s="808">
        <f t="shared" si="1"/>
        <v>4026.3948205362299</v>
      </c>
      <c r="O22" s="808">
        <f t="shared" si="1"/>
        <v>0</v>
      </c>
      <c r="P22" s="808">
        <f t="shared" si="1"/>
        <v>0</v>
      </c>
      <c r="Q22" s="808">
        <f t="shared" si="1"/>
        <v>0</v>
      </c>
      <c r="R22" s="808">
        <f t="shared" si="1"/>
        <v>93428.623831867677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1406.631851315005</v>
      </c>
      <c r="D24" s="690">
        <f>+landbouw!C8</f>
        <v>0</v>
      </c>
      <c r="E24" s="690">
        <f>+landbouw!D8</f>
        <v>5088.9640522940472</v>
      </c>
      <c r="F24" s="690">
        <f>+landbouw!E8</f>
        <v>17.725373436832857</v>
      </c>
      <c r="G24" s="690">
        <f>+landbouw!F8</f>
        <v>4853.2322693712294</v>
      </c>
      <c r="H24" s="690">
        <f>+landbouw!G8</f>
        <v>0</v>
      </c>
      <c r="I24" s="690">
        <f>+landbouw!H8</f>
        <v>0</v>
      </c>
      <c r="J24" s="690">
        <f>+landbouw!I8</f>
        <v>0</v>
      </c>
      <c r="K24" s="690">
        <f>+landbouw!J8</f>
        <v>211.54144041123152</v>
      </c>
      <c r="L24" s="690">
        <f>+landbouw!K8</f>
        <v>0</v>
      </c>
      <c r="M24" s="690">
        <f>+landbouw!L8</f>
        <v>0</v>
      </c>
      <c r="N24" s="690">
        <f>+landbouw!M8</f>
        <v>0</v>
      </c>
      <c r="O24" s="690">
        <f>+landbouw!N8</f>
        <v>0</v>
      </c>
      <c r="P24" s="690">
        <f>+landbouw!O8</f>
        <v>0</v>
      </c>
      <c r="Q24" s="691">
        <f>+landbouw!P8</f>
        <v>0</v>
      </c>
      <c r="R24" s="693">
        <f>SUM(C24:Q24)</f>
        <v>11578.094986828346</v>
      </c>
      <c r="S24" s="67"/>
    </row>
    <row r="25" spans="1:19" s="458" customFormat="1" ht="15" thickBot="1">
      <c r="A25" s="827" t="s">
        <v>872</v>
      </c>
      <c r="B25" s="1004"/>
      <c r="C25" s="1005">
        <f>IF(Onbekend_ele_kWh="---",0,Onbekend_ele_kWh)/1000+IF(REST_rest_ele_kWh="---",0,REST_rest_ele_kWh)/1000</f>
        <v>888.72161718605992</v>
      </c>
      <c r="D25" s="1005"/>
      <c r="E25" s="1005">
        <f>IF(onbekend_gas_kWh="---",0,onbekend_gas_kWh)/1000+IF(REST_rest_gas_kWh="---",0,REST_rest_gas_kWh)/1000</f>
        <v>3798.3236771759398</v>
      </c>
      <c r="F25" s="1005"/>
      <c r="G25" s="1005"/>
      <c r="H25" s="1005"/>
      <c r="I25" s="1005"/>
      <c r="J25" s="1005"/>
      <c r="K25" s="1005"/>
      <c r="L25" s="1005"/>
      <c r="M25" s="1005"/>
      <c r="N25" s="1005"/>
      <c r="O25" s="1005"/>
      <c r="P25" s="1005"/>
      <c r="Q25" s="1006"/>
      <c r="R25" s="693">
        <f>SUM(C25:Q25)</f>
        <v>4687.0452943619994</v>
      </c>
      <c r="S25" s="67"/>
    </row>
    <row r="26" spans="1:19" s="458" customFormat="1" ht="15.75" thickBot="1">
      <c r="A26" s="698" t="s">
        <v>873</v>
      </c>
      <c r="B26" s="813"/>
      <c r="C26" s="808">
        <f>SUM(C24:C25)</f>
        <v>2295.353468501065</v>
      </c>
      <c r="D26" s="808">
        <f t="shared" ref="D26:R26" si="2">SUM(D24:D25)</f>
        <v>0</v>
      </c>
      <c r="E26" s="808">
        <f t="shared" si="2"/>
        <v>8887.2877294699865</v>
      </c>
      <c r="F26" s="808">
        <f t="shared" si="2"/>
        <v>17.725373436832857</v>
      </c>
      <c r="G26" s="808">
        <f t="shared" si="2"/>
        <v>4853.2322693712294</v>
      </c>
      <c r="H26" s="808">
        <f t="shared" si="2"/>
        <v>0</v>
      </c>
      <c r="I26" s="808">
        <f t="shared" si="2"/>
        <v>0</v>
      </c>
      <c r="J26" s="808">
        <f t="shared" si="2"/>
        <v>0</v>
      </c>
      <c r="K26" s="808">
        <f t="shared" si="2"/>
        <v>211.54144041123152</v>
      </c>
      <c r="L26" s="808">
        <f t="shared" si="2"/>
        <v>0</v>
      </c>
      <c r="M26" s="808">
        <f t="shared" si="2"/>
        <v>0</v>
      </c>
      <c r="N26" s="808">
        <f t="shared" si="2"/>
        <v>0</v>
      </c>
      <c r="O26" s="808">
        <f t="shared" si="2"/>
        <v>0</v>
      </c>
      <c r="P26" s="808">
        <f t="shared" si="2"/>
        <v>0</v>
      </c>
      <c r="Q26" s="808">
        <f t="shared" si="2"/>
        <v>0</v>
      </c>
      <c r="R26" s="808">
        <f t="shared" si="2"/>
        <v>16265.140281190346</v>
      </c>
      <c r="S26" s="67"/>
    </row>
    <row r="27" spans="1:19" s="458" customFormat="1" ht="17.25" thickTop="1" thickBot="1">
      <c r="A27" s="699" t="s">
        <v>116</v>
      </c>
      <c r="B27" s="800"/>
      <c r="C27" s="700">
        <f ca="1">C22+C16+C26</f>
        <v>127088.50925340003</v>
      </c>
      <c r="D27" s="700">
        <f t="shared" ref="D27:R27" ca="1" si="3">D22+D16+D26</f>
        <v>22802.142857142859</v>
      </c>
      <c r="E27" s="700">
        <f t="shared" ca="1" si="3"/>
        <v>178432.83512297424</v>
      </c>
      <c r="F27" s="700">
        <f t="shared" si="3"/>
        <v>8747.3260966258931</v>
      </c>
      <c r="G27" s="700">
        <f t="shared" ca="1" si="3"/>
        <v>45243.5682445645</v>
      </c>
      <c r="H27" s="700">
        <f t="shared" si="3"/>
        <v>75891.680620021551</v>
      </c>
      <c r="I27" s="700">
        <f t="shared" si="3"/>
        <v>13221.002036373637</v>
      </c>
      <c r="J27" s="700">
        <f t="shared" si="3"/>
        <v>0</v>
      </c>
      <c r="K27" s="700">
        <f t="shared" si="3"/>
        <v>282.84155332477025</v>
      </c>
      <c r="L27" s="700">
        <f t="shared" si="3"/>
        <v>0</v>
      </c>
      <c r="M27" s="700">
        <f t="shared" ca="1" si="3"/>
        <v>0</v>
      </c>
      <c r="N27" s="700">
        <f t="shared" si="3"/>
        <v>4026.3948205362299</v>
      </c>
      <c r="O27" s="700">
        <f t="shared" ca="1" si="3"/>
        <v>33008.43914032443</v>
      </c>
      <c r="P27" s="700">
        <f t="shared" si="3"/>
        <v>134.44666666666669</v>
      </c>
      <c r="Q27" s="700">
        <f t="shared" si="3"/>
        <v>495.73333333333329</v>
      </c>
      <c r="R27" s="700">
        <f t="shared" ca="1" si="3"/>
        <v>509374.91974528803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7114.9747666185322</v>
      </c>
      <c r="D40" s="690">
        <f ca="1">tertiair!C20</f>
        <v>0</v>
      </c>
      <c r="E40" s="690">
        <f ca="1">tertiair!D20</f>
        <v>8689.4111405467756</v>
      </c>
      <c r="F40" s="690">
        <f>tertiair!E20</f>
        <v>76.091302890445704</v>
      </c>
      <c r="G40" s="690">
        <f ca="1">tertiair!F20</f>
        <v>1288.5467172605183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17169.02392731627</v>
      </c>
    </row>
    <row r="41" spans="1:18">
      <c r="A41" s="818" t="s">
        <v>225</v>
      </c>
      <c r="B41" s="825"/>
      <c r="C41" s="690">
        <f ca="1">huishoudens!B12</f>
        <v>5077.6748354672318</v>
      </c>
      <c r="D41" s="690">
        <f ca="1">huishoudens!C12</f>
        <v>0</v>
      </c>
      <c r="E41" s="690">
        <f>huishoudens!D12</f>
        <v>16717.474083594512</v>
      </c>
      <c r="F41" s="690">
        <f>huishoudens!E12</f>
        <v>598.32357330394859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22393.47249236569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10367.873833173091</v>
      </c>
      <c r="D43" s="690">
        <f ca="1">industrie!C22</f>
        <v>0</v>
      </c>
      <c r="E43" s="690">
        <f>industrie!D22</f>
        <v>8839.5440192698024</v>
      </c>
      <c r="F43" s="690">
        <f>industrie!E22</f>
        <v>1244.7675031613942</v>
      </c>
      <c r="G43" s="690">
        <f>industrie!F22</f>
        <v>9495.6729881160845</v>
      </c>
      <c r="H43" s="690">
        <f>industrie!G22</f>
        <v>0</v>
      </c>
      <c r="I43" s="690">
        <f>industrie!H22</f>
        <v>0</v>
      </c>
      <c r="J43" s="690">
        <f>industrie!I22</f>
        <v>0</v>
      </c>
      <c r="K43" s="690">
        <f>industrie!J22</f>
        <v>25.240239971392711</v>
      </c>
      <c r="L43" s="690">
        <f>industrie!K22</f>
        <v>0</v>
      </c>
      <c r="M43" s="690">
        <f>industrie!L22</f>
        <v>0</v>
      </c>
      <c r="N43" s="690">
        <f>industrie!M22</f>
        <v>0</v>
      </c>
      <c r="O43" s="690">
        <f>industrie!N22</f>
        <v>0</v>
      </c>
      <c r="P43" s="690">
        <f>industrie!O22</f>
        <v>0</v>
      </c>
      <c r="Q43" s="767">
        <f>industrie!P22</f>
        <v>0</v>
      </c>
      <c r="R43" s="845">
        <f t="shared" ca="1" si="4"/>
        <v>29973.098583691764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22560.523435258852</v>
      </c>
      <c r="D46" s="725">
        <f t="shared" ref="D46:Q46" ca="1" si="5">SUM(D39:D45)</f>
        <v>0</v>
      </c>
      <c r="E46" s="725">
        <f t="shared" ca="1" si="5"/>
        <v>34246.42924341109</v>
      </c>
      <c r="F46" s="725">
        <f t="shared" si="5"/>
        <v>1919.1823793557885</v>
      </c>
      <c r="G46" s="725">
        <f t="shared" ca="1" si="5"/>
        <v>10784.219705376603</v>
      </c>
      <c r="H46" s="725">
        <f t="shared" si="5"/>
        <v>0</v>
      </c>
      <c r="I46" s="725">
        <f t="shared" si="5"/>
        <v>0</v>
      </c>
      <c r="J46" s="725">
        <f t="shared" si="5"/>
        <v>0</v>
      </c>
      <c r="K46" s="725">
        <f t="shared" si="5"/>
        <v>25.240239971392711</v>
      </c>
      <c r="L46" s="725">
        <f t="shared" si="5"/>
        <v>0</v>
      </c>
      <c r="M46" s="725">
        <f t="shared" ca="1" si="5"/>
        <v>0</v>
      </c>
      <c r="N46" s="725">
        <f t="shared" si="5"/>
        <v>0</v>
      </c>
      <c r="O46" s="725">
        <f t="shared" ca="1" si="5"/>
        <v>0</v>
      </c>
      <c r="P46" s="725">
        <f t="shared" si="5"/>
        <v>0</v>
      </c>
      <c r="Q46" s="725">
        <f t="shared" si="5"/>
        <v>0</v>
      </c>
      <c r="R46" s="725">
        <f ca="1">SUM(R39:R45)</f>
        <v>69535.595003373732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764.27018535811465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764.27018535811465</v>
      </c>
    </row>
    <row r="50" spans="1:18">
      <c r="A50" s="821" t="s">
        <v>307</v>
      </c>
      <c r="B50" s="831"/>
      <c r="C50" s="696">
        <f ca="1">transport!B18</f>
        <v>1.0349593559181698</v>
      </c>
      <c r="D50" s="696">
        <f>transport!C18</f>
        <v>0</v>
      </c>
      <c r="E50" s="696">
        <f>transport!D18</f>
        <v>1.7713300767736886</v>
      </c>
      <c r="F50" s="696">
        <f>transport!E18</f>
        <v>62.436984808128258</v>
      </c>
      <c r="G50" s="696">
        <f>transport!F18</f>
        <v>0</v>
      </c>
      <c r="H50" s="696">
        <f>transport!G18</f>
        <v>19498.808540187641</v>
      </c>
      <c r="I50" s="696">
        <f>transport!H18</f>
        <v>3292.0295070570355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22856.081321485497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1.0349593559181698</v>
      </c>
      <c r="D52" s="725">
        <f t="shared" ref="D52:Q52" ca="1" si="6">SUM(D48:D51)</f>
        <v>0</v>
      </c>
      <c r="E52" s="725">
        <f t="shared" si="6"/>
        <v>1.7713300767736886</v>
      </c>
      <c r="F52" s="725">
        <f t="shared" si="6"/>
        <v>62.436984808128258</v>
      </c>
      <c r="G52" s="725">
        <f t="shared" si="6"/>
        <v>0</v>
      </c>
      <c r="H52" s="725">
        <f t="shared" si="6"/>
        <v>20263.078725545754</v>
      </c>
      <c r="I52" s="725">
        <f t="shared" si="6"/>
        <v>3292.0295070570355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23620.35150684361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254.30726912516204</v>
      </c>
      <c r="D54" s="696">
        <f ca="1">+landbouw!C12</f>
        <v>0</v>
      </c>
      <c r="E54" s="696">
        <f>+landbouw!D12</f>
        <v>1027.9707385633976</v>
      </c>
      <c r="F54" s="696">
        <f>+landbouw!E12</f>
        <v>4.0236597701610588</v>
      </c>
      <c r="G54" s="696">
        <f>+landbouw!F12</f>
        <v>1295.8130159221184</v>
      </c>
      <c r="H54" s="696">
        <f>+landbouw!G12</f>
        <v>0</v>
      </c>
      <c r="I54" s="696">
        <f>+landbouw!H12</f>
        <v>0</v>
      </c>
      <c r="J54" s="696">
        <f>+landbouw!I12</f>
        <v>0</v>
      </c>
      <c r="K54" s="696">
        <f>+landbouw!J12</f>
        <v>74.885669905575952</v>
      </c>
      <c r="L54" s="696">
        <f>+landbouw!K12</f>
        <v>0</v>
      </c>
      <c r="M54" s="696">
        <f>+landbouw!L12</f>
        <v>0</v>
      </c>
      <c r="N54" s="696">
        <f>+landbouw!M12</f>
        <v>0</v>
      </c>
      <c r="O54" s="696">
        <f>+landbouw!N12</f>
        <v>0</v>
      </c>
      <c r="P54" s="696">
        <f>+landbouw!O12</f>
        <v>0</v>
      </c>
      <c r="Q54" s="697">
        <f>+landbouw!P12</f>
        <v>0</v>
      </c>
      <c r="R54" s="724">
        <f ca="1">SUM(C54:Q54)</f>
        <v>2657.0003532864148</v>
      </c>
    </row>
    <row r="55" spans="1:18" ht="15" thickBot="1">
      <c r="A55" s="821" t="s">
        <v>872</v>
      </c>
      <c r="B55" s="831"/>
      <c r="C55" s="696">
        <f ca="1">C25*'EF ele_warmte'!B12</f>
        <v>160.67343226146784</v>
      </c>
      <c r="D55" s="696"/>
      <c r="E55" s="696">
        <f>E25*EF_CO2_aardgas</f>
        <v>767.26138278953988</v>
      </c>
      <c r="F55" s="696"/>
      <c r="G55" s="696"/>
      <c r="H55" s="696"/>
      <c r="I55" s="696"/>
      <c r="J55" s="696"/>
      <c r="K55" s="696"/>
      <c r="L55" s="696"/>
      <c r="M55" s="696"/>
      <c r="N55" s="696"/>
      <c r="O55" s="696"/>
      <c r="P55" s="696"/>
      <c r="Q55" s="697"/>
      <c r="R55" s="724">
        <f ca="1">SUM(C55:Q55)</f>
        <v>927.93481505100772</v>
      </c>
    </row>
    <row r="56" spans="1:18" ht="15.75" thickBot="1">
      <c r="A56" s="819" t="s">
        <v>873</v>
      </c>
      <c r="B56" s="832"/>
      <c r="C56" s="725">
        <f ca="1">SUM(C54:C55)</f>
        <v>414.9807013866299</v>
      </c>
      <c r="D56" s="725">
        <f t="shared" ref="D56:Q56" ca="1" si="7">SUM(D54:D55)</f>
        <v>0</v>
      </c>
      <c r="E56" s="725">
        <f t="shared" si="7"/>
        <v>1795.2321213529376</v>
      </c>
      <c r="F56" s="725">
        <f t="shared" si="7"/>
        <v>4.0236597701610588</v>
      </c>
      <c r="G56" s="725">
        <f t="shared" si="7"/>
        <v>1295.8130159221184</v>
      </c>
      <c r="H56" s="725">
        <f t="shared" si="7"/>
        <v>0</v>
      </c>
      <c r="I56" s="725">
        <f t="shared" si="7"/>
        <v>0</v>
      </c>
      <c r="J56" s="725">
        <f t="shared" si="7"/>
        <v>0</v>
      </c>
      <c r="K56" s="725">
        <f t="shared" si="7"/>
        <v>74.885669905575952</v>
      </c>
      <c r="L56" s="725">
        <f t="shared" si="7"/>
        <v>0</v>
      </c>
      <c r="M56" s="725">
        <f t="shared" si="7"/>
        <v>0</v>
      </c>
      <c r="N56" s="725">
        <f t="shared" si="7"/>
        <v>0</v>
      </c>
      <c r="O56" s="725">
        <f t="shared" si="7"/>
        <v>0</v>
      </c>
      <c r="P56" s="725">
        <f t="shared" si="7"/>
        <v>0</v>
      </c>
      <c r="Q56" s="726">
        <f t="shared" si="7"/>
        <v>0</v>
      </c>
      <c r="R56" s="727">
        <f ca="1">SUM(R54:R55)</f>
        <v>3584.9351683374225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22976.539096001401</v>
      </c>
      <c r="D61" s="733">
        <f t="shared" ref="D61:Q61" ca="1" si="8">D46+D52+D56</f>
        <v>0</v>
      </c>
      <c r="E61" s="733">
        <f t="shared" ca="1" si="8"/>
        <v>36043.432694840798</v>
      </c>
      <c r="F61" s="733">
        <f t="shared" si="8"/>
        <v>1985.6430239340777</v>
      </c>
      <c r="G61" s="733">
        <f t="shared" ca="1" si="8"/>
        <v>12080.032721298721</v>
      </c>
      <c r="H61" s="733">
        <f t="shared" si="8"/>
        <v>20263.078725545754</v>
      </c>
      <c r="I61" s="733">
        <f t="shared" si="8"/>
        <v>3292.0295070570355</v>
      </c>
      <c r="J61" s="733">
        <f t="shared" si="8"/>
        <v>0</v>
      </c>
      <c r="K61" s="733">
        <f t="shared" si="8"/>
        <v>100.12590987696866</v>
      </c>
      <c r="L61" s="733">
        <f t="shared" si="8"/>
        <v>0</v>
      </c>
      <c r="M61" s="733">
        <f t="shared" ca="1" si="8"/>
        <v>0</v>
      </c>
      <c r="N61" s="733">
        <f t="shared" si="8"/>
        <v>0</v>
      </c>
      <c r="O61" s="733">
        <f t="shared" ca="1" si="8"/>
        <v>0</v>
      </c>
      <c r="P61" s="733">
        <f t="shared" si="8"/>
        <v>0</v>
      </c>
      <c r="Q61" s="733">
        <f t="shared" si="8"/>
        <v>0</v>
      </c>
      <c r="R61" s="733">
        <f ca="1">R46+R52+R56</f>
        <v>96740.881678554768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0.18079163278395843</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7160.7690000000002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15961.5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18778.23529411765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23122.269</v>
      </c>
      <c r="C78" s="748">
        <f>SUM(C72:C77)</f>
        <v>0</v>
      </c>
      <c r="D78" s="749">
        <f t="shared" ref="D78:H78" si="10">SUM(D76:D77)</f>
        <v>0</v>
      </c>
      <c r="E78" s="749">
        <f t="shared" si="10"/>
        <v>0</v>
      </c>
      <c r="F78" s="749">
        <f t="shared" si="10"/>
        <v>0</v>
      </c>
      <c r="G78" s="749">
        <f t="shared" si="10"/>
        <v>0</v>
      </c>
      <c r="H78" s="749">
        <f t="shared" si="10"/>
        <v>0</v>
      </c>
      <c r="I78" s="749">
        <f>SUM(I76:I77)</f>
        <v>0</v>
      </c>
      <c r="J78" s="749">
        <f>SUM(J76:J77)</f>
        <v>18778.23529411765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22802.142857142859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26826.050420168071</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22802.142857142859</v>
      </c>
      <c r="C90" s="748">
        <f>SUM(C87:C89)</f>
        <v>0</v>
      </c>
      <c r="D90" s="748">
        <f t="shared" ref="D90:H90" si="12">SUM(D87:D89)</f>
        <v>0</v>
      </c>
      <c r="E90" s="748">
        <f t="shared" si="12"/>
        <v>0</v>
      </c>
      <c r="F90" s="748">
        <f t="shared" si="12"/>
        <v>0</v>
      </c>
      <c r="G90" s="748">
        <f t="shared" si="12"/>
        <v>0</v>
      </c>
      <c r="H90" s="748">
        <f t="shared" si="12"/>
        <v>0</v>
      </c>
      <c r="I90" s="748">
        <f>SUM(I87:I89)</f>
        <v>0</v>
      </c>
      <c r="J90" s="748">
        <f>SUM(J87:J89)</f>
        <v>26826.050420168071</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7160.7690000000002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15961.5</v>
      </c>
      <c r="C8" s="560">
        <f>B101</f>
        <v>0</v>
      </c>
      <c r="D8" s="1028"/>
      <c r="E8" s="1028">
        <f>E101</f>
        <v>0</v>
      </c>
      <c r="F8" s="1029"/>
      <c r="G8" s="561"/>
      <c r="H8" s="1028">
        <f>I101</f>
        <v>0</v>
      </c>
      <c r="I8" s="1028">
        <f>G101+F101</f>
        <v>0</v>
      </c>
      <c r="J8" s="1028">
        <f>H101+D101+C101</f>
        <v>18778.23529411765</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23122.269</v>
      </c>
      <c r="C10" s="573">
        <f t="shared" ref="C10:L10" si="0">SUM(C8:C9)</f>
        <v>0</v>
      </c>
      <c r="D10" s="573">
        <f t="shared" si="0"/>
        <v>0</v>
      </c>
      <c r="E10" s="573">
        <f t="shared" si="0"/>
        <v>0</v>
      </c>
      <c r="F10" s="573">
        <f t="shared" si="0"/>
        <v>0</v>
      </c>
      <c r="G10" s="573">
        <f t="shared" si="0"/>
        <v>0</v>
      </c>
      <c r="H10" s="573">
        <f t="shared" si="0"/>
        <v>0</v>
      </c>
      <c r="I10" s="573">
        <f t="shared" si="0"/>
        <v>0</v>
      </c>
      <c r="J10" s="573">
        <f t="shared" si="0"/>
        <v>18778.23529411765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22802.142857142859</v>
      </c>
      <c r="C17" s="585">
        <f>B102</f>
        <v>0</v>
      </c>
      <c r="D17" s="586"/>
      <c r="E17" s="586">
        <f>E102</f>
        <v>0</v>
      </c>
      <c r="F17" s="1034"/>
      <c r="G17" s="587"/>
      <c r="H17" s="585">
        <f>I102</f>
        <v>0</v>
      </c>
      <c r="I17" s="586">
        <f>G102+F102</f>
        <v>0</v>
      </c>
      <c r="J17" s="586">
        <f>H102+D102+C102</f>
        <v>26826.050420168071</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22802.142857142859</v>
      </c>
      <c r="C20" s="572">
        <f>SUM(C17:C19)</f>
        <v>0</v>
      </c>
      <c r="D20" s="572">
        <f t="shared" ref="D20:L20" si="1">SUM(D17:D19)</f>
        <v>0</v>
      </c>
      <c r="E20" s="572">
        <f t="shared" si="1"/>
        <v>0</v>
      </c>
      <c r="F20" s="572">
        <f t="shared" si="1"/>
        <v>0</v>
      </c>
      <c r="G20" s="572">
        <f t="shared" si="1"/>
        <v>0</v>
      </c>
      <c r="H20" s="572">
        <f t="shared" si="1"/>
        <v>0</v>
      </c>
      <c r="I20" s="572">
        <f t="shared" si="1"/>
        <v>0</v>
      </c>
      <c r="J20" s="572">
        <f t="shared" si="1"/>
        <v>26826.050420168071</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11057</v>
      </c>
      <c r="C28" s="791">
        <v>2390</v>
      </c>
      <c r="D28" s="644" t="s">
        <v>910</v>
      </c>
      <c r="E28" s="643" t="s">
        <v>911</v>
      </c>
      <c r="F28" s="643" t="s">
        <v>912</v>
      </c>
      <c r="G28" s="643" t="s">
        <v>913</v>
      </c>
      <c r="H28" s="643" t="s">
        <v>914</v>
      </c>
      <c r="I28" s="643" t="s">
        <v>911</v>
      </c>
      <c r="J28" s="790">
        <v>40029</v>
      </c>
      <c r="K28" s="790">
        <v>39022</v>
      </c>
      <c r="L28" s="643" t="s">
        <v>915</v>
      </c>
      <c r="M28" s="643">
        <v>3547</v>
      </c>
      <c r="N28" s="643">
        <v>15961.5</v>
      </c>
      <c r="O28" s="643">
        <v>22802.142857142859</v>
      </c>
      <c r="P28" s="643">
        <v>0</v>
      </c>
      <c r="Q28" s="643">
        <v>45604.285714285717</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3547</v>
      </c>
      <c r="N58" s="601">
        <f>SUM(N28:N57)</f>
        <v>15961.5</v>
      </c>
      <c r="O58" s="601">
        <f t="shared" ref="O58:W58" si="2">SUM(O28:O57)</f>
        <v>22802.142857142859</v>
      </c>
      <c r="P58" s="601">
        <f t="shared" si="2"/>
        <v>0</v>
      </c>
      <c r="Q58" s="601">
        <f t="shared" si="2"/>
        <v>45604.285714285717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3547</v>
      </c>
      <c r="N60" s="601">
        <f ca="1">SUMIF($Z$28:AD57,"tertiair",N28:N57)</f>
        <v>15961.5</v>
      </c>
      <c r="O60" s="601">
        <f ca="1">SUMIF($Z$28:AE57,"tertiair",O28:O57)</f>
        <v>22802.142857142859</v>
      </c>
      <c r="P60" s="601">
        <f ca="1">SUMIF($Z$28:AF57,"tertiair",P28:P57)</f>
        <v>0</v>
      </c>
      <c r="Q60" s="601">
        <f ca="1">SUMIF($Z$28:AG57,"tertiair",Q28:Q57)</f>
        <v>45604.285714285717</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18778.23529411765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26826.050420168071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28085.784487244098</v>
      </c>
      <c r="C4" s="462">
        <f>huishoudens!C8</f>
        <v>0</v>
      </c>
      <c r="D4" s="462">
        <f>huishoudens!D8</f>
        <v>82759.772691061939</v>
      </c>
      <c r="E4" s="462">
        <f>huishoudens!E8</f>
        <v>2635.7866665372185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20292.104823786409</v>
      </c>
      <c r="O4" s="462">
        <f>huishoudens!O8</f>
        <v>129.75666666666669</v>
      </c>
      <c r="P4" s="463">
        <f>huishoudens!P8</f>
        <v>438.5333333333333</v>
      </c>
      <c r="Q4" s="464">
        <f>SUM(B4:P4)</f>
        <v>134341.73866862964</v>
      </c>
    </row>
    <row r="5" spans="1:17">
      <c r="A5" s="461" t="s">
        <v>156</v>
      </c>
      <c r="B5" s="462">
        <f ca="1">tertiair!B16</f>
        <v>38611.88582470172</v>
      </c>
      <c r="C5" s="462">
        <f ca="1">tertiair!C16</f>
        <v>22802.142857142859</v>
      </c>
      <c r="D5" s="462">
        <f ca="1">tertiair!D16</f>
        <v>43016.886834389974</v>
      </c>
      <c r="E5" s="462">
        <f>tertiair!E16</f>
        <v>335.20397749095019</v>
      </c>
      <c r="F5" s="462">
        <f ca="1">tertiair!F16</f>
        <v>4826.0176676423907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57.2</v>
      </c>
      <c r="Q5" s="461">
        <f t="shared" ref="Q5:Q14" ca="1" si="0">SUM(B5:P5)</f>
        <v>109654.02716136789</v>
      </c>
    </row>
    <row r="6" spans="1:17">
      <c r="A6" s="461" t="s">
        <v>194</v>
      </c>
      <c r="B6" s="462">
        <f>'openbare verlichting'!B8</f>
        <v>742.67200000000003</v>
      </c>
      <c r="C6" s="462"/>
      <c r="D6" s="462"/>
      <c r="E6" s="462"/>
      <c r="F6" s="462"/>
      <c r="G6" s="462"/>
      <c r="H6" s="462"/>
      <c r="I6" s="462"/>
      <c r="J6" s="462"/>
      <c r="K6" s="462"/>
      <c r="L6" s="462"/>
      <c r="M6" s="462"/>
      <c r="N6" s="462"/>
      <c r="O6" s="462"/>
      <c r="P6" s="463"/>
      <c r="Q6" s="461">
        <f t="shared" si="0"/>
        <v>742.67200000000003</v>
      </c>
    </row>
    <row r="7" spans="1:17">
      <c r="A7" s="461" t="s">
        <v>112</v>
      </c>
      <c r="B7" s="462">
        <f>landbouw!B8</f>
        <v>1406.631851315005</v>
      </c>
      <c r="C7" s="462">
        <f>landbouw!C8</f>
        <v>0</v>
      </c>
      <c r="D7" s="462">
        <f>landbouw!D8</f>
        <v>5088.9640522940472</v>
      </c>
      <c r="E7" s="462">
        <f>landbouw!E8</f>
        <v>17.725373436832857</v>
      </c>
      <c r="F7" s="462">
        <f>landbouw!F8</f>
        <v>4853.2322693712294</v>
      </c>
      <c r="G7" s="462">
        <f>landbouw!G8</f>
        <v>0</v>
      </c>
      <c r="H7" s="462">
        <f>landbouw!H8</f>
        <v>0</v>
      </c>
      <c r="I7" s="462">
        <f>landbouw!I8</f>
        <v>0</v>
      </c>
      <c r="J7" s="462">
        <f>landbouw!J8</f>
        <v>211.54144041123152</v>
      </c>
      <c r="K7" s="462">
        <f>landbouw!K8</f>
        <v>0</v>
      </c>
      <c r="L7" s="462">
        <f>landbouw!L8</f>
        <v>0</v>
      </c>
      <c r="M7" s="462">
        <f>landbouw!M8</f>
        <v>0</v>
      </c>
      <c r="N7" s="462">
        <f>landbouw!N8</f>
        <v>0</v>
      </c>
      <c r="O7" s="462">
        <f>landbouw!O8</f>
        <v>0</v>
      </c>
      <c r="P7" s="463">
        <f>landbouw!P8</f>
        <v>0</v>
      </c>
      <c r="Q7" s="461">
        <f t="shared" si="0"/>
        <v>11578.094986828346</v>
      </c>
    </row>
    <row r="8" spans="1:17">
      <c r="A8" s="461" t="s">
        <v>657</v>
      </c>
      <c r="B8" s="462">
        <f>industrie!B18</f>
        <v>57347.088875304558</v>
      </c>
      <c r="C8" s="462">
        <f>industrie!C18</f>
        <v>0</v>
      </c>
      <c r="D8" s="462">
        <f>industrie!D18</f>
        <v>43760.11890727625</v>
      </c>
      <c r="E8" s="462">
        <f>industrie!E18</f>
        <v>5483.5572826493135</v>
      </c>
      <c r="F8" s="462">
        <f>industrie!F18</f>
        <v>35564.318307550879</v>
      </c>
      <c r="G8" s="462">
        <f>industrie!G18</f>
        <v>0</v>
      </c>
      <c r="H8" s="462">
        <f>industrie!H18</f>
        <v>0</v>
      </c>
      <c r="I8" s="462">
        <f>industrie!I18</f>
        <v>0</v>
      </c>
      <c r="J8" s="462">
        <f>industrie!J18</f>
        <v>71.30011291353874</v>
      </c>
      <c r="K8" s="462">
        <f>industrie!K18</f>
        <v>0</v>
      </c>
      <c r="L8" s="462">
        <f>industrie!L18</f>
        <v>0</v>
      </c>
      <c r="M8" s="462">
        <f>industrie!M18</f>
        <v>0</v>
      </c>
      <c r="N8" s="462">
        <f>industrie!N18</f>
        <v>12716.334316538021</v>
      </c>
      <c r="O8" s="462">
        <f>industrie!O18</f>
        <v>0</v>
      </c>
      <c r="P8" s="463">
        <f>industrie!P18</f>
        <v>0</v>
      </c>
      <c r="Q8" s="461">
        <f t="shared" si="0"/>
        <v>154942.71780223254</v>
      </c>
    </row>
    <row r="9" spans="1:17" s="467" customFormat="1">
      <c r="A9" s="465" t="s">
        <v>574</v>
      </c>
      <c r="B9" s="466">
        <f>transport!B14</f>
        <v>5.7245976485810086</v>
      </c>
      <c r="C9" s="466">
        <f>transport!C14</f>
        <v>0</v>
      </c>
      <c r="D9" s="466">
        <f>transport!D14</f>
        <v>8.7689607761073685</v>
      </c>
      <c r="E9" s="466">
        <f>transport!E14</f>
        <v>275.05279651157821</v>
      </c>
      <c r="F9" s="466">
        <f>transport!F14</f>
        <v>0</v>
      </c>
      <c r="G9" s="466">
        <f>transport!G14</f>
        <v>73029.245468867564</v>
      </c>
      <c r="H9" s="466">
        <f>transport!H14</f>
        <v>13221.002036373637</v>
      </c>
      <c r="I9" s="466">
        <f>transport!I14</f>
        <v>0</v>
      </c>
      <c r="J9" s="466">
        <f>transport!J14</f>
        <v>0</v>
      </c>
      <c r="K9" s="466">
        <f>transport!K14</f>
        <v>0</v>
      </c>
      <c r="L9" s="466">
        <f>transport!L14</f>
        <v>0</v>
      </c>
      <c r="M9" s="466">
        <f>transport!M14</f>
        <v>3899.0953280873937</v>
      </c>
      <c r="N9" s="466">
        <f>transport!N14</f>
        <v>0</v>
      </c>
      <c r="O9" s="466">
        <f>transport!O14</f>
        <v>0</v>
      </c>
      <c r="P9" s="466">
        <f>transport!P14</f>
        <v>0</v>
      </c>
      <c r="Q9" s="465">
        <f>SUM(B9:P9)</f>
        <v>90438.88918826486</v>
      </c>
    </row>
    <row r="10" spans="1:17">
      <c r="A10" s="461" t="s">
        <v>564</v>
      </c>
      <c r="B10" s="462">
        <f>transport!B54</f>
        <v>0</v>
      </c>
      <c r="C10" s="462">
        <f>transport!C54</f>
        <v>0</v>
      </c>
      <c r="D10" s="462">
        <f>transport!D54</f>
        <v>0</v>
      </c>
      <c r="E10" s="462">
        <f>transport!E54</f>
        <v>0</v>
      </c>
      <c r="F10" s="462">
        <f>transport!F54</f>
        <v>0</v>
      </c>
      <c r="G10" s="462">
        <f>transport!G54</f>
        <v>2862.4351511539871</v>
      </c>
      <c r="H10" s="462">
        <f>transport!H54</f>
        <v>0</v>
      </c>
      <c r="I10" s="462">
        <f>transport!I54</f>
        <v>0</v>
      </c>
      <c r="J10" s="462">
        <f>transport!J54</f>
        <v>0</v>
      </c>
      <c r="K10" s="462">
        <f>transport!K54</f>
        <v>0</v>
      </c>
      <c r="L10" s="462">
        <f>transport!L54</f>
        <v>0</v>
      </c>
      <c r="M10" s="462">
        <f>transport!M54</f>
        <v>127.29949244883606</v>
      </c>
      <c r="N10" s="462">
        <f>transport!N54</f>
        <v>0</v>
      </c>
      <c r="O10" s="462">
        <f>transport!O54</f>
        <v>0</v>
      </c>
      <c r="P10" s="463">
        <f>transport!P54</f>
        <v>0</v>
      </c>
      <c r="Q10" s="461">
        <f t="shared" si="0"/>
        <v>2989.7346436028233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888.72161718605992</v>
      </c>
      <c r="C14" s="469"/>
      <c r="D14" s="469">
        <f>'SEAP template'!E25</f>
        <v>3798.3236771759398</v>
      </c>
      <c r="E14" s="469"/>
      <c r="F14" s="469"/>
      <c r="G14" s="469"/>
      <c r="H14" s="469"/>
      <c r="I14" s="469"/>
      <c r="J14" s="469"/>
      <c r="K14" s="469"/>
      <c r="L14" s="469"/>
      <c r="M14" s="469"/>
      <c r="N14" s="469"/>
      <c r="O14" s="469"/>
      <c r="P14" s="470"/>
      <c r="Q14" s="461">
        <f t="shared" si="0"/>
        <v>4687.0452943619994</v>
      </c>
    </row>
    <row r="15" spans="1:17" s="474" customFormat="1">
      <c r="A15" s="471" t="s">
        <v>568</v>
      </c>
      <c r="B15" s="472">
        <f ca="1">SUM(B4:B14)</f>
        <v>127088.50925340003</v>
      </c>
      <c r="C15" s="472">
        <f t="shared" ref="C15:Q15" ca="1" si="1">SUM(C4:C14)</f>
        <v>22802.142857142859</v>
      </c>
      <c r="D15" s="472">
        <f t="shared" ca="1" si="1"/>
        <v>178432.83512297427</v>
      </c>
      <c r="E15" s="472">
        <f t="shared" si="1"/>
        <v>8747.3260966258931</v>
      </c>
      <c r="F15" s="472">
        <f t="shared" ca="1" si="1"/>
        <v>45243.5682445645</v>
      </c>
      <c r="G15" s="472">
        <f t="shared" si="1"/>
        <v>75891.680620021551</v>
      </c>
      <c r="H15" s="472">
        <f t="shared" si="1"/>
        <v>13221.002036373637</v>
      </c>
      <c r="I15" s="472">
        <f t="shared" si="1"/>
        <v>0</v>
      </c>
      <c r="J15" s="472">
        <f t="shared" si="1"/>
        <v>282.84155332477025</v>
      </c>
      <c r="K15" s="472">
        <f t="shared" si="1"/>
        <v>0</v>
      </c>
      <c r="L15" s="472">
        <f t="shared" ca="1" si="1"/>
        <v>0</v>
      </c>
      <c r="M15" s="472">
        <f t="shared" si="1"/>
        <v>4026.3948205362299</v>
      </c>
      <c r="N15" s="472">
        <f t="shared" ca="1" si="1"/>
        <v>33008.43914032443</v>
      </c>
      <c r="O15" s="472">
        <f t="shared" si="1"/>
        <v>134.44666666666669</v>
      </c>
      <c r="P15" s="472">
        <f t="shared" si="1"/>
        <v>495.73333333333329</v>
      </c>
      <c r="Q15" s="472">
        <f t="shared" ca="1" si="1"/>
        <v>509374.91974528803</v>
      </c>
    </row>
    <row r="17" spans="1:17">
      <c r="A17" s="475" t="s">
        <v>569</v>
      </c>
      <c r="B17" s="781">
        <f ca="1">huishoudens!B10</f>
        <v>0.18079163278395846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5077.6748354672318</v>
      </c>
      <c r="C22" s="462">
        <f t="shared" ref="C22:C32" ca="1" si="3">C4*$C$17</f>
        <v>0</v>
      </c>
      <c r="D22" s="462">
        <f t="shared" ref="D22:D32" si="4">D4*$D$17</f>
        <v>16717.474083594512</v>
      </c>
      <c r="E22" s="462">
        <f t="shared" ref="E22:E32" si="5">E4*$E$17</f>
        <v>598.32357330394859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22393.47249236569</v>
      </c>
    </row>
    <row r="23" spans="1:17">
      <c r="A23" s="461" t="s">
        <v>156</v>
      </c>
      <c r="B23" s="462">
        <f t="shared" ca="1" si="2"/>
        <v>6980.7058831156046</v>
      </c>
      <c r="C23" s="462">
        <f t="shared" ca="1" si="3"/>
        <v>0</v>
      </c>
      <c r="D23" s="462">
        <f t="shared" ca="1" si="4"/>
        <v>8689.4111405467756</v>
      </c>
      <c r="E23" s="462">
        <f t="shared" si="5"/>
        <v>76.091302890445704</v>
      </c>
      <c r="F23" s="462">
        <f t="shared" ca="1" si="6"/>
        <v>1288.5467172605183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17034.755043813344</v>
      </c>
    </row>
    <row r="24" spans="1:17">
      <c r="A24" s="461" t="s">
        <v>194</v>
      </c>
      <c r="B24" s="462">
        <f t="shared" ca="1" si="2"/>
        <v>134.26888350292799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134.26888350292799</v>
      </c>
    </row>
    <row r="25" spans="1:17">
      <c r="A25" s="461" t="s">
        <v>112</v>
      </c>
      <c r="B25" s="462">
        <f t="shared" ca="1" si="2"/>
        <v>254.30726912516204</v>
      </c>
      <c r="C25" s="462">
        <f t="shared" ca="1" si="3"/>
        <v>0</v>
      </c>
      <c r="D25" s="462">
        <f t="shared" si="4"/>
        <v>1027.9707385633976</v>
      </c>
      <c r="E25" s="462">
        <f t="shared" si="5"/>
        <v>4.0236597701610588</v>
      </c>
      <c r="F25" s="462">
        <f t="shared" si="6"/>
        <v>1295.8130159221184</v>
      </c>
      <c r="G25" s="462">
        <f t="shared" si="7"/>
        <v>0</v>
      </c>
      <c r="H25" s="462">
        <f t="shared" si="8"/>
        <v>0</v>
      </c>
      <c r="I25" s="462">
        <f t="shared" si="9"/>
        <v>0</v>
      </c>
      <c r="J25" s="462">
        <f t="shared" si="10"/>
        <v>74.885669905575952</v>
      </c>
      <c r="K25" s="462">
        <f t="shared" si="11"/>
        <v>0</v>
      </c>
      <c r="L25" s="462">
        <f t="shared" si="12"/>
        <v>0</v>
      </c>
      <c r="M25" s="462">
        <f t="shared" si="13"/>
        <v>0</v>
      </c>
      <c r="N25" s="462">
        <f t="shared" si="14"/>
        <v>0</v>
      </c>
      <c r="O25" s="462">
        <f t="shared" si="15"/>
        <v>0</v>
      </c>
      <c r="P25" s="463">
        <f t="shared" si="16"/>
        <v>0</v>
      </c>
      <c r="Q25" s="461">
        <f t="shared" ca="1" si="17"/>
        <v>2657.0003532864148</v>
      </c>
    </row>
    <row r="26" spans="1:17">
      <c r="A26" s="461" t="s">
        <v>657</v>
      </c>
      <c r="B26" s="462">
        <f t="shared" ca="1" si="2"/>
        <v>10367.873833173091</v>
      </c>
      <c r="C26" s="462">
        <f t="shared" ca="1" si="3"/>
        <v>0</v>
      </c>
      <c r="D26" s="462">
        <f t="shared" si="4"/>
        <v>8839.5440192698024</v>
      </c>
      <c r="E26" s="462">
        <f t="shared" si="5"/>
        <v>1244.7675031613942</v>
      </c>
      <c r="F26" s="462">
        <f t="shared" si="6"/>
        <v>9495.6729881160845</v>
      </c>
      <c r="G26" s="462">
        <f t="shared" si="7"/>
        <v>0</v>
      </c>
      <c r="H26" s="462">
        <f t="shared" si="8"/>
        <v>0</v>
      </c>
      <c r="I26" s="462">
        <f t="shared" si="9"/>
        <v>0</v>
      </c>
      <c r="J26" s="462">
        <f t="shared" si="10"/>
        <v>25.240239971392711</v>
      </c>
      <c r="K26" s="462">
        <f t="shared" si="11"/>
        <v>0</v>
      </c>
      <c r="L26" s="462">
        <f t="shared" si="12"/>
        <v>0</v>
      </c>
      <c r="M26" s="462">
        <f t="shared" si="13"/>
        <v>0</v>
      </c>
      <c r="N26" s="462">
        <f t="shared" si="14"/>
        <v>0</v>
      </c>
      <c r="O26" s="462">
        <f t="shared" si="15"/>
        <v>0</v>
      </c>
      <c r="P26" s="463">
        <f t="shared" si="16"/>
        <v>0</v>
      </c>
      <c r="Q26" s="461">
        <f t="shared" ca="1" si="17"/>
        <v>29973.098583691764</v>
      </c>
    </row>
    <row r="27" spans="1:17" s="467" customFormat="1">
      <c r="A27" s="465" t="s">
        <v>574</v>
      </c>
      <c r="B27" s="775">
        <f t="shared" ca="1" si="2"/>
        <v>1.0349593559181698</v>
      </c>
      <c r="C27" s="466">
        <f t="shared" ca="1" si="3"/>
        <v>0</v>
      </c>
      <c r="D27" s="466">
        <f t="shared" si="4"/>
        <v>1.7713300767736886</v>
      </c>
      <c r="E27" s="466">
        <f t="shared" si="5"/>
        <v>62.436984808128258</v>
      </c>
      <c r="F27" s="466">
        <f t="shared" si="6"/>
        <v>0</v>
      </c>
      <c r="G27" s="466">
        <f t="shared" si="7"/>
        <v>19498.808540187641</v>
      </c>
      <c r="H27" s="466">
        <f t="shared" si="8"/>
        <v>3292.0295070570355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22856.081321485497</v>
      </c>
    </row>
    <row r="28" spans="1:17">
      <c r="A28" s="461" t="s">
        <v>564</v>
      </c>
      <c r="B28" s="462">
        <f t="shared" ca="1" si="2"/>
        <v>0</v>
      </c>
      <c r="C28" s="462">
        <f t="shared" ca="1" si="3"/>
        <v>0</v>
      </c>
      <c r="D28" s="462">
        <f t="shared" si="4"/>
        <v>0</v>
      </c>
      <c r="E28" s="462">
        <f t="shared" si="5"/>
        <v>0</v>
      </c>
      <c r="F28" s="462">
        <f t="shared" si="6"/>
        <v>0</v>
      </c>
      <c r="G28" s="462">
        <f t="shared" si="7"/>
        <v>764.27018535811465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764.27018535811465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160.67343226146784</v>
      </c>
      <c r="C32" s="462">
        <f t="shared" ca="1" si="3"/>
        <v>0</v>
      </c>
      <c r="D32" s="462">
        <f t="shared" si="4"/>
        <v>767.26138278953988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927.93481505100772</v>
      </c>
    </row>
    <row r="33" spans="1:17" s="474" customFormat="1">
      <c r="A33" s="471" t="s">
        <v>568</v>
      </c>
      <c r="B33" s="472">
        <f ca="1">SUM(B22:B32)</f>
        <v>22976.539096001405</v>
      </c>
      <c r="C33" s="472">
        <f t="shared" ref="C33:Q33" ca="1" si="18">SUM(C22:C32)</f>
        <v>0</v>
      </c>
      <c r="D33" s="472">
        <f t="shared" ca="1" si="18"/>
        <v>36043.432694840805</v>
      </c>
      <c r="E33" s="472">
        <f t="shared" si="18"/>
        <v>1985.643023934078</v>
      </c>
      <c r="F33" s="472">
        <f t="shared" ca="1" si="18"/>
        <v>12080.032721298721</v>
      </c>
      <c r="G33" s="472">
        <f t="shared" si="18"/>
        <v>20263.078725545754</v>
      </c>
      <c r="H33" s="472">
        <f t="shared" si="18"/>
        <v>3292.0295070570355</v>
      </c>
      <c r="I33" s="472">
        <f t="shared" si="18"/>
        <v>0</v>
      </c>
      <c r="J33" s="472">
        <f t="shared" si="18"/>
        <v>100.12590987696866</v>
      </c>
      <c r="K33" s="472">
        <f t="shared" si="18"/>
        <v>0</v>
      </c>
      <c r="L33" s="472">
        <f t="shared" ca="1" si="18"/>
        <v>0</v>
      </c>
      <c r="M33" s="472">
        <f t="shared" si="18"/>
        <v>0</v>
      </c>
      <c r="N33" s="472">
        <f t="shared" ca="1" si="18"/>
        <v>0</v>
      </c>
      <c r="O33" s="472">
        <f t="shared" si="18"/>
        <v>0</v>
      </c>
      <c r="P33" s="472">
        <f t="shared" si="18"/>
        <v>0</v>
      </c>
      <c r="Q33" s="472">
        <f t="shared" ca="1" si="18"/>
        <v>96740.881678554753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7160.7690000000002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15961.5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18778.23529411765</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23122.269</v>
      </c>
      <c r="C10" s="1051">
        <f>SUM(C4:C9)</f>
        <v>0</v>
      </c>
      <c r="D10" s="1051">
        <f t="shared" ref="D10:H10" si="0">SUM(D8:D9)</f>
        <v>0</v>
      </c>
      <c r="E10" s="1051">
        <f t="shared" si="0"/>
        <v>0</v>
      </c>
      <c r="F10" s="1051">
        <f t="shared" si="0"/>
        <v>0</v>
      </c>
      <c r="G10" s="1051">
        <f t="shared" si="0"/>
        <v>0</v>
      </c>
      <c r="H10" s="1051">
        <f t="shared" si="0"/>
        <v>0</v>
      </c>
      <c r="I10" s="1051">
        <f>SUM(I8:I9)</f>
        <v>0</v>
      </c>
      <c r="J10" s="1051">
        <f>SUM(J8:J9)</f>
        <v>18778.23529411765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0.18079163278395846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22802.142857142859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26826.050420168071</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22802.142857142859</v>
      </c>
      <c r="C20" s="1051">
        <f>SUM(C17:C19)</f>
        <v>0</v>
      </c>
      <c r="D20" s="1051">
        <f t="shared" ref="D20:H20" si="2">SUM(D17:D19)</f>
        <v>0</v>
      </c>
      <c r="E20" s="1051">
        <f t="shared" si="2"/>
        <v>0</v>
      </c>
      <c r="F20" s="1051">
        <f t="shared" si="2"/>
        <v>0</v>
      </c>
      <c r="G20" s="1051">
        <f t="shared" si="2"/>
        <v>0</v>
      </c>
      <c r="H20" s="1051">
        <f t="shared" si="2"/>
        <v>0</v>
      </c>
      <c r="I20" s="1051">
        <f>SUM(I17:I19)</f>
        <v>0</v>
      </c>
      <c r="J20" s="1051">
        <f>SUM(J17:J19)</f>
        <v>26826.050420168071</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0.18079163278395846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2019-07-04T14:24:27Z</dcterms:modified>
</cp:coreProperties>
</file>