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F10"/>
  <c r="D10"/>
  <c r="B8"/>
  <c r="B6"/>
  <c r="B5"/>
  <c r="B4"/>
  <c r="O9" l="1"/>
  <c r="O19"/>
  <c r="C98"/>
  <c r="G101" s="1"/>
  <c r="B10"/>
  <c r="O18"/>
  <c r="I102"/>
  <c r="H17" s="1"/>
  <c r="H20" s="1"/>
  <c r="E102"/>
  <c r="E17" s="1"/>
  <c r="E20" s="1"/>
  <c r="G102"/>
  <c r="C102"/>
  <c r="H102"/>
  <c r="D102"/>
  <c r="F102"/>
  <c r="B102"/>
  <c r="C17" s="1"/>
  <c r="I101"/>
  <c r="H8" s="1"/>
  <c r="H10" s="1"/>
  <c r="E101"/>
  <c r="E8" s="1"/>
  <c r="E10" s="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M22" s="1"/>
  <c r="L19"/>
  <c r="L22" s="1"/>
  <c r="K19"/>
  <c r="J19"/>
  <c r="I19"/>
  <c r="G19"/>
  <c r="F19"/>
  <c r="E19"/>
  <c r="D19"/>
  <c r="D22" s="1"/>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Q14" i="48" l="1"/>
  <c r="N78" i="14"/>
  <c r="N8" i="56"/>
  <c r="N10" s="1"/>
  <c r="C77" i="14"/>
  <c r="C9" i="56" s="1"/>
  <c r="D9"/>
  <c r="D10" s="1"/>
  <c r="Q88" i="14"/>
  <c r="P18" i="56" s="1"/>
  <c r="D18"/>
  <c r="G20"/>
  <c r="J76" i="14"/>
  <c r="N20" i="56"/>
  <c r="G78" i="14"/>
  <c r="Q89"/>
  <c r="P19" i="56" s="1"/>
  <c r="I10"/>
  <c r="I87" i="14"/>
  <c r="I17" i="56" s="1"/>
  <c r="I20" s="1"/>
  <c r="Q76" i="14"/>
  <c r="P8" i="56" s="1"/>
  <c r="L10"/>
  <c r="H20"/>
  <c r="K90" i="14"/>
  <c r="K18" i="56"/>
  <c r="C76" i="14"/>
  <c r="C8" i="56" s="1"/>
  <c r="C10" s="1"/>
  <c r="E8"/>
  <c r="E10" s="1"/>
  <c r="M78" i="14"/>
  <c r="M8" i="56"/>
  <c r="M10" s="1"/>
  <c r="H78" i="14"/>
  <c r="H9" i="56"/>
  <c r="H10" s="1"/>
  <c r="Q87" i="14"/>
  <c r="P17" i="56" s="1"/>
  <c r="D17"/>
  <c r="K78" i="14"/>
  <c r="K8" i="56"/>
  <c r="K10" s="1"/>
  <c r="O78" i="14"/>
  <c r="O9" i="56"/>
  <c r="L90" i="14"/>
  <c r="L17" i="56"/>
  <c r="L20" s="1"/>
  <c r="G90" i="14"/>
  <c r="G18" i="56"/>
  <c r="O90" i="14"/>
  <c r="O18" i="56"/>
  <c r="O20" s="1"/>
  <c r="O10"/>
  <c r="F90" i="14"/>
  <c r="M20" i="56"/>
  <c r="K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M90"/>
  <c r="D90"/>
  <c r="Q78" l="1"/>
  <c r="B9" i="6" s="1"/>
  <c r="P9" i="56"/>
  <c r="P10" s="1"/>
  <c r="J8"/>
  <c r="J10" s="1"/>
  <c r="J78" i="14"/>
  <c r="J90"/>
  <c r="J17" i="56"/>
  <c r="J20" s="1"/>
  <c r="C78" i="14"/>
  <c r="C87"/>
  <c r="C17" i="56" s="1"/>
  <c r="C20" s="1"/>
  <c r="I90" i="14"/>
  <c r="P20" i="56"/>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25" i="48"/>
  <c r="H26"/>
  <c r="H32"/>
  <c r="H28"/>
  <c r="H29"/>
  <c r="H24"/>
  <c r="H22"/>
  <c r="H30"/>
  <c r="H23"/>
  <c r="C4"/>
  <c r="D11" i="14"/>
  <c r="G26" i="48"/>
  <c r="G32"/>
  <c r="G22"/>
  <c r="G30"/>
  <c r="G29"/>
  <c r="G24"/>
  <c r="G25"/>
  <c r="G23"/>
  <c r="C11" i="14"/>
  <c r="B4" i="48"/>
  <c r="F24"/>
  <c r="F28"/>
  <c r="F32"/>
  <c r="F27"/>
  <c r="F30"/>
  <c r="F31"/>
  <c r="F29"/>
  <c r="N31"/>
  <c r="N28"/>
  <c r="N24"/>
  <c r="N32"/>
  <c r="N30"/>
  <c r="N27"/>
  <c r="N29"/>
  <c r="C19" i="14"/>
  <c r="B10" i="48"/>
  <c r="E28"/>
  <c r="E32"/>
  <c r="E31"/>
  <c r="E29"/>
  <c r="E30"/>
  <c r="E24"/>
  <c r="M12" i="13"/>
  <c r="N41" i="14" s="1"/>
  <c r="M17" i="48"/>
  <c r="L10" i="14"/>
  <c r="L16" s="1"/>
  <c r="L27" s="1"/>
  <c r="K5" i="48"/>
  <c r="D28"/>
  <c r="D30"/>
  <c r="D29"/>
  <c r="D24"/>
  <c r="D31"/>
  <c r="D32"/>
  <c r="L28"/>
  <c r="L32"/>
  <c r="L27"/>
  <c r="L31"/>
  <c r="L29"/>
  <c r="L24"/>
  <c r="L22"/>
  <c r="L30"/>
  <c r="P5"/>
  <c r="P23" s="1"/>
  <c r="Q10" i="14"/>
  <c r="K32" i="48"/>
  <c r="K27"/>
  <c r="K31"/>
  <c r="K25"/>
  <c r="K28"/>
  <c r="K30"/>
  <c r="K26"/>
  <c r="K29"/>
  <c r="K24"/>
  <c r="K22"/>
  <c r="I5"/>
  <c r="J10" i="14"/>
  <c r="J16" s="1"/>
  <c r="J27" s="1"/>
  <c r="J31" i="48"/>
  <c r="J29"/>
  <c r="J30"/>
  <c r="J24"/>
  <c r="J32"/>
  <c r="J27"/>
  <c r="J28"/>
  <c r="P4"/>
  <c r="Q11" i="14"/>
  <c r="B7" i="48"/>
  <c r="C24" i="14"/>
  <c r="C26" s="1"/>
  <c r="P11"/>
  <c r="O4" i="48"/>
  <c r="I32"/>
  <c r="I25"/>
  <c r="I29"/>
  <c r="I26"/>
  <c r="I30"/>
  <c r="I27"/>
  <c r="I22"/>
  <c r="I28"/>
  <c r="I24"/>
  <c r="I31"/>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18" i="14"/>
  <c r="H13" i="48"/>
  <c r="H31" s="1"/>
  <c r="I23"/>
  <c r="I33" s="1"/>
  <c r="I15"/>
  <c r="Q13" i="14"/>
  <c r="P8" i="48"/>
  <c r="P26" s="1"/>
  <c r="P22"/>
  <c r="H18" i="14"/>
  <c r="G13" i="48"/>
  <c r="M13"/>
  <c r="M31" s="1"/>
  <c r="N18" i="14"/>
  <c r="J12" i="17"/>
  <c r="K54" i="14" s="1"/>
  <c r="K56" s="1"/>
  <c r="J7" i="48"/>
  <c r="J25" s="1"/>
  <c r="K24" i="14"/>
  <c r="K26" s="1"/>
  <c r="M32" i="48"/>
  <c r="M29"/>
  <c r="M22"/>
  <c r="M24"/>
  <c r="M26"/>
  <c r="M25"/>
  <c r="M30"/>
  <c r="M23"/>
  <c r="K23"/>
  <c r="K33" s="1"/>
  <c r="K15"/>
  <c r="P10" i="14"/>
  <c r="O5" i="48"/>
  <c r="O23" s="1"/>
  <c r="O22"/>
  <c r="J63" i="14"/>
  <c r="J46"/>
  <c r="J61" s="1"/>
  <c r="Q16"/>
  <c r="Q27" s="1"/>
  <c r="L46"/>
  <c r="L61" s="1"/>
  <c r="L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G31"/>
  <c r="Q13"/>
  <c r="M10"/>
  <c r="M28" s="1"/>
  <c r="N19" i="14"/>
  <c r="E20"/>
  <c r="E22" s="1"/>
  <c r="D9" i="48"/>
  <c r="D27" s="1"/>
  <c r="C20" i="14"/>
  <c r="B9" i="48"/>
  <c r="E12" i="13"/>
  <c r="F41" i="14" s="1"/>
  <c r="F11"/>
  <c r="R11" s="1"/>
  <c r="E4" i="48"/>
  <c r="G10"/>
  <c r="H19" i="14"/>
  <c r="K11"/>
  <c r="J4" i="48"/>
  <c r="E7"/>
  <c r="E25" s="1"/>
  <c r="F24" i="14"/>
  <c r="F26" s="1"/>
  <c r="F20"/>
  <c r="F22" s="1"/>
  <c r="E9" i="48"/>
  <c r="E27" s="1"/>
  <c r="R18" i="14"/>
  <c r="D18" i="22"/>
  <c r="E50" i="14" s="1"/>
  <c r="E52" s="1"/>
  <c r="P16"/>
  <c r="P27" s="1"/>
  <c r="N52"/>
  <c r="N61" s="1"/>
  <c r="M14" i="22"/>
  <c r="P15" i="48"/>
  <c r="E12" i="17"/>
  <c r="F54" i="14" s="1"/>
  <c r="F56" s="1"/>
  <c r="P33" i="48"/>
  <c r="H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N20" i="15"/>
  <c r="O40" i="14" s="1"/>
  <c r="F20" i="15"/>
  <c r="G40" i="14" s="1"/>
  <c r="N5" i="16"/>
  <c r="E5"/>
  <c r="J5"/>
  <c r="C35" i="13"/>
  <c r="F5" i="16"/>
  <c r="C36" i="13"/>
  <c r="N12"/>
  <c r="O41" i="14" s="1"/>
  <c r="C38" i="13"/>
  <c r="C39"/>
  <c r="C32"/>
  <c r="C34"/>
  <c r="J12"/>
  <c r="K41" i="14" s="1"/>
  <c r="L20" i="15"/>
  <c r="M40" i="14" s="1"/>
  <c r="M46" s="1"/>
  <c r="E5" i="48" l="1"/>
  <c r="E23" s="1"/>
  <c r="F10" i="14"/>
  <c r="H9" i="48"/>
  <c r="I20" i="14"/>
  <c r="I22" s="1"/>
  <c r="I27" s="1"/>
  <c r="E22" i="48"/>
  <c r="Q4"/>
  <c r="G28"/>
  <c r="Q10"/>
  <c r="G9"/>
  <c r="H20" i="14"/>
  <c r="H22" s="1"/>
  <c r="H27" s="1"/>
  <c r="H63" s="1"/>
  <c r="M9" i="48"/>
  <c r="N20" i="14"/>
  <c r="N22" s="1"/>
  <c r="N27" s="1"/>
  <c r="N63" s="1"/>
  <c r="J5" i="48"/>
  <c r="J23" s="1"/>
  <c r="K10" i="14"/>
  <c r="J22" i="48"/>
  <c r="C22" i="14"/>
  <c r="O15" i="48"/>
  <c r="R19" i="14"/>
  <c r="H18" i="22"/>
  <c r="I50" i="14" s="1"/>
  <c r="I52" s="1"/>
  <c r="I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M27"/>
  <c r="M33" s="1"/>
  <c r="M15"/>
  <c r="J8"/>
  <c r="J26" s="1"/>
  <c r="J33" s="1"/>
  <c r="K13" i="14"/>
  <c r="G27" i="48"/>
  <c r="G33" s="1"/>
  <c r="G15"/>
  <c r="Q9"/>
  <c r="F46" i="14"/>
  <c r="F61" s="1"/>
  <c r="K16"/>
  <c r="K27" s="1"/>
  <c r="K63" s="1"/>
  <c r="K46"/>
  <c r="K61" s="1"/>
  <c r="C27"/>
  <c r="B3" i="6" s="1"/>
  <c r="B12" s="1"/>
  <c r="I63" i="14"/>
  <c r="R20"/>
  <c r="R22"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<sst xmlns="http://schemas.openxmlformats.org/spreadsheetml/2006/main" count="2501" uniqueCount="956">
  <si>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</si>
  <si>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</si>
  <si>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</si>
  <si>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</si>
  <si>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</si>
  <si>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</si>
  <si>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</si>
  <si>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</si>
  <si>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</si>
  <si>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</si>
  <si>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</si>
  <si>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</si>
  <si>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</si>
  <si>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</si>
  <si>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</si>
  <si>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</si>
  <si>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</si>
  <si>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</si>
  <si>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</si>
  <si>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</si>
  <si>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</si>
  <si>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</si>
  <si>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</si>
  <si>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</si>
  <si>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</si>
  <si>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</si>
  <si>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</si>
  <si>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</si>
  <si>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</si>
  <si>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</si>
  <si>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</si>
  <si>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</si>
  <si>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</si>
  <si>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</si>
  <si>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</si>
  <si>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</si>
  <si>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</si>
  <si>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</si>
  <si>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</si>
  <si>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</si>
  <si>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</si>
  <si>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</si>
  <si>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</si>
  <si>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</si>
  <si>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</si>
  <si>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</si>
  <si>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</si>
  <si>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</si>
  <si>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</si>
  <si>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</si>
  <si>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</si>
  <si>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</si>
  <si>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</si>
  <si>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</si>
  <si>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</si>
  <si>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</si>
  <si>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</si>
  <si>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</si>
  <si>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</si>
  <si>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</si>
  <si>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</si>
  <si>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</si>
  <si>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</si>
  <si>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</si>
  <si>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</si>
  <si>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</si>
  <si>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</si>
  <si>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</si>
  <si>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</si>
  <si>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</si>
  <si>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</si>
  <si>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</si>
  <si>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</si>
  <si>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</si>
  <si>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</si>
  <si>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</si>
  <si>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</si>
  <si>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</si>
  <si>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</si>
  <si>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</si>
  <si>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</si>
  <si>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</si>
  <si>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</si>
  <si>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</si>
  <si>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</si>
  <si>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</si>
  <si>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</si>
  <si>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</si>
  <si>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</si>
  <si>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</si>
  <si>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</si>
  <si>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</si>
  <si>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</si>
  <si>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</si>
  <si>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</si>
  <si>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</si>
  <si>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</si>
  <si>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</si>
  <si>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</si>
  <si>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</si>
  <si>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</si>
  <si>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</si>
  <si>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</si>
  <si>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</si>
  <si>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</si>
  <si>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</si>
  <si>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</si>
  <si>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</si>
  <si>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</si>
  <si>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</si>
  <si>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</si>
  <si>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</si>
  <si>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</si>
  <si>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</si>
  <si>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</si>
  <si>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</si>
  <si>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</si>
  <si>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</si>
  <si>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</si>
  <si>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</si>
  <si>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</si>
  <si>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</si>
  <si>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</si>
  <si>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</si>
  <si>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</si>
  <si>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</si>
  <si>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</si>
  <si>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</si>
  <si>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</si>
  <si>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</si>
  <si>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</si>
  <si>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</si>
  <si>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</si>
  <si>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</si>
  <si>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</si>
  <si>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</si>
  <si>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</si>
  <si>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</si>
  <si>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</si>
  <si>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</si>
  <si>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</si>
  <si>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</si>
  <si>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</si>
  <si>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</si>
  <si>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</si>
  <si>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</si>
  <si>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</si>
  <si>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</si>
  <si>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</si>
  <si>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</si>
  <si>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</si>
  <si>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</si>
  <si>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</si>
  <si>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</si>
  <si>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</si>
  <si>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</si>
  <si>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</si>
  <si>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</si>
  <si>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</si>
  <si>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</si>
  <si>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</si>
  <si>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</si>
  <si>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</si>
  <si>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</si>
  <si>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</si>
  <si>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</si>
  <si>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</si>
  <si>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</si>
  <si>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</si>
  <si>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</si>
  <si>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</si>
  <si>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</si>
  <si>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</si>
  <si>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</si>
  <si>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</si>
  <si>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</si>
  <si>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</si>
  <si>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</si>
  <si>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</si>
  <si>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</si>
  <si>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</si>
  <si>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</si>
  <si>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</si>
  <si>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</si>
  <si>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</si>
  <si>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</si>
  <si>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</si>
  <si>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</si>
  <si>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</si>
  <si>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</si>
  <si>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</si>
  <si>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</si>
  <si>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</si>
  <si>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</si>
  <si>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</si>
  <si>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</si>
  <si>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</si>
  <si>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</si>
  <si>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</si>
  <si>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</si>
  <si>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</si>
  <si>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</si>
  <si>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</si>
  <si>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</si>
  <si>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</si>
  <si>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</si>
  <si>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</si>
  <si>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</si>
  <si>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</si>
  <si>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</si>
  <si>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</si>
  <si>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</si>
  <si>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</si>
  <si>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</si>
  <si>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</si>
  <si>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</si>
  <si>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</si>
  <si>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</si>
  <si>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</si>
  <si>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</si>
  <si>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</si>
  <si>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</si>
  <si>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</si>
  <si>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</si>
  <si>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</si>
  <si>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</si>
  <si>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</si>
  <si>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</si>
  <si>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</si>
  <si>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</si>
  <si>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</si>
  <si>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</si>
  <si>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</si>
  <si>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</si>
  <si>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</si>
  <si>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</si>
  <si>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</si>
  <si>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</si>
  <si>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</si>
  <si>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</si>
  <si>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</si>
  <si>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</si>
  <si>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</si>
  <si>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</si>
  <si>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</si>
  <si>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</si>
  <si>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</si>
  <si>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</si>
  <si>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</si>
  <si>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</si>
  <si>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</si>
  <si>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</si>
  <si>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</si>
  <si>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</si>
  <si>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</si>
  <si>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</si>
  <si>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</si>
  <si>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</si>
  <si>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</si>
  <si>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</si>
  <si>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</si>
  <si>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</si>
  <si>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</si>
  <si>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</si>
  <si>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</si>
  <si>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</si>
  <si>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</si>
  <si>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</si>
  <si>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</si>
  <si>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</si>
  <si>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</si>
  <si>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</si>
  <si>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</si>
  <si>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</si>
  <si>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</si>
  <si>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</si>
  <si>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</si>
  <si>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</si>
  <si>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</si>
  <si>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</si>
  <si>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</si>
  <si>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</si>
  <si>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</si>
  <si>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</si>
  <si>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</si>
  <si>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</si>
  <si>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</si>
  <si>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</si>
  <si>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</si>
  <si>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</si>
  <si>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</si>
  <si>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</si>
  <si>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</si>
  <si>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</si>
  <si>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</si>
  <si>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</si>
  <si>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</si>
  <si>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</si>
  <si>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</si>
  <si>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</si>
  <si>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</si>
  <si>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</si>
  <si>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</si>
  <si>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</si>
  <si>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</si>
  <si>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</si>
  <si>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</si>
  <si>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</si>
  <si>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</si>
  <si>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</si>
  <si>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</si>
  <si>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</si>
  <si>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</si>
  <si>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</si>
  <si>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</si>
  <si>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</si>
  <si>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</si>
  <si>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</si>
  <si>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</si>
  <si>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</si>
  <si>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</si>
  <si>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</si>
  <si>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</si>
  <si>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</si>
  <si>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</si>
  <si>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</si>
  <si>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</si>
  <si>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</si>
  <si>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</si>
  <si>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</si>
  <si>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</si>
  <si>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</si>
  <si>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</si>
  <si>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</si>
  <si>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</si>
  <si>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</si>
  <si>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</si>
  <si>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</si>
  <si>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</si>
  <si>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</si>
  <si>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</si>
  <si>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</si>
  <si>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</si>
  <si>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</si>
  <si>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</si>
  <si>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</si>
  <si>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</si>
  <si>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</si>
  <si>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</si>
  <si>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</si>
  <si>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</si>
  <si>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</si>
  <si>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</si>
  <si>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</si>
  <si>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</si>
  <si>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</si>
  <si>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</si>
  <si>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</si>
  <si>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</si>
  <si>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</si>
  <si>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</si>
  <si>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</si>
  <si>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</si>
  <si>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</si>
  <si>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</si>
  <si>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</si>
  <si>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</si>
  <si>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</si>
  <si>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</si>
  <si>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</si>
  <si>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</si>
  <si>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</si>
  <si>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</si>
  <si>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</si>
  <si>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</si>
  <si>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</si>
  <si>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</si>
  <si>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</si>
  <si>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</si>
  <si>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</si>
  <si>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</si>
  <si>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</si>
  <si>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</si>
  <si>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</si>
  <si>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</si>
  <si>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</si>
  <si>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</si>
  <si>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</si>
  <si>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</si>
  <si>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</si>
  <si>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</si>
  <si>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</si>
  <si>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</si>
  <si>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</si>
  <si>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</si>
  <si>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</si>
  <si>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</si>
  <si>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</si>
  <si>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</si>
  <si>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</si>
  <si>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</si>
  <si>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</si>
  <si>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</si>
  <si>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</si>
  <si>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</si>
  <si>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</si>
  <si>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</si>
  <si>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</si>
  <si>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</si>
  <si>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</si>
  <si>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</si>
  <si>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</si>
  <si>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</si>
  <si>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</si>
  <si>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</si>
  <si>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</si>
  <si>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</si>
  <si>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</si>
  <si>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</si>
  <si>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</si>
  <si>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</si>
  <si>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</si>
  <si>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</si>
  <si>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</si>
  <si>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</si>
  <si>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</si>
  <si>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</si>
  <si>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</si>
  <si>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</si>
  <si>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</si>
  <si>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</si>
  <si>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</si>
  <si>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</si>
  <si>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</si>
  <si>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</si>
  <si>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</si>
  <si>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</si>
  <si>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</si>
  <si>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</si>
  <si>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</si>
  <si>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</si>
  <si>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</si>
  <si>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</si>
  <si>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</si>
  <si>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</si>
  <si>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</si>
  <si>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</si>
  <si>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</si>
  <si>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</si>
  <si>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</si>
  <si>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</si>
  <si>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</si>
  <si>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</si>
  <si>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</si>
  <si>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</si>
  <si>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</si>
  <si>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</si>
  <si>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</si>
  <si>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</si>
  <si>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</si>
  <si>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</si>
  <si>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</si>
  <si>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</si>
  <si>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</si>
  <si>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</si>
  <si>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</si>
  <si>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</si>
  <si>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</si>
  <si>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</si>
  <si>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</si>
  <si>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</si>
  <si>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</si>
  <si>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</si>
  <si>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</si>
  <si>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</si>
  <si>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</si>
  <si>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</si>
  <si>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</si>
  <si>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</si>
  <si>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</si>
  <si>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</si>
  <si>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</si>
  <si>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</si>
  <si>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</si>
  <si>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</si>
  <si>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</si>
  <si>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</si>
  <si>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</si>
  <si>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</si>
  <si>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</si>
  <si>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</si>
  <si>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</si>
  <si>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</si>
  <si>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</si>
  <si>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</si>
  <si>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</si>
  <si>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</si>
  <si>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</si>
  <si>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</si>
  <si>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</si>
  <si>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</si>
  <si>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</si>
  <si>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</si>
  <si>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</si>
  <si>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</si>
  <si>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</si>
  <si>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</si>
  <si>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</si>
  <si>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</si>
  <si>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</si>
  <si>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</si>
  <si>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</si>
  <si>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</si>
  <si>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</si>
  <si>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</si>
  <si>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</si>
  <si>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</si>
  <si>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</si>
  <si>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</si>
  <si>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</si>
  <si>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</si>
  <si>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</si>
  <si>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</si>
  <si>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</si>
  <si>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</si>
  <si>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</si>
  <si>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</si>
  <si>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</si>
  <si>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</si>
  <si>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</si>
  <si>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</si>
  <si>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</si>
  <si>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</si>
  <si>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</si>
  <si>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</si>
  <si>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</si>
  <si>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</si>
  <si>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</si>
  <si>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</si>
  <si>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</si>
  <si>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</si>
  <si>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</si>
  <si>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</si>
  <si>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</si>
  <si>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</si>
  <si>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</si>
  <si>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</si>
  <si>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</si>
  <si>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</si>
  <si>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</si>
  <si>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</si>
  <si>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</si>
  <si>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</si>
  <si>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</si>
  <si>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</si>
  <si>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</si>
  <si>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</si>
  <si>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</si>
  <si>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</si>
  <si>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</si>
  <si>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</si>
  <si>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</si>
  <si>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</si>
  <si>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</si>
  <si>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</si>
  <si>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</si>
  <si>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</si>
  <si>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</si>
  <si>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</si>
  <si>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</si>
  <si>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</si>
  <si>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</si>
  <si>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</si>
  <si>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</si>
  <si>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</si>
  <si>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</si>
  <si>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</si>
  <si>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</si>
  <si>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</si>
  <si>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</si>
  <si>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</si>
  <si>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</si>
  <si>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</si>
  <si>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</si>
  <si>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</si>
  <si>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</si>
  <si>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</si>
  <si>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</si>
  <si>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</si>
  <si>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</si>
  <si>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</si>
  <si>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</si>
  <si>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</si>
  <si>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</si>
  <si>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</si>
  <si>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</si>
  <si>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</si>
  <si>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</si>
  <si>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</si>
  <si>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</si>
  <si>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</si>
  <si>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</si>
  <si>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</si>
  <si>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</si>
  <si>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</si>
  <si>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</si>
  <si>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</si>
  <si>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</si>
  <si>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</si>
  <si>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</si>
  <si>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</si>
  <si>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</si>
  <si>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</si>
  <si>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</si>
  <si>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</si>
  <si>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</si>
  <si>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</si>
  <si>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</si>
  <si>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</si>
  <si>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</si>
  <si>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</si>
  <si>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</si>
  <si>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</si>
  <si>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</si>
  <si>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</si>
  <si>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</si>
  <si>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</si>
  <si>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</si>
  <si>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</si>
  <si>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</si>
  <si>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</si>
  <si>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</si>
  <si>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</si>
  <si>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</si>
  <si>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</si>
  <si>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</si>
  <si>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</si>
  <si>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</si>
  <si>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</si>
  <si>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</si>
  <si>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</si>
  <si>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</si>
  <si>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</si>
  <si>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</si>
  <si>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</si>
  <si>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</si>
  <si>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</si>
  <si>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</si>
  <si>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</si>
  <si>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</si>
  <si>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</si>
  <si>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</si>
  <si>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</si>
  <si>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</si>
  <si>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</si>
  <si>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</si>
  <si>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</si>
  <si>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</si>
  <si>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</si>
  <si>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</si>
  <si>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</si>
  <si>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</si>
  <si>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</si>
  <si>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</si>
  <si>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</si>
  <si>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</si>
  <si>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</si>
  <si>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</si>
  <si>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</si>
  <si>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</si>
  <si>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</si>
  <si>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</si>
  <si>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</si>
  <si>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</si>
  <si>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</si>
  <si>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</si>
  <si>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</si>
  <si>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</si>
  <si>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</si>
  <si>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</si>
  <si>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</si>
  <si>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</si>
  <si>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</si>
  <si>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</si>
  <si>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</si>
  <si>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</si>
  <si>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</si>
  <si>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</si>
  <si>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</si>
  <si>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</si>
  <si>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</si>
  <si>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</si>
  <si>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</si>
  <si>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</si>
  <si>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</si>
  <si>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</si>
  <si>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</si>
  <si>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</si>
  <si>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</si>
  <si>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</si>
  <si>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</si>
  <si>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</si>
  <si>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</si>
  <si>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</si>
  <si>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</si>
  <si>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</si>
  <si>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</si>
  <si>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</si>
  <si>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</si>
  <si>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</si>
  <si>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</si>
  <si>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</si>
  <si>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</si>
  <si>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</si>
  <si>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</si>
  <si>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</si>
  <si>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</si>
  <si>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</si>
  <si>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</si>
  <si>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</si>
  <si>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</si>
  <si>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</si>
  <si>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</si>
  <si>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</si>
  <si>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</si>
  <si>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</si>
  <si>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</si>
  <si>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</si>
  <si>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</si>
  <si>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</si>
  <si>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</si>
  <si>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</si>
  <si>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</si>
  <si>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</si>
  <si>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</si>
  <si>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</si>
  <si>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</si>
  <si>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</si>
  <si>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</si>
  <si>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</si>
  <si>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</si>
  <si>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</si>
  <si>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</si>
  <si>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</si>
  <si>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</si>
  <si>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</si>
  <si>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</si>
  <si>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</si>
  <si>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</si>
  <si>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</si>
  <si>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</si>
  <si>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</si>
  <si>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</si>
  <si>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</si>
  <si>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</si>
  <si>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</si>
  <si>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</si>
  <si>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</si>
  <si>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</si>
  <si>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</si>
  <si>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</si>
  <si>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</si>
  <si>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</si>
  <si>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</si>
  <si>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</si>
  <si>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</si>
  <si>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</si>
  <si>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</si>
  <si>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</si>
  <si>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</si>
  <si>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</si>
  <si>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</si>
  <si>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</si>
  <si>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</si>
  <si>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</si>
  <si>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</si>
  <si>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</si>
  <si>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</si>
  <si>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</si>
  <si>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</si>
  <si>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</si>
  <si>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</si>
  <si>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</si>
  <si>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</si>
  <si>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</si>
  <si>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</si>
  <si>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</si>
  <si>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</si>
  <si>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</si>
  <si>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</si>
  <si>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</si>
  <si>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</si>
  <si>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</si>
  <si>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</si>
  <si>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</si>
  <si>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</si>
  <si>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</si>
  <si>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</si>
  <si>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</si>
  <si>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</si>
  <si>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</si>
  <si>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</si>
  <si>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</si>
  <si>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</si>
  <si>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</si>
  <si>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</si>
  <si>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</si>
  <si>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</si>
  <si>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</si>
  <si>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</si>
  <si>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</si>
  <si>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</si>
  <si>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</si>
  <si>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</si>
  <si>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</si>
  <si>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</si>
  <si>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</si>
  <si>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</si>
  <si>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</si>
  <si>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</si>
  <si>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</si>
  <si>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</si>
  <si>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</si>
  <si>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</si>
  <si>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</si>
  <si>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</si>
  <si>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</si>
  <si>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</si>
  <si>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</si>
  <si>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</si>
  <si>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</si>
  <si>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</si>
  <si>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</si>
  <si>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</si>
  <si>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</si>
  <si>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</si>
  <si>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</si>
  <si>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</si>
  <si>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</si>
  <si>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</si>
  <si>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</si>
  <si>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</si>
  <si>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</si>
  <si>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</si>
  <si>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</si>
  <si>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</si>
  <si>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</si>
  <si>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</si>
  <si>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</si>
  <si>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</si>
  <si>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</si>
  <si>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</si>
  <si>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</si>
  <si>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</si>
  <si>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</si>
  <si>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</si>
  <si>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</si>
  <si>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</si>
  <si>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</si>
  <si>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</si>
  <si>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</si>
  <si>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</si>
  <si>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</si>
  <si>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</si>
  <si>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</si>
  <si>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</si>
  <si>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</si>
  <si>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</si>
  <si>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</si>
  <si>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</si>
  <si>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</si>
  <si>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</si>
  <si>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</si>
  <si>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</si>
  <si>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</si>
  <si>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</si>
  <si>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</si>
  <si>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</si>
  <si>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</si>
  <si>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</si>
  <si>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</si>
  <si>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</si>
  <si>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</si>
  <si>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</si>
  <si>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</si>
  <si>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</si>
  <si>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</si>
  <si>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</si>
  <si>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</si>
  <si>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</si>
  <si>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</si>
  <si>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</si>
  <si>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</si>
  <si>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</si>
  <si>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</si>
  <si>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</si>
  <si>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</si>
  <si>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</si>
  <si>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</si>
  <si>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</si>
  <si>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</si>
  <si>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</si>
  <si>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</si>
  <si>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</si>
  <si>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</si>
  <si>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</si>
  <si>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</si>
  <si>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</si>
  <si>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</si>
  <si>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</si>
  <si>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</si>
  <si>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</si>
  <si>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</si>
  <si>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</si>
  <si>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</si>
  <si>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</si>
  <si>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</si>
  <si>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</si>
  <si>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</si>
  <si>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</si>
  <si>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</si>
  <si>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</si>
  <si>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</si>
  <si>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</si>
  <si>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</si>
  <si>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</si>
  <si>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</si>
  <si>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</si>
  <si>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</si>
  <si>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</si>
  <si>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</si>
  <si>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</si>
  <si>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</si>
  <si>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</si>
  <si>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</si>
  <si>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</si>
  <si>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</si>
  <si>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</si>
  <si>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</si>
  <si>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</si>
  <si>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73066</t>
  </si>
  <si>
    <t>RIEMST</t>
  </si>
  <si>
    <t>Paarden&amp;pony's 200 - 600 kg</t>
  </si>
  <si>
    <t>Paarden&amp;pony's &lt; 200 kg</t>
  </si>
  <si>
    <t>op basis van VEA (maart 2018) en Inventaris Hernieuwbare Energiebronnen (juni 2018)</t>
  </si>
  <si>
    <t>VEA (juni 2018)</t>
  </si>
  <si>
    <t>The Principals</t>
  </si>
  <si>
    <t>Bilzersteenweg 39/2, 3770 Riemst</t>
  </si>
  <si>
    <t>WKK-0043 The Principals</t>
  </si>
  <si>
    <t>interne verbrandingsmotor</t>
  </si>
  <si>
    <t>WKK interne verbrandinsgmotor (gas)</t>
  </si>
  <si>
    <t>Bilzesteenweg 39/2, 3770 Riemst</t>
  </si>
  <si>
    <t>Inter-Energa</t>
  </si>
  <si>
    <t>Heereveldhoeve bvba</t>
  </si>
  <si>
    <t>Heerestraat 1 , 3770 Millen</t>
  </si>
  <si>
    <t>WKK-0419 Heereveldhoeve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</si>
</sst>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73066</v>
      </c>
      <c r="B6" s="397"/>
      <c r="C6" s="398"/>
    </row>
    <row r="7" spans="1:7" s="395" customFormat="1" ht="15.75" customHeight="1">
      <c r="A7" s="399" t="str">
        <f>txtMunicipality</f>
        <v>RIEMST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15371.335000000001</v>
      </c>
      <c r="D10" s="688">
        <f ca="1">tertiair!C16</f>
        <v>34.071428571428577</v>
      </c>
      <c r="E10" s="688">
        <f ca="1">tertiair!D16</f>
        <v>7351.975232857144</v>
      </c>
      <c r="F10" s="688">
        <f>tertiair!E16</f>
        <v>156.55150080204658</v>
      </c>
      <c r="G10" s="688">
        <f ca="1">tertiair!F16</f>
        <v>3188.0715050962858</v>
      </c>
      <c r="H10" s="688">
        <f>tertiair!G16</f>
        <v>0</v>
      </c>
      <c r="I10" s="688">
        <f>tertiair!H16</f>
        <v>0</v>
      </c>
      <c r="J10" s="688">
        <f>tertiair!I16</f>
        <v>0</v>
      </c>
      <c r="K10" s="688">
        <f>tertiair!J16</f>
        <v>0</v>
      </c>
      <c r="L10" s="688">
        <f>tertiair!K16</f>
        <v>0</v>
      </c>
      <c r="M10" s="688">
        <f ca="1">tertiair!L16</f>
        <v>0</v>
      </c>
      <c r="N10" s="688">
        <f>tertiair!M16</f>
        <v>0</v>
      </c>
      <c r="O10" s="688">
        <f ca="1">tertiair!N16</f>
        <v>2047.874248913836</v>
      </c>
      <c r="P10" s="688">
        <f>tertiair!O16</f>
        <v>1.5633333333333335</v>
      </c>
      <c r="Q10" s="689">
        <f>tertiair!P16</f>
        <v>0</v>
      </c>
      <c r="R10" s="691">
        <f ca="1">SUM(C10:Q10)</f>
        <v>28151.442249574073</v>
      </c>
      <c r="S10" s="68"/>
    </row>
    <row r="11" spans="1:19" s="457" customFormat="1">
      <c r="A11" s="803" t="s">
        <v>225</v>
      </c>
      <c r="B11" s="808"/>
      <c r="C11" s="688">
        <f>huishoudens!B8</f>
        <v>30920.484145295341</v>
      </c>
      <c r="D11" s="688">
        <f>huishoudens!C8</f>
        <v>0</v>
      </c>
      <c r="E11" s="688">
        <f>huishoudens!D8</f>
        <v>37124.439330000001</v>
      </c>
      <c r="F11" s="688">
        <f>huishoudens!E8</f>
        <v>4914.3957693835091</v>
      </c>
      <c r="G11" s="688">
        <f>huishoudens!F8</f>
        <v>64466.51411309679</v>
      </c>
      <c r="H11" s="688">
        <f>huishoudens!G8</f>
        <v>0</v>
      </c>
      <c r="I11" s="688">
        <f>huishoudens!H8</f>
        <v>0</v>
      </c>
      <c r="J11" s="688">
        <f>huishoudens!I8</f>
        <v>0</v>
      </c>
      <c r="K11" s="688">
        <f>huishoudens!J8</f>
        <v>0</v>
      </c>
      <c r="L11" s="688">
        <f>huishoudens!K8</f>
        <v>0</v>
      </c>
      <c r="M11" s="688">
        <f>huishoudens!L8</f>
        <v>0</v>
      </c>
      <c r="N11" s="688">
        <f>huishoudens!M8</f>
        <v>0</v>
      </c>
      <c r="O11" s="688">
        <f>huishoudens!N8</f>
        <v>10279.134480742727</v>
      </c>
      <c r="P11" s="688">
        <f>huishoudens!O8</f>
        <v>84.42</v>
      </c>
      <c r="Q11" s="689">
        <f>huishoudens!P8</f>
        <v>514.79999999999995</v>
      </c>
      <c r="R11" s="691">
        <f>SUM(C11:Q11)</f>
        <v>148304.18783851838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2205.9900000000002</v>
      </c>
      <c r="D13" s="688">
        <f>industrie!C18</f>
        <v>0</v>
      </c>
      <c r="E13" s="688">
        <f>industrie!D18</f>
        <v>6774.6450860000004</v>
      </c>
      <c r="F13" s="688">
        <f>industrie!E18</f>
        <v>28.551127278314798</v>
      </c>
      <c r="G13" s="688">
        <f>industrie!F18</f>
        <v>821.3231293650465</v>
      </c>
      <c r="H13" s="688">
        <f>industrie!G18</f>
        <v>0</v>
      </c>
      <c r="I13" s="688">
        <f>industrie!H18</f>
        <v>0</v>
      </c>
      <c r="J13" s="688">
        <f>industrie!I18</f>
        <v>0</v>
      </c>
      <c r="K13" s="688">
        <f>industrie!J18</f>
        <v>4.9751341667720386</v>
      </c>
      <c r="L13" s="688">
        <f>industrie!K18</f>
        <v>0</v>
      </c>
      <c r="M13" s="688">
        <f>industrie!L18</f>
        <v>0</v>
      </c>
      <c r="N13" s="688">
        <f>industrie!M18</f>
        <v>0</v>
      </c>
      <c r="O13" s="688">
        <f>industrie!N18</f>
        <v>78.480603125661617</v>
      </c>
      <c r="P13" s="688">
        <f>industrie!O18</f>
        <v>0</v>
      </c>
      <c r="Q13" s="689">
        <f>industrie!P18</f>
        <v>0</v>
      </c>
      <c r="R13" s="691">
        <f>SUM(C13:Q13)</f>
        <v>9913.9650799357951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48497.809145295338</v>
      </c>
      <c r="D16" s="721">
        <f t="shared" ref="D16:R16" ca="1" si="0">SUM(D9:D15)</f>
        <v>34.071428571428577</v>
      </c>
      <c r="E16" s="721">
        <f t="shared" ca="1" si="0"/>
        <v>51251.059648857146</v>
      </c>
      <c r="F16" s="721">
        <f t="shared" si="0"/>
        <v>5099.4983974638708</v>
      </c>
      <c r="G16" s="721">
        <f t="shared" ca="1" si="0"/>
        <v>68475.908747558118</v>
      </c>
      <c r="H16" s="721">
        <f t="shared" si="0"/>
        <v>0</v>
      </c>
      <c r="I16" s="721">
        <f t="shared" si="0"/>
        <v>0</v>
      </c>
      <c r="J16" s="721">
        <f t="shared" si="0"/>
        <v>0</v>
      </c>
      <c r="K16" s="721">
        <f t="shared" si="0"/>
        <v>4.9751341667720386</v>
      </c>
      <c r="L16" s="721">
        <f t="shared" si="0"/>
        <v>0</v>
      </c>
      <c r="M16" s="721">
        <f t="shared" ca="1" si="0"/>
        <v>0</v>
      </c>
      <c r="N16" s="721">
        <f t="shared" si="0"/>
        <v>0</v>
      </c>
      <c r="O16" s="721">
        <f t="shared" ca="1" si="0"/>
        <v>12405.489332782225</v>
      </c>
      <c r="P16" s="721">
        <f t="shared" si="0"/>
        <v>85.983333333333334</v>
      </c>
      <c r="Q16" s="721">
        <f t="shared" si="0"/>
        <v>514.79999999999995</v>
      </c>
      <c r="R16" s="721">
        <f t="shared" ca="1" si="0"/>
        <v>186369.59516802826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1820.5127312418306</v>
      </c>
      <c r="I19" s="688">
        <f>transport!H54</f>
        <v>0</v>
      </c>
      <c r="J19" s="688">
        <f>transport!I54</f>
        <v>0</v>
      </c>
      <c r="K19" s="688">
        <f>transport!J54</f>
        <v>0</v>
      </c>
      <c r="L19" s="688">
        <f>transport!K54</f>
        <v>0</v>
      </c>
      <c r="M19" s="688">
        <f>transport!L54</f>
        <v>0</v>
      </c>
      <c r="N19" s="688">
        <f>transport!M54</f>
        <v>79.941717152427628</v>
      </c>
      <c r="O19" s="688">
        <f>transport!N54</f>
        <v>0</v>
      </c>
      <c r="P19" s="688">
        <f>transport!O54</f>
        <v>0</v>
      </c>
      <c r="Q19" s="689">
        <f>transport!P54</f>
        <v>0</v>
      </c>
      <c r="R19" s="691">
        <f>SUM(C19:Q19)</f>
        <v>1900.4544483942582</v>
      </c>
      <c r="S19" s="68"/>
    </row>
    <row r="20" spans="1:19" s="457" customFormat="1">
      <c r="A20" s="803" t="s">
        <v>307</v>
      </c>
      <c r="B20" s="808"/>
      <c r="C20" s="688">
        <f>transport!B14</f>
        <v>2.874603447926988</v>
      </c>
      <c r="D20" s="688">
        <f>transport!C14</f>
        <v>0</v>
      </c>
      <c r="E20" s="688">
        <f>transport!D14</f>
        <v>8.1690417885897517</v>
      </c>
      <c r="F20" s="688">
        <f>transport!E14</f>
        <v>502.23841809680169</v>
      </c>
      <c r="G20" s="688">
        <f>transport!F14</f>
        <v>0</v>
      </c>
      <c r="H20" s="688">
        <f>transport!G14</f>
        <v>104273.13436876578</v>
      </c>
      <c r="I20" s="688">
        <f>transport!H14</f>
        <v>18381.907821908222</v>
      </c>
      <c r="J20" s="688">
        <f>transport!I14</f>
        <v>0</v>
      </c>
      <c r="K20" s="688">
        <f>transport!J14</f>
        <v>0</v>
      </c>
      <c r="L20" s="688">
        <f>transport!K14</f>
        <v>0</v>
      </c>
      <c r="M20" s="688">
        <f>transport!L14</f>
        <v>0</v>
      </c>
      <c r="N20" s="688">
        <f>transport!M14</f>
        <v>5484.1649726663973</v>
      </c>
      <c r="O20" s="688">
        <f>transport!N14</f>
        <v>0</v>
      </c>
      <c r="P20" s="688">
        <f>transport!O14</f>
        <v>0</v>
      </c>
      <c r="Q20" s="689">
        <f>transport!P14</f>
        <v>0</v>
      </c>
      <c r="R20" s="691">
        <f>SUM(C20:Q20)</f>
        <v>128652.48922667372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2.874603447926988</v>
      </c>
      <c r="D22" s="806">
        <f t="shared" ref="D22:R22" si="1">SUM(D18:D21)</f>
        <v>0</v>
      </c>
      <c r="E22" s="806">
        <f t="shared" si="1"/>
        <v>8.1690417885897517</v>
      </c>
      <c r="F22" s="806">
        <f t="shared" si="1"/>
        <v>502.23841809680169</v>
      </c>
      <c r="G22" s="806">
        <f t="shared" si="1"/>
        <v>0</v>
      </c>
      <c r="H22" s="806">
        <f t="shared" si="1"/>
        <v>106093.64710000761</v>
      </c>
      <c r="I22" s="806">
        <f t="shared" si="1"/>
        <v>18381.907821908222</v>
      </c>
      <c r="J22" s="806">
        <f t="shared" si="1"/>
        <v>0</v>
      </c>
      <c r="K22" s="806">
        <f t="shared" si="1"/>
        <v>0</v>
      </c>
      <c r="L22" s="806">
        <f t="shared" si="1"/>
        <v>0</v>
      </c>
      <c r="M22" s="806">
        <f t="shared" si="1"/>
        <v>0</v>
      </c>
      <c r="N22" s="806">
        <f t="shared" si="1"/>
        <v>5564.1066898188246</v>
      </c>
      <c r="O22" s="806">
        <f t="shared" si="1"/>
        <v>0</v>
      </c>
      <c r="P22" s="806">
        <f t="shared" si="1"/>
        <v>0</v>
      </c>
      <c r="Q22" s="806">
        <f t="shared" si="1"/>
        <v>0</v>
      </c>
      <c r="R22" s="806">
        <f t="shared" si="1"/>
        <v>130552.94367506797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2928.319</v>
      </c>
      <c r="D24" s="688">
        <f>+landbouw!C8</f>
        <v>77.142857142857139</v>
      </c>
      <c r="E24" s="688">
        <f>+landbouw!D8</f>
        <v>2938.4941079999999</v>
      </c>
      <c r="F24" s="688">
        <f>+landbouw!E8</f>
        <v>27.586727018090929</v>
      </c>
      <c r="G24" s="688">
        <f>+landbouw!F8</f>
        <v>9556.0767207273711</v>
      </c>
      <c r="H24" s="688">
        <f>+landbouw!G8</f>
        <v>0</v>
      </c>
      <c r="I24" s="688">
        <f>+landbouw!H8</f>
        <v>0</v>
      </c>
      <c r="J24" s="688">
        <f>+landbouw!I8</f>
        <v>0</v>
      </c>
      <c r="K24" s="688">
        <f>+landbouw!J8</f>
        <v>362.24730364088003</v>
      </c>
      <c r="L24" s="688">
        <f>+landbouw!K8</f>
        <v>0</v>
      </c>
      <c r="M24" s="688">
        <f>+landbouw!L8</f>
        <v>0</v>
      </c>
      <c r="N24" s="688">
        <f>+landbouw!M8</f>
        <v>0</v>
      </c>
      <c r="O24" s="688">
        <f>+landbouw!N8</f>
        <v>0</v>
      </c>
      <c r="P24" s="688">
        <f>+landbouw!O8</f>
        <v>0</v>
      </c>
      <c r="Q24" s="689">
        <f>+landbouw!P8</f>
        <v>0</v>
      </c>
      <c r="R24" s="691">
        <f>SUM(C24:Q24)</f>
        <v>15889.866716529197</v>
      </c>
      <c r="S24" s="68"/>
    </row>
    <row r="25" spans="1:19" s="457" customFormat="1" ht="15" thickBot="1">
      <c r="A25" s="825" t="s">
        <v>912</v>
      </c>
      <c r="B25" s="1001"/>
      <c r="C25" s="1002">
        <f>IF(Onbekend_ele_kWh="---",0,Onbekend_ele_kWh)/1000+IF(REST_rest_ele_kWh="---",0,REST_rest_ele_kWh)/1000</f>
        <v>510.28899999999999</v>
      </c>
      <c r="D25" s="1002"/>
      <c r="E25" s="1002">
        <f>IF(onbekend_gas_kWh="---",0,onbekend_gas_kWh)/1000+IF(REST_rest_gas_kWh="---",0,REST_rest_gas_kWh)/1000</f>
        <v>1281.1110000000001</v>
      </c>
      <c r="F25" s="1002"/>
      <c r="G25" s="1002"/>
      <c r="H25" s="1002"/>
      <c r="I25" s="1002"/>
      <c r="J25" s="1002"/>
      <c r="K25" s="1002"/>
      <c r="L25" s="1002"/>
      <c r="M25" s="1002"/>
      <c r="N25" s="1002"/>
      <c r="O25" s="1002"/>
      <c r="P25" s="1002"/>
      <c r="Q25" s="1003"/>
      <c r="R25" s="691">
        <f>SUM(C25:Q25)</f>
        <v>1791.4</v>
      </c>
      <c r="S25" s="68"/>
    </row>
    <row r="26" spans="1:19" s="457" customFormat="1" ht="15.75" thickBot="1">
      <c r="A26" s="694" t="s">
        <v>913</v>
      </c>
      <c r="B26" s="811"/>
      <c r="C26" s="806">
        <f>SUM(C24:C25)</f>
        <v>3438.6080000000002</v>
      </c>
      <c r="D26" s="806">
        <f t="shared" ref="D26:R26" si="2">SUM(D24:D25)</f>
        <v>77.142857142857139</v>
      </c>
      <c r="E26" s="806">
        <f t="shared" si="2"/>
        <v>4219.6051079999997</v>
      </c>
      <c r="F26" s="806">
        <f t="shared" si="2"/>
        <v>27.586727018090929</v>
      </c>
      <c r="G26" s="806">
        <f t="shared" si="2"/>
        <v>9556.0767207273711</v>
      </c>
      <c r="H26" s="806">
        <f t="shared" si="2"/>
        <v>0</v>
      </c>
      <c r="I26" s="806">
        <f t="shared" si="2"/>
        <v>0</v>
      </c>
      <c r="J26" s="806">
        <f t="shared" si="2"/>
        <v>0</v>
      </c>
      <c r="K26" s="806">
        <f t="shared" si="2"/>
        <v>362.24730364088003</v>
      </c>
      <c r="L26" s="806">
        <f t="shared" si="2"/>
        <v>0</v>
      </c>
      <c r="M26" s="806">
        <f t="shared" si="2"/>
        <v>0</v>
      </c>
      <c r="N26" s="806">
        <f t="shared" si="2"/>
        <v>0</v>
      </c>
      <c r="O26" s="806">
        <f t="shared" si="2"/>
        <v>0</v>
      </c>
      <c r="P26" s="806">
        <f t="shared" si="2"/>
        <v>0</v>
      </c>
      <c r="Q26" s="806">
        <f t="shared" si="2"/>
        <v>0</v>
      </c>
      <c r="R26" s="806">
        <f t="shared" si="2"/>
        <v>17681.266716529197</v>
      </c>
      <c r="S26" s="68"/>
    </row>
    <row r="27" spans="1:19" s="457" customFormat="1" ht="17.25" thickTop="1" thickBot="1">
      <c r="A27" s="695" t="s">
        <v>116</v>
      </c>
      <c r="B27" s="798"/>
      <c r="C27" s="696">
        <f ca="1">C22+C16+C26</f>
        <v>51939.291748743264</v>
      </c>
      <c r="D27" s="696">
        <f t="shared" ref="D27:R27" ca="1" si="3">D22+D16+D26</f>
        <v>111.21428571428572</v>
      </c>
      <c r="E27" s="696">
        <f t="shared" ca="1" si="3"/>
        <v>55478.833798645734</v>
      </c>
      <c r="F27" s="696">
        <f t="shared" si="3"/>
        <v>5629.3235425787634</v>
      </c>
      <c r="G27" s="696">
        <f t="shared" ca="1" si="3"/>
        <v>78031.985468285493</v>
      </c>
      <c r="H27" s="696">
        <f t="shared" si="3"/>
        <v>106093.64710000761</v>
      </c>
      <c r="I27" s="696">
        <f t="shared" si="3"/>
        <v>18381.907821908222</v>
      </c>
      <c r="J27" s="696">
        <f t="shared" si="3"/>
        <v>0</v>
      </c>
      <c r="K27" s="696">
        <f t="shared" si="3"/>
        <v>367.22243780765206</v>
      </c>
      <c r="L27" s="696">
        <f t="shared" si="3"/>
        <v>0</v>
      </c>
      <c r="M27" s="696">
        <f t="shared" ca="1" si="3"/>
        <v>0</v>
      </c>
      <c r="N27" s="696">
        <f t="shared" si="3"/>
        <v>5564.1066898188246</v>
      </c>
      <c r="O27" s="696">
        <f t="shared" ca="1" si="3"/>
        <v>12405.489332782225</v>
      </c>
      <c r="P27" s="696">
        <f t="shared" si="3"/>
        <v>85.983333333333334</v>
      </c>
      <c r="Q27" s="696">
        <f t="shared" si="3"/>
        <v>514.79999999999995</v>
      </c>
      <c r="R27" s="696">
        <f t="shared" ca="1" si="3"/>
        <v>334603.80555962544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2979.7201575590916</v>
      </c>
      <c r="D40" s="688">
        <f ca="1">tertiair!C20</f>
        <v>2.4805760917083606</v>
      </c>
      <c r="E40" s="688">
        <f ca="1">tertiair!D20</f>
        <v>1485.0989970371431</v>
      </c>
      <c r="F40" s="688">
        <f>tertiair!E20</f>
        <v>35.537190682064576</v>
      </c>
      <c r="G40" s="688">
        <f ca="1">tertiair!F20</f>
        <v>851.21509186070841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5354.0520132307165</v>
      </c>
    </row>
    <row r="41" spans="1:18">
      <c r="A41" s="816" t="s">
        <v>225</v>
      </c>
      <c r="B41" s="823"/>
      <c r="C41" s="688">
        <f ca="1">huishoudens!B12</f>
        <v>5993.9094352717457</v>
      </c>
      <c r="D41" s="688">
        <f ca="1">huishoudens!C12</f>
        <v>0</v>
      </c>
      <c r="E41" s="688">
        <f>huishoudens!D12</f>
        <v>7499.1367446600007</v>
      </c>
      <c r="F41" s="688">
        <f>huishoudens!E12</f>
        <v>1115.5678396500566</v>
      </c>
      <c r="G41" s="688">
        <f>huishoudens!F12</f>
        <v>17212.559268196845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31821.173287778649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427.62927685681046</v>
      </c>
      <c r="D43" s="688">
        <f ca="1">industrie!C22</f>
        <v>0</v>
      </c>
      <c r="E43" s="688">
        <f>industrie!D22</f>
        <v>1368.4783073720002</v>
      </c>
      <c r="F43" s="688">
        <f>industrie!E22</f>
        <v>6.4811058921774594</v>
      </c>
      <c r="G43" s="688">
        <f>industrie!F22</f>
        <v>219.29327554046742</v>
      </c>
      <c r="H43" s="688">
        <f>industrie!G22</f>
        <v>0</v>
      </c>
      <c r="I43" s="688">
        <f>industrie!H22</f>
        <v>0</v>
      </c>
      <c r="J43" s="688">
        <f>industrie!I22</f>
        <v>0</v>
      </c>
      <c r="K43" s="688">
        <f>industrie!J22</f>
        <v>1.7611974950373015</v>
      </c>
      <c r="L43" s="688">
        <f>industrie!K22</f>
        <v>0</v>
      </c>
      <c r="M43" s="688">
        <f>industrie!L22</f>
        <v>0</v>
      </c>
      <c r="N43" s="688">
        <f>industrie!M22</f>
        <v>0</v>
      </c>
      <c r="O43" s="688">
        <f>industrie!N22</f>
        <v>0</v>
      </c>
      <c r="P43" s="688">
        <f>industrie!O22</f>
        <v>0</v>
      </c>
      <c r="Q43" s="763">
        <f>industrie!P22</f>
        <v>0</v>
      </c>
      <c r="R43" s="843">
        <f t="shared" ca="1" si="4"/>
        <v>2023.6431631564931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9401.2588696876483</v>
      </c>
      <c r="D46" s="721">
        <f t="shared" ref="D46:Q46" ca="1" si="5">SUM(D39:D45)</f>
        <v>2.4805760917083606</v>
      </c>
      <c r="E46" s="721">
        <f t="shared" ca="1" si="5"/>
        <v>10352.714049069145</v>
      </c>
      <c r="F46" s="721">
        <f t="shared" si="5"/>
        <v>1157.5861362242988</v>
      </c>
      <c r="G46" s="721">
        <f t="shared" ca="1" si="5"/>
        <v>18283.067635598021</v>
      </c>
      <c r="H46" s="721">
        <f t="shared" si="5"/>
        <v>0</v>
      </c>
      <c r="I46" s="721">
        <f t="shared" si="5"/>
        <v>0</v>
      </c>
      <c r="J46" s="721">
        <f t="shared" si="5"/>
        <v>0</v>
      </c>
      <c r="K46" s="721">
        <f t="shared" si="5"/>
        <v>1.7611974950373015</v>
      </c>
      <c r="L46" s="721">
        <f t="shared" si="5"/>
        <v>0</v>
      </c>
      <c r="M46" s="721">
        <f t="shared" ca="1" si="5"/>
        <v>0</v>
      </c>
      <c r="N46" s="721">
        <f t="shared" si="5"/>
        <v>0</v>
      </c>
      <c r="O46" s="721">
        <f t="shared" ca="1" si="5"/>
        <v>0</v>
      </c>
      <c r="P46" s="721">
        <f t="shared" si="5"/>
        <v>0</v>
      </c>
      <c r="Q46" s="721">
        <f t="shared" si="5"/>
        <v>0</v>
      </c>
      <c r="R46" s="721">
        <f ca="1">SUM(R39:R45)</f>
        <v>39198.868464165855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486.07689924156881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486.07689924156881</v>
      </c>
    </row>
    <row r="50" spans="1:18">
      <c r="A50" s="819" t="s">
        <v>307</v>
      </c>
      <c r="B50" s="829"/>
      <c r="C50" s="1008">
        <f ca="1">transport!B18</f>
        <v>0.557239422521005</v>
      </c>
      <c r="D50" s="1008">
        <f>transport!C18</f>
        <v>0</v>
      </c>
      <c r="E50" s="1008">
        <f>transport!D18</f>
        <v>1.6501464412951299</v>
      </c>
      <c r="F50" s="1008">
        <f>transport!E18</f>
        <v>114.00812090797399</v>
      </c>
      <c r="G50" s="1008">
        <f>transport!F18</f>
        <v>0</v>
      </c>
      <c r="H50" s="1008">
        <f>transport!G18</f>
        <v>27840.926876460464</v>
      </c>
      <c r="I50" s="1008">
        <f>transport!H18</f>
        <v>4577.095047655147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32534.237430887402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0.557239422521005</v>
      </c>
      <c r="D52" s="721">
        <f t="shared" ref="D52:Q52" ca="1" si="6">SUM(D48:D51)</f>
        <v>0</v>
      </c>
      <c r="E52" s="721">
        <f t="shared" si="6"/>
        <v>1.6501464412951299</v>
      </c>
      <c r="F52" s="721">
        <f t="shared" si="6"/>
        <v>114.00812090797399</v>
      </c>
      <c r="G52" s="721">
        <f t="shared" si="6"/>
        <v>0</v>
      </c>
      <c r="H52" s="721">
        <f t="shared" si="6"/>
        <v>28327.003775702033</v>
      </c>
      <c r="I52" s="721">
        <f t="shared" si="6"/>
        <v>4577.095047655147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33020.314330128975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567.65213639955675</v>
      </c>
      <c r="D54" s="1008">
        <f ca="1">+landbouw!C12</f>
        <v>5.6163986982076075</v>
      </c>
      <c r="E54" s="1008">
        <f>+landbouw!D12</f>
        <v>593.57580981600006</v>
      </c>
      <c r="F54" s="1008">
        <f>+landbouw!E12</f>
        <v>6.2621870331066409</v>
      </c>
      <c r="G54" s="1008">
        <f>+landbouw!F12</f>
        <v>2551.4724844342081</v>
      </c>
      <c r="H54" s="1008">
        <f>+landbouw!G12</f>
        <v>0</v>
      </c>
      <c r="I54" s="1008">
        <f>+landbouw!H12</f>
        <v>0</v>
      </c>
      <c r="J54" s="1008">
        <f>+landbouw!I12</f>
        <v>0</v>
      </c>
      <c r="K54" s="1008">
        <f>+landbouw!J12</f>
        <v>128.23554548887154</v>
      </c>
      <c r="L54" s="1008">
        <f>+landbouw!K12</f>
        <v>0</v>
      </c>
      <c r="M54" s="1008">
        <f>+landbouw!L12</f>
        <v>0</v>
      </c>
      <c r="N54" s="1008">
        <f>+landbouw!M12</f>
        <v>0</v>
      </c>
      <c r="O54" s="1008">
        <f>+landbouw!N12</f>
        <v>0</v>
      </c>
      <c r="P54" s="1008">
        <f>+landbouw!O12</f>
        <v>0</v>
      </c>
      <c r="Q54" s="1009">
        <f>+landbouw!P12</f>
        <v>0</v>
      </c>
      <c r="R54" s="720">
        <f ca="1">SUM(C54:Q54)</f>
        <v>3852.8145618699505</v>
      </c>
    </row>
    <row r="55" spans="1:18" ht="15" thickBot="1">
      <c r="A55" s="819" t="s">
        <v>912</v>
      </c>
      <c r="B55" s="829"/>
      <c r="C55" s="1008">
        <f ca="1">C25*'EF ele_warmte'!B12</f>
        <v>98.919086694855793</v>
      </c>
      <c r="D55" s="1008"/>
      <c r="E55" s="1008">
        <f>E25*EF_CO2_aardgas</f>
        <v>258.78442200000006</v>
      </c>
      <c r="F55" s="1008"/>
      <c r="G55" s="1008"/>
      <c r="H55" s="1008"/>
      <c r="I55" s="1008"/>
      <c r="J55" s="1008"/>
      <c r="K55" s="1008"/>
      <c r="L55" s="1008"/>
      <c r="M55" s="1008"/>
      <c r="N55" s="1008"/>
      <c r="O55" s="1008"/>
      <c r="P55" s="1008"/>
      <c r="Q55" s="1009"/>
      <c r="R55" s="720">
        <f ca="1">SUM(C55:Q55)</f>
        <v>357.70350869485583</v>
      </c>
    </row>
    <row r="56" spans="1:18" ht="15.75" thickBot="1">
      <c r="A56" s="817" t="s">
        <v>913</v>
      </c>
      <c r="B56" s="830"/>
      <c r="C56" s="721">
        <f ca="1">SUM(C54:C55)</f>
        <v>666.57122309441252</v>
      </c>
      <c r="D56" s="721">
        <f t="shared" ref="D56:Q56" ca="1" si="7">SUM(D54:D55)</f>
        <v>5.6163986982076075</v>
      </c>
      <c r="E56" s="721">
        <f t="shared" si="7"/>
        <v>852.36023181600012</v>
      </c>
      <c r="F56" s="721">
        <f t="shared" si="7"/>
        <v>6.2621870331066409</v>
      </c>
      <c r="G56" s="721">
        <f t="shared" si="7"/>
        <v>2551.4724844342081</v>
      </c>
      <c r="H56" s="721">
        <f t="shared" si="7"/>
        <v>0</v>
      </c>
      <c r="I56" s="721">
        <f t="shared" si="7"/>
        <v>0</v>
      </c>
      <c r="J56" s="721">
        <f t="shared" si="7"/>
        <v>0</v>
      </c>
      <c r="K56" s="721">
        <f t="shared" si="7"/>
        <v>128.23554548887154</v>
      </c>
      <c r="L56" s="721">
        <f t="shared" si="7"/>
        <v>0</v>
      </c>
      <c r="M56" s="721">
        <f t="shared" si="7"/>
        <v>0</v>
      </c>
      <c r="N56" s="721">
        <f t="shared" si="7"/>
        <v>0</v>
      </c>
      <c r="O56" s="721">
        <f t="shared" si="7"/>
        <v>0</v>
      </c>
      <c r="P56" s="721">
        <f t="shared" si="7"/>
        <v>0</v>
      </c>
      <c r="Q56" s="722">
        <f t="shared" si="7"/>
        <v>0</v>
      </c>
      <c r="R56" s="723">
        <f ca="1">SUM(R54:R55)</f>
        <v>4210.5180705648063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10068.387332204582</v>
      </c>
      <c r="D61" s="729">
        <f t="shared" ref="D61:Q61" ca="1" si="8">D46+D52+D56</f>
        <v>8.0969747899159685</v>
      </c>
      <c r="E61" s="729">
        <f t="shared" ca="1" si="8"/>
        <v>11206.72442732644</v>
      </c>
      <c r="F61" s="729">
        <f t="shared" si="8"/>
        <v>1277.8564441653793</v>
      </c>
      <c r="G61" s="729">
        <f t="shared" ca="1" si="8"/>
        <v>20834.54012003223</v>
      </c>
      <c r="H61" s="729">
        <f t="shared" si="8"/>
        <v>28327.003775702033</v>
      </c>
      <c r="I61" s="729">
        <f t="shared" si="8"/>
        <v>4577.095047655147</v>
      </c>
      <c r="J61" s="729">
        <f t="shared" si="8"/>
        <v>0</v>
      </c>
      <c r="K61" s="729">
        <f t="shared" si="8"/>
        <v>129.99674298390883</v>
      </c>
      <c r="L61" s="729">
        <f t="shared" si="8"/>
        <v>0</v>
      </c>
      <c r="M61" s="729">
        <f t="shared" ca="1" si="8"/>
        <v>0</v>
      </c>
      <c r="N61" s="729">
        <f t="shared" si="8"/>
        <v>0</v>
      </c>
      <c r="O61" s="729">
        <f t="shared" ca="1" si="8"/>
        <v>0</v>
      </c>
      <c r="P61" s="729">
        <f t="shared" si="8"/>
        <v>0</v>
      </c>
      <c r="Q61" s="729">
        <f t="shared" si="8"/>
        <v>0</v>
      </c>
      <c r="R61" s="729">
        <f ca="1">R46+R52+R56</f>
        <v>76429.700864859638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0.19384914567011205</v>
      </c>
      <c r="D63" s="773">
        <f t="shared" ca="1" si="9"/>
        <v>7.2805168310098617E-2</v>
      </c>
      <c r="E63" s="1010">
        <f t="shared" ca="1" si="9"/>
        <v>0.20200000000000004</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6352.6245548444476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54.000000000000007</v>
      </c>
      <c r="C76" s="739">
        <f>'lokale energieproductie'!B8*IFERROR(SUM(D76:H76)/SUM(D76:O76),0)</f>
        <v>23.849999999999998</v>
      </c>
      <c r="D76" s="1020">
        <f>'lokale energieproductie'!C8</f>
        <v>28.058823529411768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63.529411764705891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5.6678823529411773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6406.6245548444476</v>
      </c>
      <c r="C78" s="744">
        <f>SUM(C72:C77)</f>
        <v>23.849999999999998</v>
      </c>
      <c r="D78" s="745">
        <f t="shared" ref="D78:H78" si="10">SUM(D76:D77)</f>
        <v>28.058823529411768</v>
      </c>
      <c r="E78" s="745">
        <f t="shared" si="10"/>
        <v>0</v>
      </c>
      <c r="F78" s="745">
        <f t="shared" si="10"/>
        <v>0</v>
      </c>
      <c r="G78" s="745">
        <f t="shared" si="10"/>
        <v>0</v>
      </c>
      <c r="H78" s="745">
        <f t="shared" si="10"/>
        <v>0</v>
      </c>
      <c r="I78" s="745">
        <f>SUM(I76:I77)</f>
        <v>0</v>
      </c>
      <c r="J78" s="745">
        <f>SUM(J76:J77)</f>
        <v>63.529411764705891</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77.142857142857153</v>
      </c>
      <c r="C87" s="755">
        <f>'lokale energieproductie'!B17*IFERROR(SUM(D87:H87)/SUM(D87:O87),0)</f>
        <v>34.071428571428569</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90.756302521008422</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77.142857142857153</v>
      </c>
      <c r="C90" s="744">
        <f>SUM(C87:C89)</f>
        <v>34.071428571428569</v>
      </c>
      <c r="D90" s="744">
        <f t="shared" ref="D90:H90" si="12">SUM(D87:D89)</f>
        <v>40.084033613445385</v>
      </c>
      <c r="E90" s="744">
        <f t="shared" si="12"/>
        <v>0</v>
      </c>
      <c r="F90" s="744">
        <f t="shared" si="12"/>
        <v>0</v>
      </c>
      <c r="G90" s="744">
        <f t="shared" si="12"/>
        <v>0</v>
      </c>
      <c r="H90" s="744">
        <f t="shared" si="12"/>
        <v>0</v>
      </c>
      <c r="I90" s="744">
        <f>SUM(I87:I89)</f>
        <v>0</v>
      </c>
      <c r="J90" s="744">
        <f>SUM(J87:J89)</f>
        <v>90.756302521008422</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30920.484145295341</v>
      </c>
      <c r="C4" s="461">
        <f>huishoudens!C8</f>
        <v>0</v>
      </c>
      <c r="D4" s="461">
        <f>huishoudens!D8</f>
        <v>37124.439330000001</v>
      </c>
      <c r="E4" s="461">
        <f>huishoudens!E8</f>
        <v>4914.3957693835091</v>
      </c>
      <c r="F4" s="461">
        <f>huishoudens!F8</f>
        <v>64466.51411309679</v>
      </c>
      <c r="G4" s="461">
        <f>huishoudens!G8</f>
        <v>0</v>
      </c>
      <c r="H4" s="461">
        <f>huishoudens!H8</f>
        <v>0</v>
      </c>
      <c r="I4" s="461">
        <f>huishoudens!I8</f>
        <v>0</v>
      </c>
      <c r="J4" s="461">
        <f>huishoudens!J8</f>
        <v>0</v>
      </c>
      <c r="K4" s="461">
        <f>huishoudens!K8</f>
        <v>0</v>
      </c>
      <c r="L4" s="461">
        <f>huishoudens!L8</f>
        <v>0</v>
      </c>
      <c r="M4" s="461">
        <f>huishoudens!M8</f>
        <v>0</v>
      </c>
      <c r="N4" s="461">
        <f>huishoudens!N8</f>
        <v>10279.134480742727</v>
      </c>
      <c r="O4" s="461">
        <f>huishoudens!O8</f>
        <v>84.42</v>
      </c>
      <c r="P4" s="462">
        <f>huishoudens!P8</f>
        <v>514.79999999999995</v>
      </c>
      <c r="Q4" s="463">
        <f>SUM(B4:P4)</f>
        <v>148304.18783851838</v>
      </c>
    </row>
    <row r="5" spans="1:17">
      <c r="A5" s="460" t="s">
        <v>156</v>
      </c>
      <c r="B5" s="461">
        <f ca="1">tertiair!B16</f>
        <v>14447.276000000002</v>
      </c>
      <c r="C5" s="461">
        <f ca="1">tertiair!C16</f>
        <v>34.071428571428577</v>
      </c>
      <c r="D5" s="461">
        <f ca="1">tertiair!D16</f>
        <v>7351.975232857144</v>
      </c>
      <c r="E5" s="461">
        <f>tertiair!E16</f>
        <v>156.55150080204658</v>
      </c>
      <c r="F5" s="461">
        <f ca="1">tertiair!F16</f>
        <v>3188.0715050962858</v>
      </c>
      <c r="G5" s="461">
        <f>tertiair!G16</f>
        <v>0</v>
      </c>
      <c r="H5" s="461">
        <f>tertiair!H16</f>
        <v>0</v>
      </c>
      <c r="I5" s="461">
        <f>tertiair!I16</f>
        <v>0</v>
      </c>
      <c r="J5" s="461">
        <f>tertiair!J16</f>
        <v>0</v>
      </c>
      <c r="K5" s="461">
        <f>tertiair!K16</f>
        <v>0</v>
      </c>
      <c r="L5" s="461">
        <f ca="1">tertiair!L16</f>
        <v>0</v>
      </c>
      <c r="M5" s="461">
        <f>tertiair!M16</f>
        <v>0</v>
      </c>
      <c r="N5" s="461">
        <f ca="1">tertiair!N16</f>
        <v>2047.874248913836</v>
      </c>
      <c r="O5" s="461">
        <f>tertiair!O16</f>
        <v>1.5633333333333335</v>
      </c>
      <c r="P5" s="462">
        <f>tertiair!P16</f>
        <v>0</v>
      </c>
      <c r="Q5" s="460">
        <f t="shared" ref="Q5:Q14" ca="1" si="0">SUM(B5:P5)</f>
        <v>27227.383249574072</v>
      </c>
    </row>
    <row r="6" spans="1:17">
      <c r="A6" s="460" t="s">
        <v>194</v>
      </c>
      <c r="B6" s="461">
        <f>'openbare verlichting'!B8</f>
        <v>924.05899999999997</v>
      </c>
      <c r="C6" s="461"/>
      <c r="D6" s="461"/>
      <c r="E6" s="461"/>
      <c r="F6" s="461"/>
      <c r="G6" s="461"/>
      <c r="H6" s="461"/>
      <c r="I6" s="461"/>
      <c r="J6" s="461"/>
      <c r="K6" s="461"/>
      <c r="L6" s="461"/>
      <c r="M6" s="461"/>
      <c r="N6" s="461"/>
      <c r="O6" s="461"/>
      <c r="P6" s="462"/>
      <c r="Q6" s="460">
        <f t="shared" si="0"/>
        <v>924.05899999999997</v>
      </c>
    </row>
    <row r="7" spans="1:17">
      <c r="A7" s="460" t="s">
        <v>112</v>
      </c>
      <c r="B7" s="461">
        <f>landbouw!B8</f>
        <v>2928.319</v>
      </c>
      <c r="C7" s="461">
        <f>landbouw!C8</f>
        <v>77.142857142857139</v>
      </c>
      <c r="D7" s="461">
        <f>landbouw!D8</f>
        <v>2938.4941079999999</v>
      </c>
      <c r="E7" s="461">
        <f>landbouw!E8</f>
        <v>27.586727018090929</v>
      </c>
      <c r="F7" s="461">
        <f>landbouw!F8</f>
        <v>9556.0767207273711</v>
      </c>
      <c r="G7" s="461">
        <f>landbouw!G8</f>
        <v>0</v>
      </c>
      <c r="H7" s="461">
        <f>landbouw!H8</f>
        <v>0</v>
      </c>
      <c r="I7" s="461">
        <f>landbouw!I8</f>
        <v>0</v>
      </c>
      <c r="J7" s="461">
        <f>landbouw!J8</f>
        <v>362.24730364088003</v>
      </c>
      <c r="K7" s="461">
        <f>landbouw!K8</f>
        <v>0</v>
      </c>
      <c r="L7" s="461">
        <f>landbouw!L8</f>
        <v>0</v>
      </c>
      <c r="M7" s="461">
        <f>landbouw!M8</f>
        <v>0</v>
      </c>
      <c r="N7" s="461">
        <f>landbouw!N8</f>
        <v>0</v>
      </c>
      <c r="O7" s="461">
        <f>landbouw!O8</f>
        <v>0</v>
      </c>
      <c r="P7" s="462">
        <f>landbouw!P8</f>
        <v>0</v>
      </c>
      <c r="Q7" s="460">
        <f t="shared" si="0"/>
        <v>15889.866716529197</v>
      </c>
    </row>
    <row r="8" spans="1:17">
      <c r="A8" s="460" t="s">
        <v>685</v>
      </c>
      <c r="B8" s="461">
        <f>industrie!B18</f>
        <v>2205.9900000000002</v>
      </c>
      <c r="C8" s="461">
        <f>industrie!C18</f>
        <v>0</v>
      </c>
      <c r="D8" s="461">
        <f>industrie!D18</f>
        <v>6774.6450860000004</v>
      </c>
      <c r="E8" s="461">
        <f>industrie!E18</f>
        <v>28.551127278314798</v>
      </c>
      <c r="F8" s="461">
        <f>industrie!F18</f>
        <v>821.3231293650465</v>
      </c>
      <c r="G8" s="461">
        <f>industrie!G18</f>
        <v>0</v>
      </c>
      <c r="H8" s="461">
        <f>industrie!H18</f>
        <v>0</v>
      </c>
      <c r="I8" s="461">
        <f>industrie!I18</f>
        <v>0</v>
      </c>
      <c r="J8" s="461">
        <f>industrie!J18</f>
        <v>4.9751341667720386</v>
      </c>
      <c r="K8" s="461">
        <f>industrie!K18</f>
        <v>0</v>
      </c>
      <c r="L8" s="461">
        <f>industrie!L18</f>
        <v>0</v>
      </c>
      <c r="M8" s="461">
        <f>industrie!M18</f>
        <v>0</v>
      </c>
      <c r="N8" s="461">
        <f>industrie!N18</f>
        <v>78.480603125661617</v>
      </c>
      <c r="O8" s="461">
        <f>industrie!O18</f>
        <v>0</v>
      </c>
      <c r="P8" s="462">
        <f>industrie!P18</f>
        <v>0</v>
      </c>
      <c r="Q8" s="460">
        <f t="shared" si="0"/>
        <v>9913.9650799357951</v>
      </c>
    </row>
    <row r="9" spans="1:17" s="466" customFormat="1">
      <c r="A9" s="464" t="s">
        <v>579</v>
      </c>
      <c r="B9" s="465">
        <f>transport!B14</f>
        <v>2.874603447926988</v>
      </c>
      <c r="C9" s="465">
        <f>transport!C14</f>
        <v>0</v>
      </c>
      <c r="D9" s="465">
        <f>transport!D14</f>
        <v>8.1690417885897517</v>
      </c>
      <c r="E9" s="465">
        <f>transport!E14</f>
        <v>502.23841809680169</v>
      </c>
      <c r="F9" s="465">
        <f>transport!F14</f>
        <v>0</v>
      </c>
      <c r="G9" s="465">
        <f>transport!G14</f>
        <v>104273.13436876578</v>
      </c>
      <c r="H9" s="465">
        <f>transport!H14</f>
        <v>18381.907821908222</v>
      </c>
      <c r="I9" s="465">
        <f>transport!I14</f>
        <v>0</v>
      </c>
      <c r="J9" s="465">
        <f>transport!J14</f>
        <v>0</v>
      </c>
      <c r="K9" s="465">
        <f>transport!K14</f>
        <v>0</v>
      </c>
      <c r="L9" s="465">
        <f>transport!L14</f>
        <v>0</v>
      </c>
      <c r="M9" s="465">
        <f>transport!M14</f>
        <v>5484.1649726663973</v>
      </c>
      <c r="N9" s="465">
        <f>transport!N14</f>
        <v>0</v>
      </c>
      <c r="O9" s="465">
        <f>transport!O14</f>
        <v>0</v>
      </c>
      <c r="P9" s="465">
        <f>transport!P14</f>
        <v>0</v>
      </c>
      <c r="Q9" s="464">
        <f>SUM(B9:P9)</f>
        <v>128652.48922667372</v>
      </c>
    </row>
    <row r="10" spans="1:17">
      <c r="A10" s="460" t="s">
        <v>569</v>
      </c>
      <c r="B10" s="461">
        <f>transport!B54</f>
        <v>0</v>
      </c>
      <c r="C10" s="461">
        <f>transport!C54</f>
        <v>0</v>
      </c>
      <c r="D10" s="461">
        <f>transport!D54</f>
        <v>0</v>
      </c>
      <c r="E10" s="461">
        <f>transport!E54</f>
        <v>0</v>
      </c>
      <c r="F10" s="461">
        <f>transport!F54</f>
        <v>0</v>
      </c>
      <c r="G10" s="461">
        <f>transport!G54</f>
        <v>1820.5127312418306</v>
      </c>
      <c r="H10" s="461">
        <f>transport!H54</f>
        <v>0</v>
      </c>
      <c r="I10" s="461">
        <f>transport!I54</f>
        <v>0</v>
      </c>
      <c r="J10" s="461">
        <f>transport!J54</f>
        <v>0</v>
      </c>
      <c r="K10" s="461">
        <f>transport!K54</f>
        <v>0</v>
      </c>
      <c r="L10" s="461">
        <f>transport!L54</f>
        <v>0</v>
      </c>
      <c r="M10" s="461">
        <f>transport!M54</f>
        <v>79.941717152427628</v>
      </c>
      <c r="N10" s="461">
        <f>transport!N54</f>
        <v>0</v>
      </c>
      <c r="O10" s="461">
        <f>transport!O54</f>
        <v>0</v>
      </c>
      <c r="P10" s="462">
        <f>transport!P54</f>
        <v>0</v>
      </c>
      <c r="Q10" s="460">
        <f t="shared" si="0"/>
        <v>1900.4544483942582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510.28899999999999</v>
      </c>
      <c r="C14" s="468"/>
      <c r="D14" s="468">
        <f>'SEAP template'!E25</f>
        <v>1281.1110000000001</v>
      </c>
      <c r="E14" s="468"/>
      <c r="F14" s="468"/>
      <c r="G14" s="468"/>
      <c r="H14" s="468"/>
      <c r="I14" s="468"/>
      <c r="J14" s="468"/>
      <c r="K14" s="468"/>
      <c r="L14" s="468"/>
      <c r="M14" s="468"/>
      <c r="N14" s="468"/>
      <c r="O14" s="468"/>
      <c r="P14" s="469"/>
      <c r="Q14" s="460">
        <f t="shared" si="0"/>
        <v>1791.4</v>
      </c>
    </row>
    <row r="15" spans="1:17" s="473" customFormat="1">
      <c r="A15" s="470" t="s">
        <v>573</v>
      </c>
      <c r="B15" s="471">
        <f ca="1">SUM(B4:B14)</f>
        <v>51939.291748743264</v>
      </c>
      <c r="C15" s="471">
        <f t="shared" ref="C15:Q15" ca="1" si="1">SUM(C4:C14)</f>
        <v>111.21428571428572</v>
      </c>
      <c r="D15" s="471">
        <f t="shared" ca="1" si="1"/>
        <v>55478.833798645734</v>
      </c>
      <c r="E15" s="471">
        <f t="shared" si="1"/>
        <v>5629.3235425787634</v>
      </c>
      <c r="F15" s="471">
        <f t="shared" ca="1" si="1"/>
        <v>78031.985468285493</v>
      </c>
      <c r="G15" s="471">
        <f t="shared" si="1"/>
        <v>106093.64710000761</v>
      </c>
      <c r="H15" s="471">
        <f t="shared" si="1"/>
        <v>18381.907821908222</v>
      </c>
      <c r="I15" s="471">
        <f t="shared" si="1"/>
        <v>0</v>
      </c>
      <c r="J15" s="471">
        <f t="shared" si="1"/>
        <v>367.22243780765206</v>
      </c>
      <c r="K15" s="471">
        <f t="shared" si="1"/>
        <v>0</v>
      </c>
      <c r="L15" s="471">
        <f t="shared" ca="1" si="1"/>
        <v>0</v>
      </c>
      <c r="M15" s="471">
        <f t="shared" si="1"/>
        <v>5564.1066898188246</v>
      </c>
      <c r="N15" s="471">
        <f t="shared" ca="1" si="1"/>
        <v>12405.489332782225</v>
      </c>
      <c r="O15" s="471">
        <f t="shared" si="1"/>
        <v>85.983333333333334</v>
      </c>
      <c r="P15" s="471">
        <f t="shared" si="1"/>
        <v>514.79999999999995</v>
      </c>
      <c r="Q15" s="471">
        <f t="shared" ca="1" si="1"/>
        <v>334603.80555962544</v>
      </c>
    </row>
    <row r="17" spans="1:17">
      <c r="A17" s="474" t="s">
        <v>574</v>
      </c>
      <c r="B17" s="778">
        <f ca="1">huishoudens!B10</f>
        <v>0.19384914567011202</v>
      </c>
      <c r="C17" s="778">
        <f ca="1">huishoudens!C10</f>
        <v>7.2805168310098617E-2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5993.9094352717457</v>
      </c>
      <c r="C22" s="461">
        <f t="shared" ref="C22:C32" ca="1" si="3">C4*$C$17</f>
        <v>0</v>
      </c>
      <c r="D22" s="461">
        <f t="shared" ref="D22:D32" si="4">D4*$D$17</f>
        <v>7499.1367446600007</v>
      </c>
      <c r="E22" s="461">
        <f t="shared" ref="E22:E32" si="5">E4*$E$17</f>
        <v>1115.5678396500566</v>
      </c>
      <c r="F22" s="461">
        <f t="shared" ref="F22:F32" si="6">F4*$F$17</f>
        <v>17212.559268196845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31821.173287778649</v>
      </c>
    </row>
    <row r="23" spans="1:17">
      <c r="A23" s="460" t="s">
        <v>156</v>
      </c>
      <c r="B23" s="461">
        <f t="shared" ca="1" si="2"/>
        <v>2800.5921098603135</v>
      </c>
      <c r="C23" s="461">
        <f t="shared" ca="1" si="3"/>
        <v>2.4805760917083606</v>
      </c>
      <c r="D23" s="461">
        <f t="shared" ca="1" si="4"/>
        <v>1485.0989970371431</v>
      </c>
      <c r="E23" s="461">
        <f t="shared" si="5"/>
        <v>35.537190682064576</v>
      </c>
      <c r="F23" s="461">
        <f t="shared" ca="1" si="6"/>
        <v>851.21509186070841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5174.9239655319379</v>
      </c>
    </row>
    <row r="24" spans="1:17">
      <c r="A24" s="460" t="s">
        <v>194</v>
      </c>
      <c r="B24" s="461">
        <f t="shared" ca="1" si="2"/>
        <v>179.12804769877803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179.12804769877803</v>
      </c>
    </row>
    <row r="25" spans="1:17">
      <c r="A25" s="460" t="s">
        <v>112</v>
      </c>
      <c r="B25" s="461">
        <f t="shared" ca="1" si="2"/>
        <v>567.65213639955675</v>
      </c>
      <c r="C25" s="461">
        <f t="shared" ca="1" si="3"/>
        <v>5.6163986982076075</v>
      </c>
      <c r="D25" s="461">
        <f t="shared" si="4"/>
        <v>593.57580981600006</v>
      </c>
      <c r="E25" s="461">
        <f t="shared" si="5"/>
        <v>6.2621870331066409</v>
      </c>
      <c r="F25" s="461">
        <f t="shared" si="6"/>
        <v>2551.4724844342081</v>
      </c>
      <c r="G25" s="461">
        <f t="shared" si="7"/>
        <v>0</v>
      </c>
      <c r="H25" s="461">
        <f t="shared" si="8"/>
        <v>0</v>
      </c>
      <c r="I25" s="461">
        <f t="shared" si="9"/>
        <v>0</v>
      </c>
      <c r="J25" s="461">
        <f t="shared" si="10"/>
        <v>128.23554548887154</v>
      </c>
      <c r="K25" s="461">
        <f t="shared" si="11"/>
        <v>0</v>
      </c>
      <c r="L25" s="461">
        <f t="shared" si="12"/>
        <v>0</v>
      </c>
      <c r="M25" s="461">
        <f t="shared" si="13"/>
        <v>0</v>
      </c>
      <c r="N25" s="461">
        <f t="shared" si="14"/>
        <v>0</v>
      </c>
      <c r="O25" s="461">
        <f t="shared" si="15"/>
        <v>0</v>
      </c>
      <c r="P25" s="462">
        <f t="shared" si="16"/>
        <v>0</v>
      </c>
      <c r="Q25" s="460">
        <f t="shared" ca="1" si="17"/>
        <v>3852.8145618699505</v>
      </c>
    </row>
    <row r="26" spans="1:17">
      <c r="A26" s="460" t="s">
        <v>685</v>
      </c>
      <c r="B26" s="461">
        <f t="shared" ca="1" si="2"/>
        <v>427.62927685681046</v>
      </c>
      <c r="C26" s="461">
        <f t="shared" ca="1" si="3"/>
        <v>0</v>
      </c>
      <c r="D26" s="461">
        <f t="shared" si="4"/>
        <v>1368.4783073720002</v>
      </c>
      <c r="E26" s="461">
        <f t="shared" si="5"/>
        <v>6.4811058921774594</v>
      </c>
      <c r="F26" s="461">
        <f t="shared" si="6"/>
        <v>219.29327554046742</v>
      </c>
      <c r="G26" s="461">
        <f t="shared" si="7"/>
        <v>0</v>
      </c>
      <c r="H26" s="461">
        <f t="shared" si="8"/>
        <v>0</v>
      </c>
      <c r="I26" s="461">
        <f t="shared" si="9"/>
        <v>0</v>
      </c>
      <c r="J26" s="461">
        <f t="shared" si="10"/>
        <v>1.7611974950373015</v>
      </c>
      <c r="K26" s="461">
        <f t="shared" si="11"/>
        <v>0</v>
      </c>
      <c r="L26" s="461">
        <f t="shared" si="12"/>
        <v>0</v>
      </c>
      <c r="M26" s="461">
        <f t="shared" si="13"/>
        <v>0</v>
      </c>
      <c r="N26" s="461">
        <f t="shared" si="14"/>
        <v>0</v>
      </c>
      <c r="O26" s="461">
        <f t="shared" si="15"/>
        <v>0</v>
      </c>
      <c r="P26" s="462">
        <f t="shared" si="16"/>
        <v>0</v>
      </c>
      <c r="Q26" s="460">
        <f t="shared" ca="1" si="17"/>
        <v>2023.6431631564931</v>
      </c>
    </row>
    <row r="27" spans="1:17" s="466" customFormat="1">
      <c r="A27" s="464" t="s">
        <v>579</v>
      </c>
      <c r="B27" s="772">
        <f t="shared" ca="1" si="2"/>
        <v>0.557239422521005</v>
      </c>
      <c r="C27" s="465">
        <f t="shared" ca="1" si="3"/>
        <v>0</v>
      </c>
      <c r="D27" s="465">
        <f t="shared" si="4"/>
        <v>1.6501464412951299</v>
      </c>
      <c r="E27" s="465">
        <f t="shared" si="5"/>
        <v>114.00812090797399</v>
      </c>
      <c r="F27" s="465">
        <f t="shared" si="6"/>
        <v>0</v>
      </c>
      <c r="G27" s="465">
        <f t="shared" si="7"/>
        <v>27840.926876460464</v>
      </c>
      <c r="H27" s="465">
        <f t="shared" si="8"/>
        <v>4577.095047655147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32534.237430887402</v>
      </c>
    </row>
    <row r="28" spans="1:17">
      <c r="A28" s="460" t="s">
        <v>569</v>
      </c>
      <c r="B28" s="461">
        <f t="shared" ca="1" si="2"/>
        <v>0</v>
      </c>
      <c r="C28" s="461">
        <f t="shared" ca="1" si="3"/>
        <v>0</v>
      </c>
      <c r="D28" s="461">
        <f t="shared" si="4"/>
        <v>0</v>
      </c>
      <c r="E28" s="461">
        <f t="shared" si="5"/>
        <v>0</v>
      </c>
      <c r="F28" s="461">
        <f t="shared" si="6"/>
        <v>0</v>
      </c>
      <c r="G28" s="461">
        <f t="shared" si="7"/>
        <v>486.07689924156881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486.07689924156881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98.919086694855793</v>
      </c>
      <c r="C32" s="461">
        <f t="shared" ca="1" si="3"/>
        <v>0</v>
      </c>
      <c r="D32" s="461">
        <f t="shared" si="4"/>
        <v>258.78442200000006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357.70350869485583</v>
      </c>
    </row>
    <row r="33" spans="1:17" s="473" customFormat="1">
      <c r="A33" s="470" t="s">
        <v>573</v>
      </c>
      <c r="B33" s="471">
        <f ca="1">SUM(B22:B32)</f>
        <v>10068.387332204582</v>
      </c>
      <c r="C33" s="471">
        <f t="shared" ref="C33:Q33" ca="1" si="18">SUM(C22:C32)</f>
        <v>8.0969747899159685</v>
      </c>
      <c r="D33" s="471">
        <f t="shared" ca="1" si="18"/>
        <v>11206.724427326442</v>
      </c>
      <c r="E33" s="471">
        <f t="shared" si="18"/>
        <v>1277.8564441653793</v>
      </c>
      <c r="F33" s="471">
        <f t="shared" ca="1" si="18"/>
        <v>20834.54012003223</v>
      </c>
      <c r="G33" s="471">
        <f t="shared" si="18"/>
        <v>28327.003775702033</v>
      </c>
      <c r="H33" s="471">
        <f t="shared" si="18"/>
        <v>4577.095047655147</v>
      </c>
      <c r="I33" s="471">
        <f t="shared" si="18"/>
        <v>0</v>
      </c>
      <c r="J33" s="471">
        <f t="shared" si="18"/>
        <v>129.99674298390883</v>
      </c>
      <c r="K33" s="471">
        <f t="shared" si="18"/>
        <v>0</v>
      </c>
      <c r="L33" s="471">
        <f t="shared" ca="1" si="18"/>
        <v>0</v>
      </c>
      <c r="M33" s="471">
        <f t="shared" si="18"/>
        <v>0</v>
      </c>
      <c r="N33" s="471">
        <f t="shared" ca="1" si="18"/>
        <v>0</v>
      </c>
      <c r="O33" s="471">
        <f t="shared" si="18"/>
        <v>0</v>
      </c>
      <c r="P33" s="471">
        <f t="shared" si="18"/>
        <v>0</v>
      </c>
      <c r="Q33" s="471">
        <f t="shared" ca="1" si="18"/>
        <v>76429.700864859638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6352.6245548444476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54.000000000000007</v>
      </c>
      <c r="C8" s="1037">
        <f>'SEAP template'!C76</f>
        <v>23.849999999999998</v>
      </c>
      <c r="D8" s="1037">
        <f>'SEAP template'!D76</f>
        <v>28.058823529411768</v>
      </c>
      <c r="E8" s="1037">
        <f>'SEAP template'!E76</f>
        <v>0</v>
      </c>
      <c r="F8" s="1037">
        <f>'SEAP template'!F76</f>
        <v>0</v>
      </c>
      <c r="G8" s="1037">
        <f>'SEAP template'!G76</f>
        <v>0</v>
      </c>
      <c r="H8" s="1037">
        <f>'SEAP template'!H76</f>
        <v>0</v>
      </c>
      <c r="I8" s="1037">
        <f>'SEAP template'!I76</f>
        <v>0</v>
      </c>
      <c r="J8" s="1037">
        <f>'SEAP template'!J76</f>
        <v>63.529411764705891</v>
      </c>
      <c r="K8" s="1037">
        <f>'SEAP template'!K76</f>
        <v>0</v>
      </c>
      <c r="L8" s="1037">
        <f>'SEAP template'!L76</f>
        <v>0</v>
      </c>
      <c r="M8" s="1037">
        <f>'SEAP template'!M76</f>
        <v>0</v>
      </c>
      <c r="N8" s="1037">
        <f>'SEAP template'!N76</f>
        <v>0</v>
      </c>
      <c r="O8" s="1037">
        <f>'SEAP template'!O76</f>
        <v>0</v>
      </c>
      <c r="P8" s="1038">
        <f>'SEAP template'!Q76</f>
        <v>5.6678823529411773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6406.6245548444476</v>
      </c>
      <c r="C10" s="1041">
        <f>SUM(C4:C9)</f>
        <v>23.849999999999998</v>
      </c>
      <c r="D10" s="1041">
        <f t="shared" ref="D10:H10" si="0">SUM(D8:D9)</f>
        <v>28.058823529411768</v>
      </c>
      <c r="E10" s="1041">
        <f t="shared" si="0"/>
        <v>0</v>
      </c>
      <c r="F10" s="1041">
        <f t="shared" si="0"/>
        <v>0</v>
      </c>
      <c r="G10" s="1041">
        <f t="shared" si="0"/>
        <v>0</v>
      </c>
      <c r="H10" s="1041">
        <f t="shared" si="0"/>
        <v>0</v>
      </c>
      <c r="I10" s="1041">
        <f>SUM(I8:I9)</f>
        <v>0</v>
      </c>
      <c r="J10" s="1041">
        <f>SUM(J8:J9)</f>
        <v>63.529411764705891</v>
      </c>
      <c r="K10" s="1041">
        <f t="shared" ref="K10:L10" si="1">SUM(K8:K9)</f>
        <v>0</v>
      </c>
      <c r="L10" s="1041">
        <f t="shared" si="1"/>
        <v>0</v>
      </c>
      <c r="M10" s="1041">
        <f>SUM(M8:M9)</f>
        <v>0</v>
      </c>
      <c r="N10" s="1041">
        <f>SUM(N8:N9)</f>
        <v>0</v>
      </c>
      <c r="O10" s="1041">
        <f>SUM(O8:O9)</f>
        <v>0</v>
      </c>
      <c r="P10" s="1041">
        <f>SUM(P8:P9)</f>
        <v>5.6678823529411773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0.19384914567011202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77.142857142857153</v>
      </c>
      <c r="C17" s="1044">
        <f>'SEAP template'!C87</f>
        <v>34.071428571428569</v>
      </c>
      <c r="D17" s="1038">
        <f>'SEAP template'!D87</f>
        <v>40.084033613445385</v>
      </c>
      <c r="E17" s="1038">
        <f>'SEAP template'!E87</f>
        <v>0</v>
      </c>
      <c r="F17" s="1038">
        <f>'SEAP template'!F87</f>
        <v>0</v>
      </c>
      <c r="G17" s="1038">
        <f>'SEAP template'!G87</f>
        <v>0</v>
      </c>
      <c r="H17" s="1038">
        <f>'SEAP template'!H87</f>
        <v>0</v>
      </c>
      <c r="I17" s="1038">
        <f>'SEAP template'!I87</f>
        <v>0</v>
      </c>
      <c r="J17" s="1038">
        <f>'SEAP template'!J87</f>
        <v>90.756302521008422</v>
      </c>
      <c r="K17" s="1038">
        <f>'SEAP template'!K87</f>
        <v>0</v>
      </c>
      <c r="L17" s="1038">
        <f>'SEAP template'!L87</f>
        <v>0</v>
      </c>
      <c r="M17" s="1038">
        <f>'SEAP template'!M87</f>
        <v>0</v>
      </c>
      <c r="N17" s="1038">
        <f>'SEAP template'!N87</f>
        <v>0</v>
      </c>
      <c r="O17" s="1038">
        <f>'SEAP template'!O87</f>
        <v>0</v>
      </c>
      <c r="P17" s="1038">
        <f>'SEAP template'!Q87</f>
        <v>8.0969747899159685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77.142857142857153</v>
      </c>
      <c r="C20" s="1041">
        <f>SUM(C17:C19)</f>
        <v>34.071428571428569</v>
      </c>
      <c r="D20" s="1041">
        <f t="shared" ref="D20:H20" si="2">SUM(D17:D19)</f>
        <v>40.084033613445385</v>
      </c>
      <c r="E20" s="1041">
        <f t="shared" si="2"/>
        <v>0</v>
      </c>
      <c r="F20" s="1041">
        <f t="shared" si="2"/>
        <v>0</v>
      </c>
      <c r="G20" s="1041">
        <f t="shared" si="2"/>
        <v>0</v>
      </c>
      <c r="H20" s="1041">
        <f t="shared" si="2"/>
        <v>0</v>
      </c>
      <c r="I20" s="1041">
        <f>SUM(I17:I19)</f>
        <v>0</v>
      </c>
      <c r="J20" s="1041">
        <f>SUM(J17:J19)</f>
        <v>90.756302521008422</v>
      </c>
      <c r="K20" s="1041">
        <f t="shared" ref="K20:L20" si="3">SUM(K17:K19)</f>
        <v>0</v>
      </c>
      <c r="L20" s="1041">
        <f t="shared" si="3"/>
        <v>0</v>
      </c>
      <c r="M20" s="1041">
        <f>SUM(M17:M19)</f>
        <v>0</v>
      </c>
      <c r="N20" s="1041">
        <f>SUM(N17:N19)</f>
        <v>0</v>
      </c>
      <c r="O20" s="1041">
        <f>SUM(O17:O19)</f>
        <v>0</v>
      </c>
      <c r="P20" s="1041">
        <f>SUM(P17:P19)</f>
        <v>8.0969747899159685</v>
      </c>
    </row>
    <row r="22" spans="1:16">
      <c r="A22" s="474" t="s">
        <v>933</v>
      </c>
      <c r="B22" s="778" t="s">
        <v>927</v>
      </c>
      <c r="C22" s="778">
        <f ca="1">'EF ele_warmte'!B22</f>
        <v>7.2805168310098617E-2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0.19384914567011202</v>
      </c>
      <c r="C17" s="510">
        <f ca="1">'EF ele_warmte'!B22</f>
        <v>7.2805168310098617E-2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0.19384914567011202</v>
      </c>
      <c r="C17" s="510">
        <f ca="1">'EF ele_warmte'!B22</f>
        <v>7.2805168310098617E-2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0.19384914567011202</v>
      </c>
      <c r="C29" s="511">
        <f ca="1">'EF ele_warmte'!B22</f>
        <v>7.2805168310098617E-2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73066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6546</v>
      </c>
      <c r="C9" s="338">
        <v>6818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4274</v>
      </c>
    </row>
    <row r="15" spans="1:6">
      <c r="A15" s="1286" t="s">
        <v>184</v>
      </c>
      <c r="B15" s="335">
        <v>12</v>
      </c>
    </row>
    <row r="16" spans="1:6">
      <c r="A16" s="1286" t="s">
        <v>6</v>
      </c>
      <c r="B16" s="335">
        <v>479</v>
      </c>
    </row>
    <row r="17" spans="1:6">
      <c r="A17" s="1286" t="s">
        <v>7</v>
      </c>
      <c r="B17" s="335">
        <v>856</v>
      </c>
    </row>
    <row r="18" spans="1:6">
      <c r="A18" s="1286" t="s">
        <v>8</v>
      </c>
      <c r="B18" s="335">
        <v>996</v>
      </c>
    </row>
    <row r="19" spans="1:6">
      <c r="A19" s="1286" t="s">
        <v>9</v>
      </c>
      <c r="B19" s="335">
        <v>954</v>
      </c>
    </row>
    <row r="20" spans="1:6">
      <c r="A20" s="1286" t="s">
        <v>10</v>
      </c>
      <c r="B20" s="335">
        <v>577</v>
      </c>
    </row>
    <row r="21" spans="1:6">
      <c r="A21" s="1286" t="s">
        <v>11</v>
      </c>
      <c r="B21" s="335">
        <v>9245</v>
      </c>
    </row>
    <row r="22" spans="1:6">
      <c r="A22" s="1286" t="s">
        <v>12</v>
      </c>
      <c r="B22" s="335">
        <v>19555</v>
      </c>
    </row>
    <row r="23" spans="1:6">
      <c r="A23" s="1286" t="s">
        <v>13</v>
      </c>
      <c r="B23" s="335">
        <v>482</v>
      </c>
    </row>
    <row r="24" spans="1:6">
      <c r="A24" s="1286" t="s">
        <v>14</v>
      </c>
      <c r="B24" s="335">
        <v>32</v>
      </c>
    </row>
    <row r="25" spans="1:6">
      <c r="A25" s="1286" t="s">
        <v>15</v>
      </c>
      <c r="B25" s="335">
        <v>2487</v>
      </c>
    </row>
    <row r="26" spans="1:6">
      <c r="A26" s="1286" t="s">
        <v>16</v>
      </c>
      <c r="B26" s="335">
        <v>39</v>
      </c>
    </row>
    <row r="27" spans="1:6">
      <c r="A27" s="1286" t="s">
        <v>17</v>
      </c>
      <c r="B27" s="335">
        <v>594</v>
      </c>
    </row>
    <row r="28" spans="1:6" s="341" customFormat="1">
      <c r="A28" s="1287" t="s">
        <v>18</v>
      </c>
      <c r="B28" s="1287">
        <v>0</v>
      </c>
    </row>
    <row r="29" spans="1:6">
      <c r="A29" s="1287" t="s">
        <v>942</v>
      </c>
      <c r="B29" s="1287">
        <v>31</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8440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2089</v>
      </c>
      <c r="D39" s="335">
        <v>41157915</v>
      </c>
      <c r="E39" s="335">
        <v>6567</v>
      </c>
      <c r="F39" s="335">
        <v>26704445</v>
      </c>
    </row>
    <row r="40" spans="1:6">
      <c r="A40" s="1286" t="s">
        <v>30</v>
      </c>
      <c r="B40" s="1286" t="s">
        <v>29</v>
      </c>
      <c r="C40" s="335">
        <v>0</v>
      </c>
      <c r="D40" s="335">
        <v>0</v>
      </c>
      <c r="E40" s="335">
        <v>0</v>
      </c>
      <c r="F40" s="335">
        <v>0</v>
      </c>
    </row>
    <row r="41" spans="1:6">
      <c r="A41" s="1286" t="s">
        <v>32</v>
      </c>
      <c r="B41" s="1286" t="s">
        <v>33</v>
      </c>
      <c r="C41" s="335">
        <v>22</v>
      </c>
      <c r="D41" s="335">
        <v>494959</v>
      </c>
      <c r="E41" s="335">
        <v>86</v>
      </c>
      <c r="F41" s="335">
        <v>690647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86349</v>
      </c>
      <c r="E44" s="335">
        <v>8</v>
      </c>
      <c r="F44" s="335">
        <v>48069</v>
      </c>
    </row>
    <row r="45" spans="1:6">
      <c r="A45" s="1286" t="s">
        <v>32</v>
      </c>
      <c r="B45" s="1286" t="s">
        <v>37</v>
      </c>
      <c r="C45" s="335">
        <v>0</v>
      </c>
      <c r="D45" s="335">
        <v>0</v>
      </c>
      <c r="E45" s="335">
        <v>5</v>
      </c>
      <c r="F45" s="335">
        <v>575934</v>
      </c>
    </row>
    <row r="46" spans="1:6">
      <c r="A46" s="1286" t="s">
        <v>32</v>
      </c>
      <c r="B46" s="1286" t="s">
        <v>38</v>
      </c>
      <c r="C46" s="335">
        <v>0</v>
      </c>
      <c r="D46" s="335">
        <v>0</v>
      </c>
      <c r="E46" s="335">
        <v>0</v>
      </c>
      <c r="F46" s="335">
        <v>0</v>
      </c>
    </row>
    <row r="47" spans="1:6">
      <c r="A47" s="1286" t="s">
        <v>32</v>
      </c>
      <c r="B47" s="1286" t="s">
        <v>39</v>
      </c>
      <c r="C47" s="335">
        <v>0</v>
      </c>
      <c r="D47" s="335">
        <v>0</v>
      </c>
      <c r="E47" s="335">
        <v>6</v>
      </c>
      <c r="F47" s="335">
        <v>33398</v>
      </c>
    </row>
    <row r="48" spans="1:6">
      <c r="A48" s="1286" t="s">
        <v>32</v>
      </c>
      <c r="B48" s="1286" t="s">
        <v>29</v>
      </c>
      <c r="C48" s="335">
        <v>5</v>
      </c>
      <c r="D48" s="335">
        <v>6593446</v>
      </c>
      <c r="E48" s="335">
        <v>3</v>
      </c>
      <c r="F48" s="335">
        <v>62605</v>
      </c>
    </row>
    <row r="49" spans="1:6">
      <c r="A49" s="1286" t="s">
        <v>32</v>
      </c>
      <c r="B49" s="1286" t="s">
        <v>40</v>
      </c>
      <c r="C49" s="335">
        <v>0</v>
      </c>
      <c r="D49" s="335">
        <v>0</v>
      </c>
      <c r="E49" s="335">
        <v>0</v>
      </c>
      <c r="F49" s="335">
        <v>0</v>
      </c>
    </row>
    <row r="50" spans="1:6">
      <c r="A50" s="1286" t="s">
        <v>32</v>
      </c>
      <c r="B50" s="1286" t="s">
        <v>41</v>
      </c>
      <c r="C50" s="335">
        <v>4</v>
      </c>
      <c r="D50" s="335">
        <v>335939</v>
      </c>
      <c r="E50" s="335">
        <v>18</v>
      </c>
      <c r="F50" s="335">
        <v>795337</v>
      </c>
    </row>
    <row r="51" spans="1:6">
      <c r="A51" s="1286" t="s">
        <v>42</v>
      </c>
      <c r="B51" s="1286" t="s">
        <v>43</v>
      </c>
      <c r="C51" s="335">
        <v>12</v>
      </c>
      <c r="D51" s="335">
        <v>3257754</v>
      </c>
      <c r="E51" s="335">
        <v>150</v>
      </c>
      <c r="F51" s="335">
        <v>2928319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66</v>
      </c>
      <c r="F54" s="335">
        <v>924059</v>
      </c>
    </row>
    <row r="55" spans="1:6">
      <c r="A55" s="1286" t="s">
        <v>46</v>
      </c>
      <c r="B55" s="1286" t="s">
        <v>29</v>
      </c>
      <c r="C55" s="335">
        <v>0</v>
      </c>
      <c r="D55" s="335">
        <v>0</v>
      </c>
      <c r="E55" s="335">
        <v>0</v>
      </c>
      <c r="F55" s="335">
        <v>0</v>
      </c>
    </row>
    <row r="56" spans="1:6">
      <c r="A56" s="1286" t="s">
        <v>48</v>
      </c>
      <c r="B56" s="1286" t="s">
        <v>29</v>
      </c>
      <c r="C56" s="335">
        <v>28</v>
      </c>
      <c r="D56" s="335">
        <v>1281111</v>
      </c>
      <c r="E56" s="335">
        <v>127</v>
      </c>
      <c r="F56" s="335">
        <v>510289</v>
      </c>
    </row>
    <row r="57" spans="1:6">
      <c r="A57" s="1286" t="s">
        <v>49</v>
      </c>
      <c r="B57" s="1286" t="s">
        <v>50</v>
      </c>
      <c r="C57" s="335">
        <v>13</v>
      </c>
      <c r="D57" s="335">
        <v>401019</v>
      </c>
      <c r="E57" s="335">
        <v>81</v>
      </c>
      <c r="F57" s="335">
        <v>3489735</v>
      </c>
    </row>
    <row r="58" spans="1:6">
      <c r="A58" s="1286" t="s">
        <v>49</v>
      </c>
      <c r="B58" s="1286" t="s">
        <v>51</v>
      </c>
      <c r="C58" s="335">
        <v>14</v>
      </c>
      <c r="D58" s="335">
        <v>1414309</v>
      </c>
      <c r="E58" s="335">
        <v>23</v>
      </c>
      <c r="F58" s="335">
        <v>765011</v>
      </c>
    </row>
    <row r="59" spans="1:6">
      <c r="A59" s="1286" t="s">
        <v>49</v>
      </c>
      <c r="B59" s="1286" t="s">
        <v>52</v>
      </c>
      <c r="C59" s="335">
        <v>56</v>
      </c>
      <c r="D59" s="335">
        <v>3008437</v>
      </c>
      <c r="E59" s="335">
        <v>172</v>
      </c>
      <c r="F59" s="335">
        <v>5416282</v>
      </c>
    </row>
    <row r="60" spans="1:6">
      <c r="A60" s="1286" t="s">
        <v>49</v>
      </c>
      <c r="B60" s="1286" t="s">
        <v>53</v>
      </c>
      <c r="C60" s="335">
        <v>21</v>
      </c>
      <c r="D60" s="335">
        <v>1004464</v>
      </c>
      <c r="E60" s="335">
        <v>79</v>
      </c>
      <c r="F60" s="335">
        <v>1799467</v>
      </c>
    </row>
    <row r="61" spans="1:6">
      <c r="A61" s="1286" t="s">
        <v>49</v>
      </c>
      <c r="B61" s="1286" t="s">
        <v>54</v>
      </c>
      <c r="C61" s="335">
        <v>39</v>
      </c>
      <c r="D61" s="335">
        <v>2089399</v>
      </c>
      <c r="E61" s="335">
        <v>246</v>
      </c>
      <c r="F61" s="335">
        <v>2807375</v>
      </c>
    </row>
    <row r="62" spans="1:6">
      <c r="A62" s="1286" t="s">
        <v>49</v>
      </c>
      <c r="B62" s="1286" t="s">
        <v>55</v>
      </c>
      <c r="C62" s="335">
        <v>7</v>
      </c>
      <c r="D62" s="335">
        <v>308667</v>
      </c>
      <c r="E62" s="335">
        <v>16</v>
      </c>
      <c r="F62" s="335">
        <v>145556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3919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111272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72271549</v>
      </c>
      <c r="E73" s="335">
        <v>75317805.061731681</v>
      </c>
    </row>
    <row r="74" spans="1:6">
      <c r="A74" s="1286" t="s">
        <v>64</v>
      </c>
      <c r="B74" s="1286" t="s">
        <v>772</v>
      </c>
      <c r="C74" s="1297" t="s">
        <v>766</v>
      </c>
      <c r="D74" s="335">
        <v>4205833.9267217452</v>
      </c>
      <c r="E74" s="335">
        <v>4569575.452899077</v>
      </c>
    </row>
    <row r="75" spans="1:6">
      <c r="A75" s="1286" t="s">
        <v>65</v>
      </c>
      <c r="B75" s="1286" t="s">
        <v>771</v>
      </c>
      <c r="C75" s="1297" t="s">
        <v>767</v>
      </c>
      <c r="D75" s="335">
        <v>26498727</v>
      </c>
      <c r="E75" s="335">
        <v>27274813.204206314</v>
      </c>
    </row>
    <row r="76" spans="1:6">
      <c r="A76" s="1286" t="s">
        <v>65</v>
      </c>
      <c r="B76" s="1286" t="s">
        <v>772</v>
      </c>
      <c r="C76" s="1297" t="s">
        <v>768</v>
      </c>
      <c r="D76" s="335">
        <v>27523.9</v>
      </c>
      <c r="E76" s="335">
        <v>49494.824032186531</v>
      </c>
    </row>
    <row r="77" spans="1:6">
      <c r="A77" s="1286" t="s">
        <v>66</v>
      </c>
      <c r="B77" s="1286" t="s">
        <v>771</v>
      </c>
      <c r="C77" s="1297" t="s">
        <v>769</v>
      </c>
      <c r="D77" s="335">
        <v>37855177</v>
      </c>
      <c r="E77" s="335">
        <v>39810467.809073485</v>
      </c>
    </row>
    <row r="78" spans="1:6">
      <c r="A78" s="1282" t="s">
        <v>66</v>
      </c>
      <c r="B78" s="1282" t="s">
        <v>772</v>
      </c>
      <c r="C78" s="1282" t="s">
        <v>770</v>
      </c>
      <c r="D78" s="1282">
        <v>9453367</v>
      </c>
      <c r="E78" s="1282">
        <v>8915523.7200573031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500016.1465565103</v>
      </c>
      <c r="C83" s="335">
        <v>472847.44504193333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4216.0391452953409</v>
      </c>
    </row>
    <row r="92" spans="1:6">
      <c r="A92" s="1282" t="s">
        <v>69</v>
      </c>
      <c r="B92" s="338">
        <v>2136.5854095491063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571</v>
      </c>
    </row>
    <row r="98" spans="1:6">
      <c r="A98" s="1286" t="s">
        <v>72</v>
      </c>
      <c r="B98" s="335">
        <v>1</v>
      </c>
    </row>
    <row r="99" spans="1:6">
      <c r="A99" s="1286" t="s">
        <v>73</v>
      </c>
      <c r="B99" s="335">
        <v>59</v>
      </c>
    </row>
    <row r="100" spans="1:6">
      <c r="A100" s="1286" t="s">
        <v>74</v>
      </c>
      <c r="B100" s="335">
        <v>211</v>
      </c>
    </row>
    <row r="101" spans="1:6">
      <c r="A101" s="1286" t="s">
        <v>75</v>
      </c>
      <c r="B101" s="335">
        <v>38</v>
      </c>
    </row>
    <row r="102" spans="1:6">
      <c r="A102" s="1286" t="s">
        <v>76</v>
      </c>
      <c r="B102" s="335">
        <v>87</v>
      </c>
    </row>
    <row r="103" spans="1:6">
      <c r="A103" s="1286" t="s">
        <v>77</v>
      </c>
      <c r="B103" s="335">
        <v>136</v>
      </c>
    </row>
    <row r="104" spans="1:6">
      <c r="A104" s="1286" t="s">
        <v>78</v>
      </c>
      <c r="B104" s="335">
        <v>4632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49</v>
      </c>
    </row>
    <row r="130" spans="1:6">
      <c r="A130" s="1286" t="s">
        <v>295</v>
      </c>
      <c r="B130" s="335">
        <v>1</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51939.291748743264</v>
      </c>
      <c r="C3" s="44" t="s">
        <v>170</v>
      </c>
      <c r="D3" s="44"/>
      <c r="E3" s="157"/>
      <c r="F3" s="44"/>
      <c r="G3" s="44"/>
      <c r="H3" s="44"/>
      <c r="I3" s="44"/>
      <c r="J3" s="44"/>
      <c r="K3" s="97"/>
    </row>
    <row r="4" spans="1:11">
      <c r="A4" s="365" t="s">
        <v>171</v>
      </c>
      <c r="B4" s="50">
        <f>IF(ISERROR('SEAP template'!B78),0,'SEAP template'!B78)</f>
        <v>6406.6245548444476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5.6678823529411773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0.19384914567011202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8.0969747899159685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111.21428571428572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7.2805168310098617E-2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924.05899999999997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924.05899999999997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0.19384914567011202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179.12804769877803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26704.445</v>
      </c>
      <c r="C5" s="18">
        <f>IF(ISERROR('Eigen informatie GS &amp; warmtenet'!B57),0,'Eigen informatie GS &amp; warmtenet'!B57)</f>
        <v>0</v>
      </c>
      <c r="D5" s="31">
        <f>(SUM(HH_hh_gas_kWh,HH_rest_gas_kWh)/1000)*0.902</f>
        <v>37124.439330000001</v>
      </c>
      <c r="E5" s="18">
        <f>B46*B57</f>
        <v>4914.3957693835091</v>
      </c>
      <c r="F5" s="18">
        <f>B51*B62</f>
        <v>64466.51411309679</v>
      </c>
      <c r="G5" s="19"/>
      <c r="H5" s="18"/>
      <c r="I5" s="18"/>
      <c r="J5" s="18">
        <f>B50*B61+C50*C61</f>
        <v>0</v>
      </c>
      <c r="K5" s="18"/>
      <c r="L5" s="18"/>
      <c r="M5" s="18"/>
      <c r="N5" s="18">
        <f>B48*B59+C48*C59</f>
        <v>10279.134480742727</v>
      </c>
      <c r="O5" s="18">
        <f>B69*B70*B71</f>
        <v>84.42</v>
      </c>
      <c r="P5" s="18">
        <f>B77*B78*B79/1000-B77*B78*B79/1000/B80</f>
        <v>514.79999999999995</v>
      </c>
    </row>
    <row r="6" spans="1:16">
      <c r="A6" s="17" t="s">
        <v>639</v>
      </c>
      <c r="B6" s="780">
        <f>kWh_PV_kleiner_dan_10kW</f>
        <v>4216.0391452953409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30920.484145295341</v>
      </c>
      <c r="C8" s="22">
        <f>C5</f>
        <v>0</v>
      </c>
      <c r="D8" s="22">
        <f>D5</f>
        <v>37124.439330000001</v>
      </c>
      <c r="E8" s="22">
        <f>E5</f>
        <v>4914.3957693835091</v>
      </c>
      <c r="F8" s="22">
        <f>F5</f>
        <v>64466.51411309679</v>
      </c>
      <c r="G8" s="22"/>
      <c r="H8" s="22"/>
      <c r="I8" s="22"/>
      <c r="J8" s="22">
        <f>J5</f>
        <v>0</v>
      </c>
      <c r="K8" s="22"/>
      <c r="L8" s="22">
        <f>L5</f>
        <v>0</v>
      </c>
      <c r="M8" s="22">
        <f>M5</f>
        <v>0</v>
      </c>
      <c r="N8" s="22">
        <f>N5</f>
        <v>10279.134480742727</v>
      </c>
      <c r="O8" s="22">
        <f>O5</f>
        <v>84.42</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0.19384914567011202</v>
      </c>
      <c r="C10" s="26">
        <f ca="1">'EF ele_warmte'!B22</f>
        <v>7.2805168310098617E-2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5993.9094352717457</v>
      </c>
      <c r="C12" s="24">
        <f ca="1">C10*C8</f>
        <v>0</v>
      </c>
      <c r="D12" s="24">
        <f>D8*D10</f>
        <v>7499.1367446600007</v>
      </c>
      <c r="E12" s="24">
        <f>E10*E8</f>
        <v>1115.5678396500566</v>
      </c>
      <c r="F12" s="24">
        <f>F10*F8</f>
        <v>17212.559268196845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571</v>
      </c>
      <c r="C18" s="169" t="s">
        <v>111</v>
      </c>
      <c r="D18" s="231"/>
      <c r="E18" s="16"/>
    </row>
    <row r="19" spans="1:7">
      <c r="A19" s="174" t="s">
        <v>72</v>
      </c>
      <c r="B19" s="38">
        <f>aantalw2001_ander</f>
        <v>1</v>
      </c>
      <c r="C19" s="169" t="s">
        <v>111</v>
      </c>
      <c r="D19" s="232"/>
      <c r="E19" s="16"/>
    </row>
    <row r="20" spans="1:7">
      <c r="A20" s="174" t="s">
        <v>73</v>
      </c>
      <c r="B20" s="38">
        <f>aantalw2001_propaan</f>
        <v>59</v>
      </c>
      <c r="C20" s="170">
        <f>IF(ISERROR(B20/SUM($B$20,$B$21,$B$22)*100),0,B20/SUM($B$20,$B$21,$B$22)*100)</f>
        <v>19.155844155844157</v>
      </c>
      <c r="D20" s="232"/>
      <c r="E20" s="16"/>
    </row>
    <row r="21" spans="1:7">
      <c r="A21" s="174" t="s">
        <v>74</v>
      </c>
      <c r="B21" s="38">
        <f>aantalw2001_elektriciteit</f>
        <v>211</v>
      </c>
      <c r="C21" s="170">
        <f>IF(ISERROR(B21/SUM($B$20,$B$21,$B$22)*100),0,B21/SUM($B$20,$B$21,$B$22)*100)</f>
        <v>68.506493506493499</v>
      </c>
      <c r="D21" s="232"/>
      <c r="E21" s="16"/>
    </row>
    <row r="22" spans="1:7">
      <c r="A22" s="174" t="s">
        <v>75</v>
      </c>
      <c r="B22" s="38">
        <f>aantalw2001_hout</f>
        <v>38</v>
      </c>
      <c r="C22" s="170">
        <f>IF(ISERROR(B22/SUM($B$20,$B$21,$B$22)*100),0,B22/SUM($B$20,$B$21,$B$22)*100)</f>
        <v>12.337662337662337</v>
      </c>
      <c r="D22" s="232"/>
      <c r="E22" s="16"/>
    </row>
    <row r="23" spans="1:7">
      <c r="A23" s="174" t="s">
        <v>76</v>
      </c>
      <c r="B23" s="38">
        <f>aantalw2001_niet_gespec</f>
        <v>87</v>
      </c>
      <c r="C23" s="169" t="s">
        <v>111</v>
      </c>
      <c r="D23" s="231"/>
      <c r="E23" s="16"/>
    </row>
    <row r="24" spans="1:7">
      <c r="A24" s="174" t="s">
        <v>77</v>
      </c>
      <c r="B24" s="38">
        <f>aantalw2001_steenkool</f>
        <v>136</v>
      </c>
      <c r="C24" s="169" t="s">
        <v>111</v>
      </c>
      <c r="D24" s="232"/>
      <c r="E24" s="16"/>
    </row>
    <row r="25" spans="1:7">
      <c r="A25" s="174" t="s">
        <v>78</v>
      </c>
      <c r="B25" s="38">
        <f>aantalw2001_stookolie</f>
        <v>4632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6546</v>
      </c>
      <c r="C28" s="37"/>
      <c r="D28" s="231"/>
    </row>
    <row r="29" spans="1:7" s="16" customFormat="1">
      <c r="A29" s="233" t="s">
        <v>666</v>
      </c>
      <c r="B29" s="38">
        <f>SUM(HH_hh_gas_aantal,HH_rest_gas_aantal)</f>
        <v>2089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2089</v>
      </c>
      <c r="C32" s="170">
        <f>IF(ISERROR(B32/SUM($B$32,$B$34,$B$35,$B$36,$B$38,$B$39)*100),0,B32/SUM($B$32,$B$34,$B$35,$B$36,$B$38,$B$39)*100)</f>
        <v>32.044792146034666</v>
      </c>
      <c r="D32" s="236"/>
      <c r="G32" s="16"/>
    </row>
    <row r="33" spans="1:7">
      <c r="A33" s="174" t="s">
        <v>72</v>
      </c>
      <c r="B33" s="35" t="s">
        <v>111</v>
      </c>
      <c r="C33" s="170"/>
      <c r="D33" s="236"/>
      <c r="G33" s="16"/>
    </row>
    <row r="34" spans="1:7">
      <c r="A34" s="174" t="s">
        <v>73</v>
      </c>
      <c r="B34" s="34">
        <f>IF((($B$28-$B$32-$B$39-$B$77-$B$38)*C20/100)&lt;0,0,($B$28-$B$32-$B$39-$B$77-$B$38)*C20/100)</f>
        <v>223.01233766233764</v>
      </c>
      <c r="C34" s="170">
        <f>IF(ISERROR(B34/SUM($B$32,$B$34,$B$35,$B$36,$B$38,$B$39)*100),0,B34/SUM($B$32,$B$34,$B$35,$B$36,$B$38,$B$39)*100)</f>
        <v>3.4209593137342784</v>
      </c>
      <c r="D34" s="236"/>
      <c r="G34" s="16"/>
    </row>
    <row r="35" spans="1:7">
      <c r="A35" s="174" t="s">
        <v>74</v>
      </c>
      <c r="B35" s="34">
        <f>IF((($B$28-$B$32-$B$39-$B$77-$B$38)*C21/100)&lt;0,0,($B$28-$B$32-$B$39-$B$77-$B$38)*C21/100)</f>
        <v>797.55259740259714</v>
      </c>
      <c r="C35" s="170">
        <f>IF(ISERROR(B35/SUM($B$32,$B$34,$B$35,$B$36,$B$38,$B$39)*100),0,B35/SUM($B$32,$B$34,$B$35,$B$36,$B$38,$B$39)*100)</f>
        <v>12.234278223693774</v>
      </c>
      <c r="D35" s="236"/>
      <c r="G35" s="16"/>
    </row>
    <row r="36" spans="1:7">
      <c r="A36" s="174" t="s">
        <v>75</v>
      </c>
      <c r="B36" s="34">
        <f>IF((($B$28-$B$32-$B$39-$B$77-$B$38)*C22/100)&lt;0,0,($B$28-$B$32-$B$39-$B$77-$B$38)*C22/100)</f>
        <v>143.63506493506492</v>
      </c>
      <c r="C36" s="170">
        <f>IF(ISERROR(B36/SUM($B$32,$B$34,$B$35,$B$36,$B$38,$B$39)*100),0,B36/SUM($B$32,$B$34,$B$35,$B$36,$B$38,$B$39)*100)</f>
        <v>2.2033297274898747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3265.8</v>
      </c>
      <c r="C39" s="170">
        <f>IF(ISERROR(B39/SUM($B$32,$B$34,$B$35,$B$36,$B$38,$B$39)*100),0,B39/SUM($B$32,$B$34,$B$35,$B$36,$B$38,$B$39)*100)</f>
        <v>50.096640589047404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2089</v>
      </c>
      <c r="C44" s="35" t="s">
        <v>111</v>
      </c>
      <c r="D44" s="177"/>
    </row>
    <row r="45" spans="1:7">
      <c r="A45" s="174" t="s">
        <v>72</v>
      </c>
      <c r="B45" s="34" t="str">
        <f t="shared" si="0"/>
        <v>-</v>
      </c>
      <c r="C45" s="35" t="s">
        <v>111</v>
      </c>
      <c r="D45" s="177"/>
    </row>
    <row r="46" spans="1:7">
      <c r="A46" s="174" t="s">
        <v>73</v>
      </c>
      <c r="B46" s="34">
        <f t="shared" si="0"/>
        <v>223.01233766233764</v>
      </c>
      <c r="C46" s="35" t="s">
        <v>111</v>
      </c>
      <c r="D46" s="177"/>
    </row>
    <row r="47" spans="1:7">
      <c r="A47" s="174" t="s">
        <v>74</v>
      </c>
      <c r="B47" s="34">
        <f t="shared" si="0"/>
        <v>797.55259740259714</v>
      </c>
      <c r="C47" s="35" t="s">
        <v>111</v>
      </c>
      <c r="D47" s="177"/>
    </row>
    <row r="48" spans="1:7">
      <c r="A48" s="174" t="s">
        <v>75</v>
      </c>
      <c r="B48" s="34">
        <f t="shared" si="0"/>
        <v>143.63506493506492</v>
      </c>
      <c r="C48" s="34">
        <f>B48*10</f>
        <v>1436.3506493506493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3265.8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14423.426000000001</v>
      </c>
      <c r="C5" s="18">
        <f>IF(ISERROR('Eigen informatie GS &amp; warmtenet'!B58),0,'Eigen informatie GS &amp; warmtenet'!B58)</f>
        <v>0</v>
      </c>
      <c r="D5" s="31">
        <f>SUM(D6:D12)</f>
        <v>7420.1180900000008</v>
      </c>
      <c r="E5" s="18">
        <f>SUM(E6:E12)</f>
        <v>156.55150080204658</v>
      </c>
      <c r="F5" s="18">
        <f>SUM(F6:F12)</f>
        <v>3188.0715050962858</v>
      </c>
      <c r="G5" s="19"/>
      <c r="H5" s="18"/>
      <c r="I5" s="18"/>
      <c r="J5" s="18">
        <f>SUM(J6:J12)</f>
        <v>0</v>
      </c>
      <c r="K5" s="18"/>
      <c r="L5" s="18"/>
      <c r="M5" s="18"/>
      <c r="N5" s="18">
        <f>SUM(N6:N12)</f>
        <v>2047.874248913836</v>
      </c>
      <c r="O5" s="18">
        <f>B38*B39*B40</f>
        <v>1.5633333333333335</v>
      </c>
      <c r="P5" s="18">
        <f>B46*B47*B48/1000-B46*B47*B48/1000/B49</f>
        <v>0</v>
      </c>
      <c r="R5" s="33"/>
    </row>
    <row r="6" spans="1:18">
      <c r="A6" s="33" t="s">
        <v>54</v>
      </c>
      <c r="B6" s="38">
        <f>B26</f>
        <v>2807.375</v>
      </c>
      <c r="C6" s="34"/>
      <c r="D6" s="38">
        <f>IF(ISERROR(TER_kantoor_gas_kWh/1000),0,TER_kantoor_gas_kWh/1000)*0.902</f>
        <v>1884.637898</v>
      </c>
      <c r="E6" s="34">
        <f>$C$26*'E Balans VL '!I12/100/3.6*1000000</f>
        <v>4.6074713621115295</v>
      </c>
      <c r="F6" s="34">
        <f>$C$26*('E Balans VL '!L12+'E Balans VL '!N12)/100/3.6*1000000</f>
        <v>330.92345855327949</v>
      </c>
      <c r="G6" s="35"/>
      <c r="H6" s="34"/>
      <c r="I6" s="34"/>
      <c r="J6" s="34">
        <f>$C$26*('E Balans VL '!D12+'E Balans VL '!E12)/100/3.6*1000000</f>
        <v>0</v>
      </c>
      <c r="K6" s="34"/>
      <c r="L6" s="34"/>
      <c r="M6" s="34"/>
      <c r="N6" s="34">
        <f>$C$26*'E Balans VL '!Y12/100/3.6*1000000</f>
        <v>0.56721682474102908</v>
      </c>
      <c r="O6" s="34"/>
      <c r="P6" s="34"/>
      <c r="R6" s="33"/>
    </row>
    <row r="7" spans="1:18">
      <c r="A7" s="33" t="s">
        <v>53</v>
      </c>
      <c r="B7" s="38">
        <f t="shared" ref="B7:B12" si="0">B27</f>
        <v>1799.4670000000001</v>
      </c>
      <c r="C7" s="34"/>
      <c r="D7" s="38">
        <f>IF(ISERROR(TER_horeca_gas_kWh/1000),0,TER_horeca_gas_kWh/1000)*0.902</f>
        <v>906.0265280000001</v>
      </c>
      <c r="E7" s="34">
        <f>$C$27*'E Balans VL '!I9/100/3.6*1000000</f>
        <v>93.379316078144228</v>
      </c>
      <c r="F7" s="34">
        <f>$C$27*('E Balans VL '!L9+'E Balans VL '!N9)/100/3.6*1000000</f>
        <v>410.63967509972645</v>
      </c>
      <c r="G7" s="35"/>
      <c r="H7" s="34"/>
      <c r="I7" s="34"/>
      <c r="J7" s="34">
        <f>$C$27*('E Balans VL '!D9+'E Balans VL '!E9)/100/3.6*1000000</f>
        <v>0</v>
      </c>
      <c r="K7" s="34"/>
      <c r="L7" s="34"/>
      <c r="M7" s="34"/>
      <c r="N7" s="34">
        <f>$C$27*'E Balans VL '!Y9/100/3.6*1000000</f>
        <v>0.19002289055827029</v>
      </c>
      <c r="O7" s="34"/>
      <c r="P7" s="34"/>
      <c r="R7" s="33"/>
    </row>
    <row r="8" spans="1:18">
      <c r="A8" s="6" t="s">
        <v>52</v>
      </c>
      <c r="B8" s="38">
        <f t="shared" si="0"/>
        <v>5416.2820000000002</v>
      </c>
      <c r="C8" s="34"/>
      <c r="D8" s="38">
        <f>IF(ISERROR(TER_handel_gas_kWh/1000),0,TER_handel_gas_kWh/1000)*0.902</f>
        <v>2713.6101739999999</v>
      </c>
      <c r="E8" s="34">
        <f>$C$28*'E Balans VL '!I13/100/3.6*1000000</f>
        <v>29.167344142596058</v>
      </c>
      <c r="F8" s="34">
        <f>$C$28*('E Balans VL '!L13+'E Balans VL '!N13)/100/3.6*1000000</f>
        <v>1104.5408572041279</v>
      </c>
      <c r="G8" s="35"/>
      <c r="H8" s="34"/>
      <c r="I8" s="34"/>
      <c r="J8" s="34">
        <f>$C$28*('E Balans VL '!D13+'E Balans VL '!E13)/100/3.6*1000000</f>
        <v>0</v>
      </c>
      <c r="K8" s="34"/>
      <c r="L8" s="34"/>
      <c r="M8" s="34"/>
      <c r="N8" s="34">
        <f>$C$28*'E Balans VL '!Y13/100/3.6*1000000</f>
        <v>26.932310129423815</v>
      </c>
      <c r="O8" s="34"/>
      <c r="P8" s="34"/>
      <c r="R8" s="33"/>
    </row>
    <row r="9" spans="1:18">
      <c r="A9" s="33" t="s">
        <v>51</v>
      </c>
      <c r="B9" s="38">
        <f t="shared" si="0"/>
        <v>765.01099999999997</v>
      </c>
      <c r="C9" s="34"/>
      <c r="D9" s="38">
        <f>IF(ISERROR(TER_gezond_gas_kWh/1000),0,TER_gezond_gas_kWh/1000)*0.902</f>
        <v>1275.7067179999999</v>
      </c>
      <c r="E9" s="34">
        <f>$C$29*'E Balans VL '!I10/100/3.6*1000000</f>
        <v>0.75813460066908733</v>
      </c>
      <c r="F9" s="34">
        <f>$C$29*('E Balans VL '!L10+'E Balans VL '!N10)/100/3.6*1000000</f>
        <v>265.4367664038819</v>
      </c>
      <c r="G9" s="35"/>
      <c r="H9" s="34"/>
      <c r="I9" s="34"/>
      <c r="J9" s="34">
        <f>$C$29*('E Balans VL '!D10+'E Balans VL '!E10)/100/3.6*1000000</f>
        <v>0</v>
      </c>
      <c r="K9" s="34"/>
      <c r="L9" s="34"/>
      <c r="M9" s="34"/>
      <c r="N9" s="34">
        <f>$C$29*'E Balans VL '!Y10/100/3.6*1000000</f>
        <v>6.5920335144148003</v>
      </c>
      <c r="O9" s="34"/>
      <c r="P9" s="34"/>
      <c r="R9" s="33"/>
    </row>
    <row r="10" spans="1:18">
      <c r="A10" s="33" t="s">
        <v>50</v>
      </c>
      <c r="B10" s="38">
        <f t="shared" si="0"/>
        <v>3489.7350000000001</v>
      </c>
      <c r="C10" s="34"/>
      <c r="D10" s="38">
        <f>IF(ISERROR(TER_ander_gas_kWh/1000),0,TER_ander_gas_kWh/1000)*0.902</f>
        <v>361.71913799999999</v>
      </c>
      <c r="E10" s="34">
        <f>$C$30*'E Balans VL '!I14/100/3.6*1000000</f>
        <v>28.549520041743076</v>
      </c>
      <c r="F10" s="34">
        <f>$C$30*('E Balans VL '!L14+'E Balans VL '!N14)/100/3.6*1000000</f>
        <v>1020.2564410039837</v>
      </c>
      <c r="G10" s="35"/>
      <c r="H10" s="34"/>
      <c r="I10" s="34"/>
      <c r="J10" s="34">
        <f>$C$30*('E Balans VL '!D14+'E Balans VL '!E14)/100/3.6*1000000</f>
        <v>0</v>
      </c>
      <c r="K10" s="34"/>
      <c r="L10" s="34"/>
      <c r="M10" s="34"/>
      <c r="N10" s="34">
        <f>$C$30*'E Balans VL '!Y14/100/3.6*1000000</f>
        <v>2013.1192030786831</v>
      </c>
      <c r="O10" s="34"/>
      <c r="P10" s="34"/>
      <c r="R10" s="33"/>
    </row>
    <row r="11" spans="1:18">
      <c r="A11" s="33" t="s">
        <v>55</v>
      </c>
      <c r="B11" s="38">
        <f t="shared" si="0"/>
        <v>145.55600000000001</v>
      </c>
      <c r="C11" s="34"/>
      <c r="D11" s="38">
        <f>IF(ISERROR(TER_onderwijs_gas_kWh/1000),0,TER_onderwijs_gas_kWh/1000)*0.902</f>
        <v>278.41763399999996</v>
      </c>
      <c r="E11" s="34">
        <f>$C$31*'E Balans VL '!I11/100/3.6*1000000</f>
        <v>8.9714576782609065E-2</v>
      </c>
      <c r="F11" s="34">
        <f>$C$31*('E Balans VL '!L11+'E Balans VL '!N11)/100/3.6*1000000</f>
        <v>56.274306831286786</v>
      </c>
      <c r="G11" s="35"/>
      <c r="H11" s="34"/>
      <c r="I11" s="34"/>
      <c r="J11" s="34">
        <f>$C$31*('E Balans VL '!D11+'E Balans VL '!E11)/100/3.6*1000000</f>
        <v>0</v>
      </c>
      <c r="K11" s="34"/>
      <c r="L11" s="34"/>
      <c r="M11" s="34"/>
      <c r="N11" s="34">
        <f>$C$31*'E Balans VL '!Y11/100/3.6*1000000</f>
        <v>0.47346247601519392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23.85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14447.276000000002</v>
      </c>
      <c r="C16" s="22">
        <f t="shared" ca="1" si="1"/>
        <v>34.071428571428577</v>
      </c>
      <c r="D16" s="22">
        <f t="shared" ca="1" si="1"/>
        <v>7351.975232857144</v>
      </c>
      <c r="E16" s="22">
        <f t="shared" si="1"/>
        <v>156.55150080204658</v>
      </c>
      <c r="F16" s="22">
        <f t="shared" ca="1" si="1"/>
        <v>3188.0715050962858</v>
      </c>
      <c r="G16" s="22">
        <f t="shared" si="1"/>
        <v>0</v>
      </c>
      <c r="H16" s="22">
        <f t="shared" si="1"/>
        <v>0</v>
      </c>
      <c r="I16" s="22">
        <f t="shared" si="1"/>
        <v>0</v>
      </c>
      <c r="J16" s="22">
        <f t="shared" si="1"/>
        <v>0</v>
      </c>
      <c r="K16" s="22">
        <f t="shared" si="1"/>
        <v>0</v>
      </c>
      <c r="L16" s="22">
        <f t="shared" ca="1" si="1"/>
        <v>0</v>
      </c>
      <c r="M16" s="22">
        <f t="shared" si="1"/>
        <v>0</v>
      </c>
      <c r="N16" s="22">
        <f t="shared" ca="1" si="1"/>
        <v>2047.874248913836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0.19384914567011202</v>
      </c>
      <c r="C18" s="26">
        <f ca="1">'EF ele_warmte'!B22</f>
        <v>7.2805168310098617E-2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2800.5921098603135</v>
      </c>
      <c r="C20" s="24">
        <f t="shared" ref="C20:P20" ca="1" si="2">C16*C18</f>
        <v>2.4805760917083606</v>
      </c>
      <c r="D20" s="24">
        <f t="shared" ca="1" si="2"/>
        <v>1485.0989970371431</v>
      </c>
      <c r="E20" s="24">
        <f t="shared" si="2"/>
        <v>35.537190682064576</v>
      </c>
      <c r="F20" s="24">
        <f t="shared" ca="1" si="2"/>
        <v>851.21509186070841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2807.375</v>
      </c>
      <c r="C26" s="40">
        <f>IF(ISERROR(B26*3.6/1000000/'E Balans VL '!Z12*100),0,B26*3.6/1000000/'E Balans VL '!Z12*100)</f>
        <v>5.9654705494236196E-2</v>
      </c>
      <c r="D26" s="240" t="s">
        <v>707</v>
      </c>
      <c r="F26" s="6"/>
    </row>
    <row r="27" spans="1:18">
      <c r="A27" s="234" t="s">
        <v>53</v>
      </c>
      <c r="B27" s="34">
        <f>IF(ISERROR(TER_horeca_ele_kWh/1000),0,TER_horeca_ele_kWh/1000)</f>
        <v>1799.4670000000001</v>
      </c>
      <c r="C27" s="40">
        <f>IF(ISERROR(B27*3.6/1000000/'E Balans VL '!Z9*100),0,B27*3.6/1000000/'E Balans VL '!Z9*100)</f>
        <v>0.14163196811796544</v>
      </c>
      <c r="D27" s="240" t="s">
        <v>707</v>
      </c>
      <c r="F27" s="6"/>
    </row>
    <row r="28" spans="1:18">
      <c r="A28" s="174" t="s">
        <v>52</v>
      </c>
      <c r="B28" s="34">
        <f>IF(ISERROR(TER_handel_ele_kWh/1000),0,TER_handel_ele_kWh/1000)</f>
        <v>5416.2820000000002</v>
      </c>
      <c r="C28" s="40">
        <f>IF(ISERROR(B28*3.6/1000000/'E Balans VL '!Z13*100),0,B28*3.6/1000000/'E Balans VL '!Z13*100)</f>
        <v>0.15171295749968738</v>
      </c>
      <c r="D28" s="240" t="s">
        <v>707</v>
      </c>
      <c r="F28" s="6"/>
    </row>
    <row r="29" spans="1:18">
      <c r="A29" s="234" t="s">
        <v>51</v>
      </c>
      <c r="B29" s="34">
        <f>IF(ISERROR(TER_gezond_ele_kWh/1000),0,TER_gezond_ele_kWh/1000)</f>
        <v>765.01099999999997</v>
      </c>
      <c r="C29" s="40">
        <f>IF(ISERROR(B29*3.6/1000000/'E Balans VL '!Z10*100),0,B29*3.6/1000000/'E Balans VL '!Z10*100)</f>
        <v>9.7868039900972453E-2</v>
      </c>
      <c r="D29" s="240" t="s">
        <v>707</v>
      </c>
      <c r="F29" s="6"/>
    </row>
    <row r="30" spans="1:18">
      <c r="A30" s="234" t="s">
        <v>50</v>
      </c>
      <c r="B30" s="34">
        <f>IF(ISERROR(TER_ander_ele_kWh/1000),0,TER_ander_ele_kWh/1000)</f>
        <v>3489.7350000000001</v>
      </c>
      <c r="C30" s="40">
        <f>IF(ISERROR(B30*3.6/1000000/'E Balans VL '!Z14*100),0,B30*3.6/1000000/'E Balans VL '!Z14*100)</f>
        <v>0.26100277297921659</v>
      </c>
      <c r="D30" s="240" t="s">
        <v>707</v>
      </c>
      <c r="F30" s="6"/>
    </row>
    <row r="31" spans="1:18">
      <c r="A31" s="234" t="s">
        <v>55</v>
      </c>
      <c r="B31" s="34">
        <f>IF(ISERROR(TER_onderwijs_ele_kWh/1000),0,TER_onderwijs_ele_kWh/1000)</f>
        <v>145.55600000000001</v>
      </c>
      <c r="C31" s="40">
        <f>IF(ISERROR(B31*3.6/1000000/'E Balans VL '!Z11*100),0,B31*3.6/1000000/'E Balans VL '!Z11*100)</f>
        <v>3.0734337943212849E-2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2205.9900000000002</v>
      </c>
      <c r="C5" s="18">
        <f>IF(ISERROR('Eigen informatie GS &amp; warmtenet'!B59),0,'Eigen informatie GS &amp; warmtenet'!B59)</f>
        <v>0</v>
      </c>
      <c r="D5" s="31">
        <f>SUM(D6:D15)</f>
        <v>6774.6450860000004</v>
      </c>
      <c r="E5" s="18">
        <f>SUM(E6:E15)</f>
        <v>28.551127278314798</v>
      </c>
      <c r="F5" s="18">
        <f>SUM(F6:F15)</f>
        <v>821.3231293650465</v>
      </c>
      <c r="G5" s="19"/>
      <c r="H5" s="18"/>
      <c r="I5" s="18"/>
      <c r="J5" s="18">
        <f>SUM(J6:J15)</f>
        <v>4.9751341667720386</v>
      </c>
      <c r="K5" s="18"/>
      <c r="L5" s="18"/>
      <c r="M5" s="18"/>
      <c r="N5" s="18">
        <f>SUM(N6:N15)</f>
        <v>78.480603125661617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48.069000000000003</v>
      </c>
      <c r="C8" s="34"/>
      <c r="D8" s="38">
        <f>IF( ISERROR(IND_metaal_Gas_kWH/1000),0,IND_metaal_Gas_kWH/1000)*0.902</f>
        <v>77.886797999999999</v>
      </c>
      <c r="E8" s="34">
        <f>C30*'E Balans VL '!I18/100/3.6*1000000</f>
        <v>0.43775572037233484</v>
      </c>
      <c r="F8" s="34">
        <f>C30*'E Balans VL '!L18/100/3.6*1000000+C30*'E Balans VL '!N18/100/3.6*1000000</f>
        <v>6.339936057744203</v>
      </c>
      <c r="G8" s="35"/>
      <c r="H8" s="34"/>
      <c r="I8" s="34"/>
      <c r="J8" s="41">
        <f>C30*'E Balans VL '!D18/100/3.6*1000000+C30*'E Balans VL '!E18/100/3.6*1000000</f>
        <v>0.78826180632519516</v>
      </c>
      <c r="K8" s="34"/>
      <c r="L8" s="34"/>
      <c r="M8" s="34"/>
      <c r="N8" s="34">
        <f>C30*'E Balans VL '!Y18/100/3.6*1000000</f>
        <v>0.16519405763873332</v>
      </c>
      <c r="O8" s="34"/>
      <c r="P8" s="34"/>
      <c r="R8" s="33"/>
    </row>
    <row r="9" spans="1:18">
      <c r="A9" s="6" t="s">
        <v>33</v>
      </c>
      <c r="B9" s="38">
        <f t="shared" si="0"/>
        <v>690.64700000000005</v>
      </c>
      <c r="C9" s="34"/>
      <c r="D9" s="38">
        <f>IF( ISERROR(IND_andere_gas_kWh/1000),0,IND_andere_gas_kWh/1000)*0.902</f>
        <v>446.45301800000004</v>
      </c>
      <c r="E9" s="34">
        <f>C31*'E Balans VL '!I19/100/3.6*1000000</f>
        <v>3.9920428686574545</v>
      </c>
      <c r="F9" s="34">
        <f>C31*'E Balans VL '!L19/100/3.6*1000000+C31*'E Balans VL '!N19/100/3.6*1000000</f>
        <v>549.44292111857703</v>
      </c>
      <c r="G9" s="35"/>
      <c r="H9" s="34"/>
      <c r="I9" s="34"/>
      <c r="J9" s="41">
        <f>C31*'E Balans VL '!D19/100/3.6*1000000+C31*'E Balans VL '!E19/100/3.6*1000000</f>
        <v>6.5327534710409724E-2</v>
      </c>
      <c r="K9" s="34"/>
      <c r="L9" s="34"/>
      <c r="M9" s="34"/>
      <c r="N9" s="34">
        <f>C31*'E Balans VL '!Y19/100/3.6*1000000</f>
        <v>52.326962023252634</v>
      </c>
      <c r="O9" s="34"/>
      <c r="P9" s="34"/>
      <c r="R9" s="33"/>
    </row>
    <row r="10" spans="1:18">
      <c r="A10" s="6" t="s">
        <v>41</v>
      </c>
      <c r="B10" s="38">
        <f t="shared" si="0"/>
        <v>795.33699999999999</v>
      </c>
      <c r="C10" s="34"/>
      <c r="D10" s="38">
        <f>IF( ISERROR(IND_voed_gas_kWh/1000),0,IND_voed_gas_kWh/1000)*0.902</f>
        <v>303.01697800000005</v>
      </c>
      <c r="E10" s="34">
        <f>C32*'E Balans VL '!I20/100/3.6*1000000</f>
        <v>7.8202434319381862</v>
      </c>
      <c r="F10" s="34">
        <f>C32*'E Balans VL '!L20/100/3.6*1000000+C32*'E Balans VL '!N20/100/3.6*1000000</f>
        <v>88.332555101032469</v>
      </c>
      <c r="G10" s="35"/>
      <c r="H10" s="34"/>
      <c r="I10" s="34"/>
      <c r="J10" s="41">
        <f>C32*'E Balans VL '!D20/100/3.6*1000000+C32*'E Balans VL '!E20/100/3.6*1000000</f>
        <v>3.1347841782721113E-3</v>
      </c>
      <c r="K10" s="34"/>
      <c r="L10" s="34"/>
      <c r="M10" s="34"/>
      <c r="N10" s="34">
        <f>C32*'E Balans VL '!Y20/100/3.6*1000000</f>
        <v>11.777070140176081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575.93399999999997</v>
      </c>
      <c r="C12" s="34"/>
      <c r="D12" s="38">
        <f>IF( ISERROR(IND_min_gas_kWh/1000),0,IND_min_gas_kWh/1000)*0.902</f>
        <v>0</v>
      </c>
      <c r="E12" s="34">
        <f>C34*'E Balans VL '!I22/100/3.6*1000000</f>
        <v>14.600951771718183</v>
      </c>
      <c r="F12" s="34">
        <f>C34*'E Balans VL '!L22/100/3.6*1000000+C34*'E Balans VL '!N22/100/3.6*1000000</f>
        <v>159.36294526995044</v>
      </c>
      <c r="G12" s="35"/>
      <c r="H12" s="34"/>
      <c r="I12" s="34"/>
      <c r="J12" s="41">
        <f>C34*'E Balans VL '!D22/100/3.6*1000000+C34*'E Balans VL '!E22/100/3.6*1000000</f>
        <v>3.8035838704716722</v>
      </c>
      <c r="K12" s="34"/>
      <c r="L12" s="34"/>
      <c r="M12" s="34"/>
      <c r="N12" s="34">
        <f>C34*'E Balans VL '!Y22/100/3.6*1000000</f>
        <v>0</v>
      </c>
      <c r="O12" s="34"/>
      <c r="P12" s="34"/>
      <c r="R12" s="33"/>
    </row>
    <row r="13" spans="1:18">
      <c r="A13" s="6" t="s">
        <v>39</v>
      </c>
      <c r="B13" s="38">
        <f t="shared" si="0"/>
        <v>33.398000000000003</v>
      </c>
      <c r="C13" s="34"/>
      <c r="D13" s="38">
        <f>IF( ISERROR(IND_papier_gas_kWh/1000),0,IND_papier_gas_kWh/1000)*0.902</f>
        <v>0</v>
      </c>
      <c r="E13" s="34">
        <f>C35*'E Balans VL '!I23/100/3.6*1000000</f>
        <v>1.1375843039692692</v>
      </c>
      <c r="F13" s="34">
        <f>C35*'E Balans VL '!L23/100/3.6*1000000+C35*'E Balans VL '!N23/100/3.6*1000000</f>
        <v>5.5165657658124765</v>
      </c>
      <c r="G13" s="35"/>
      <c r="H13" s="34"/>
      <c r="I13" s="34"/>
      <c r="J13" s="41">
        <f>C35*'E Balans VL '!D23/100/3.6*1000000+C35*'E Balans VL '!E23/100/3.6*1000000</f>
        <v>0</v>
      </c>
      <c r="K13" s="34"/>
      <c r="L13" s="34"/>
      <c r="M13" s="34"/>
      <c r="N13" s="34">
        <f>C35*'E Balans VL '!Y23/100/3.6*1000000</f>
        <v>12.289568335071991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62.604999999999997</v>
      </c>
      <c r="C15" s="34"/>
      <c r="D15" s="38">
        <f>IF( ISERROR(IND_rest_gas_kWh/1000),0,IND_rest_gas_kWh/1000)*0.902</f>
        <v>5947.2882920000002</v>
      </c>
      <c r="E15" s="34">
        <f>C37*'E Balans VL '!I15/100/3.6*1000000</f>
        <v>0.5625491816593694</v>
      </c>
      <c r="F15" s="34">
        <f>C37*'E Balans VL '!L15/100/3.6*1000000+C37*'E Balans VL '!N15/100/3.6*1000000</f>
        <v>12.328206051929941</v>
      </c>
      <c r="G15" s="35"/>
      <c r="H15" s="34"/>
      <c r="I15" s="34"/>
      <c r="J15" s="41">
        <f>C37*'E Balans VL '!D15/100/3.6*1000000+C37*'E Balans VL '!E15/100/3.6*1000000</f>
        <v>0.31482617108648864</v>
      </c>
      <c r="K15" s="34"/>
      <c r="L15" s="34"/>
      <c r="M15" s="34"/>
      <c r="N15" s="34">
        <f>C37*'E Balans VL '!Y15/100/3.6*1000000</f>
        <v>1.9218085695221687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2205.9900000000002</v>
      </c>
      <c r="C18" s="22">
        <f>C5+C16</f>
        <v>0</v>
      </c>
      <c r="D18" s="22">
        <f>MAX((D5+D16),0)</f>
        <v>6774.6450860000004</v>
      </c>
      <c r="E18" s="22">
        <f>MAX((E5+E16),0)</f>
        <v>28.551127278314798</v>
      </c>
      <c r="F18" s="22">
        <f>MAX((F5+F16),0)</f>
        <v>821.3231293650465</v>
      </c>
      <c r="G18" s="22"/>
      <c r="H18" s="22"/>
      <c r="I18" s="22"/>
      <c r="J18" s="22">
        <f>MAX((J5+J16),0)</f>
        <v>4.9751341667720386</v>
      </c>
      <c r="K18" s="22"/>
      <c r="L18" s="22">
        <f>MAX((L5+L16),0)</f>
        <v>0</v>
      </c>
      <c r="M18" s="22"/>
      <c r="N18" s="22">
        <f>MAX((N5+N16),0)</f>
        <v>78.480603125661617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0.19384914567011202</v>
      </c>
      <c r="C20" s="26">
        <f ca="1">'EF ele_warmte'!B22</f>
        <v>7.2805168310098617E-2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427.62927685681046</v>
      </c>
      <c r="C22" s="24">
        <f ca="1">C18*C20</f>
        <v>0</v>
      </c>
      <c r="D22" s="24">
        <f>D18*D20</f>
        <v>1368.4783073720002</v>
      </c>
      <c r="E22" s="24">
        <f>E18*E20</f>
        <v>6.4811058921774594</v>
      </c>
      <c r="F22" s="24">
        <f>F18*F20</f>
        <v>219.29327554046742</v>
      </c>
      <c r="G22" s="24"/>
      <c r="H22" s="24"/>
      <c r="I22" s="24"/>
      <c r="J22" s="24">
        <f>J18*J20</f>
        <v>1.7611974950373015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48.069000000000003</v>
      </c>
      <c r="C30" s="40">
        <f>IF(ISERROR(B30*3.6/1000000/'E Balans VL '!Z18*100),0,B30*3.6/1000000/'E Balans VL '!Z18*100)</f>
        <v>2.674718415354826E-3</v>
      </c>
      <c r="D30" s="240" t="s">
        <v>707</v>
      </c>
    </row>
    <row r="31" spans="1:18">
      <c r="A31" s="6" t="s">
        <v>33</v>
      </c>
      <c r="B31" s="38">
        <f>IF( ISERROR(IND_ander_ele_kWh/1000),0,IND_ander_ele_kWh/1000)</f>
        <v>690.64700000000005</v>
      </c>
      <c r="C31" s="40">
        <f>IF(ISERROR(B31*3.6/1000000/'E Balans VL '!Z19*100),0,B31*3.6/1000000/'E Balans VL '!Z19*100)</f>
        <v>3.2106365181907855E-2</v>
      </c>
      <c r="D31" s="240" t="s">
        <v>707</v>
      </c>
    </row>
    <row r="32" spans="1:18">
      <c r="A32" s="174" t="s">
        <v>41</v>
      </c>
      <c r="B32" s="38">
        <f>IF( ISERROR(IND_voed_ele_kWh/1000),0,IND_voed_ele_kWh/1000)</f>
        <v>795.33699999999999</v>
      </c>
      <c r="C32" s="40">
        <f>IF(ISERROR(B32*3.6/1000000/'E Balans VL '!Z20*100),0,B32*3.6/1000000/'E Balans VL '!Z20*100)</f>
        <v>2.8113556698903062E-2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575.93399999999997</v>
      </c>
      <c r="C34" s="40">
        <f>IF(ISERROR(B34*3.6/1000000/'E Balans VL '!Z22*100),0,B34*3.6/1000000/'E Balans VL '!Z22*100)</f>
        <v>0.11574649320988051</v>
      </c>
      <c r="D34" s="240" t="s">
        <v>707</v>
      </c>
    </row>
    <row r="35" spans="1:5">
      <c r="A35" s="174" t="s">
        <v>39</v>
      </c>
      <c r="B35" s="38">
        <f>IF( ISERROR(IND_papier_ele_kWh/1000),0,IND_papier_ele_kWh/1000)</f>
        <v>33.398000000000003</v>
      </c>
      <c r="C35" s="40">
        <f>IF(ISERROR(B35*3.6/1000000/'E Balans VL '!Z22*100),0,B35*3.6/1000000/'E Balans VL '!Z22*100)</f>
        <v>6.7120562082175882E-3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62.604999999999997</v>
      </c>
      <c r="C37" s="40">
        <f>IF(ISERROR(B37*3.6/1000000/'E Balans VL '!Z15*100),0,B37*3.6/1000000/'E Balans VL '!Z15*100)</f>
        <v>4.727602315695975E-4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2928.319</v>
      </c>
      <c r="C5" s="18">
        <f>'Eigen informatie GS &amp; warmtenet'!B60</f>
        <v>0</v>
      </c>
      <c r="D5" s="31">
        <f>IF(ISERROR(SUM(LB_lb_gas_kWh,LB_rest_gas_kWh)/1000),0,SUM(LB_lb_gas_kWh,LB_rest_gas_kWh)/1000)*0.902</f>
        <v>2938.4941079999999</v>
      </c>
      <c r="E5" s="18">
        <f>B17*'E Balans VL '!I25/3.6*1000000/100</f>
        <v>27.586727018090929</v>
      </c>
      <c r="F5" s="18">
        <f>B17*('E Balans VL '!L25/3.6*1000000+'E Balans VL '!N25/3.6*1000000)/100</f>
        <v>9556.0767207273711</v>
      </c>
      <c r="G5" s="19"/>
      <c r="H5" s="18"/>
      <c r="I5" s="18"/>
      <c r="J5" s="18">
        <f>('E Balans VL '!D25+'E Balans VL '!E25)/3.6*1000000*landbouw!B17/100</f>
        <v>362.24730364088003</v>
      </c>
      <c r="K5" s="18"/>
      <c r="L5" s="18">
        <f>L6*(-1)</f>
        <v>0</v>
      </c>
      <c r="M5" s="18"/>
      <c r="N5" s="18">
        <f>N6*(-1)</f>
        <v>154.28571428571431</v>
      </c>
      <c r="O5" s="18"/>
      <c r="P5" s="18"/>
      <c r="R5" s="33"/>
    </row>
    <row r="6" spans="1:18">
      <c r="A6" s="17" t="s">
        <v>502</v>
      </c>
      <c r="B6" s="18" t="s">
        <v>211</v>
      </c>
      <c r="C6" s="18">
        <f>'lokale energieproductie'!O92+'lokale energieproductie'!O61</f>
        <v>77.142857142857139</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-154.28571428571431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2928.319</v>
      </c>
      <c r="C8" s="22">
        <f>C5+C6</f>
        <v>77.142857142857139</v>
      </c>
      <c r="D8" s="22">
        <f>MAX((D5+D6),0)</f>
        <v>2938.4941079999999</v>
      </c>
      <c r="E8" s="22">
        <f>MAX((E5+E6),0)</f>
        <v>27.586727018090929</v>
      </c>
      <c r="F8" s="22">
        <f>MAX((F5+F6),0)</f>
        <v>9556.0767207273711</v>
      </c>
      <c r="G8" s="22"/>
      <c r="H8" s="22"/>
      <c r="I8" s="22"/>
      <c r="J8" s="22">
        <f>MAX((J5+J6),0)</f>
        <v>362.24730364088003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0.19384914567011202</v>
      </c>
      <c r="C10" s="32">
        <f ca="1">'EF ele_warmte'!B22</f>
        <v>7.2805168310098617E-2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567.65213639955675</v>
      </c>
      <c r="C12" s="24">
        <f ca="1">C8*C10</f>
        <v>5.6163986982076075</v>
      </c>
      <c r="D12" s="24">
        <f>D8*D10</f>
        <v>593.57580981600006</v>
      </c>
      <c r="E12" s="24">
        <f>E8*E10</f>
        <v>6.2621870331066409</v>
      </c>
      <c r="F12" s="24">
        <f>F8*F10</f>
        <v>2551.4724844342081</v>
      </c>
      <c r="G12" s="24"/>
      <c r="H12" s="24"/>
      <c r="I12" s="24"/>
      <c r="J12" s="24">
        <f>J8*J10</f>
        <v>128.23554548887154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0.39644759955821179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303.69978422381052</v>
      </c>
      <c r="C26" s="250">
        <f>B26*'GWP N2O_CH4'!B5</f>
        <v>6377.6954687000207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175.58666353645705</v>
      </c>
      <c r="C27" s="250">
        <f>B27*'GWP N2O_CH4'!B5</f>
        <v>3687.319934265598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4.6701210085519982</v>
      </c>
      <c r="C28" s="250">
        <f>B28*'GWP N2O_CH4'!B4</f>
        <v>1447.7375126511195</v>
      </c>
      <c r="D28" s="51"/>
    </row>
    <row r="29" spans="1:4">
      <c r="A29" s="42" t="s">
        <v>277</v>
      </c>
      <c r="B29" s="250">
        <f>B34*'ha_N2O bodem landbouw'!B4</f>
        <v>23.572669386596356</v>
      </c>
      <c r="C29" s="250">
        <f>B29*'GWP N2O_CH4'!B4</f>
        <v>7307.5275098448701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6.3638786604586339E-3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1.0348572412537156E-5</v>
      </c>
      <c r="C5" s="447" t="s">
        <v>211</v>
      </c>
      <c r="D5" s="432">
        <f>SUM(D6:D11)</f>
        <v>2.9408550438923107E-5</v>
      </c>
      <c r="E5" s="432">
        <f>SUM(E6:E11)</f>
        <v>1.8080583051484861E-3</v>
      </c>
      <c r="F5" s="445" t="s">
        <v>211</v>
      </c>
      <c r="G5" s="432">
        <f>SUM(G6:G11)</f>
        <v>0.3753832837275568</v>
      </c>
      <c r="H5" s="432">
        <f>SUM(H6:H11)</f>
        <v>6.6174868158869596E-2</v>
      </c>
      <c r="I5" s="447" t="s">
        <v>211</v>
      </c>
      <c r="J5" s="447" t="s">
        <v>211</v>
      </c>
      <c r="K5" s="447" t="s">
        <v>211</v>
      </c>
      <c r="L5" s="447" t="s">
        <v>211</v>
      </c>
      <c r="M5" s="432">
        <f>SUM(M6:M11)</f>
        <v>1.9742993901599032E-2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5.4741436662810358E-6</v>
      </c>
      <c r="C6" s="433"/>
      <c r="D6" s="433">
        <f>vkm_2011_GW_PW*SUMIFS(TableVerdeelsleutelVkm[CNG],TableVerdeelsleutelVkm[Voertuigtype],"Lichte voertuigen")*SUMIFS(TableECFTransport[EnergieConsumptieFactor (PJ per km)],TableECFTransport[Index],CONCATENATE($A6,"_CNG_CNG"))</f>
        <v>1.336795050912498E-5</v>
      </c>
      <c r="E6" s="435">
        <f>vkm_2011_GW_PW*SUMIFS(TableVerdeelsleutelVkm[LPG],TableVerdeelsleutelVkm[Voertuigtype],"Lichte voertuigen")*SUMIFS(TableECFTransport[EnergieConsumptieFactor (PJ per km)],TableECFTransport[Index],CONCATENATE($A6,"_LPG_LPG"))</f>
        <v>7.9238302247054704E-4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0.11454828707709229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3.0019815131578871E-2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6.4740258553939896E-3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3.910391107805803E-2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1.577690358664683E-5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1.7420671398621123E-3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2.0071223127037208E-6</v>
      </c>
      <c r="C8" s="433"/>
      <c r="D8" s="435">
        <f>vkm_2011_NGW_PW*SUMIFS(TableVerdeelsleutelVkm[CNG],TableVerdeelsleutelVkm[Voertuigtype],"Lichte voertuigen")*SUMIFS(TableECFTransport[EnergieConsumptieFactor (PJ per km)],TableECFTransport[Index],CONCATENATE($A8,"_CNG_CNG"))</f>
        <v>8.7939915418916399E-6</v>
      </c>
      <c r="E8" s="435">
        <f>vkm_2011_NGW_PW*SUMIFS(TableVerdeelsleutelVkm[LPG],TableVerdeelsleutelVkm[Voertuigtype],"Lichte voertuigen")*SUMIFS(TableECFTransport[EnergieConsumptieFactor (PJ per km)],TableECFTransport[Index],CONCATENATE($A8,"_LPG_LPG"))</f>
        <v>4.782059543622677E-4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6.5306350844078792E-2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1.8910894756055174E-2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3.7731207484093415E-3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3.5478293709506668E-4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1.2463231105005392E-7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1.580462352267071E-5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2.8673064335524002E-6</v>
      </c>
      <c r="C10" s="433"/>
      <c r="D10" s="435">
        <f>vkm_2011_SW_PW*SUMIFS(TableVerdeelsleutelVkm[CNG],TableVerdeelsleutelVkm[Voertuigtype],"Lichte voertuigen")*SUMIFS(TableECFTransport[EnergieConsumptieFactor (PJ per km)],TableECFTransport[Index],CONCATENATE($A10,"_CNG_CNG"))</f>
        <v>7.2466083879064864E-6</v>
      </c>
      <c r="E10" s="435">
        <f>vkm_2011_SW_PW*SUMIFS(TableVerdeelsleutelVkm[LPG],TableVerdeelsleutelVkm[Voertuigtype],"Lichte voertuigen")*SUMIFS(TableECFTransport[EnergieConsumptieFactor (PJ per km)],TableECFTransport[Index],CONCATENATE($A10,"_LPG_LPG"))</f>
        <v>5.3746932831567136E-4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7.0808577921686655E-2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1.7191760485343148E-2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3.9395118132893323E-3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8.5261373869545992E-2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3.6496249994703376E-5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3.7984637211215871E-3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2.874603447926988</v>
      </c>
      <c r="C14" s="22"/>
      <c r="D14" s="22">
        <f t="shared" ref="D14:M14" si="0">((D5)*10^9/3600)+D12</f>
        <v>8.1690417885897517</v>
      </c>
      <c r="E14" s="22">
        <f t="shared" si="0"/>
        <v>502.23841809680169</v>
      </c>
      <c r="F14" s="22"/>
      <c r="G14" s="22">
        <f t="shared" si="0"/>
        <v>104273.13436876578</v>
      </c>
      <c r="H14" s="22">
        <f t="shared" si="0"/>
        <v>18381.907821908222</v>
      </c>
      <c r="I14" s="22"/>
      <c r="J14" s="22"/>
      <c r="K14" s="22"/>
      <c r="L14" s="22"/>
      <c r="M14" s="22">
        <f t="shared" si="0"/>
        <v>5484.1649726663973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0.19384914567011202</v>
      </c>
      <c r="C16" s="57">
        <f ca="1">'EF ele_warmte'!B22</f>
        <v>7.2805168310098617E-2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0.557239422521005</v>
      </c>
      <c r="C18" s="24"/>
      <c r="D18" s="24">
        <f t="shared" ref="D18:M18" si="1">D14*D16</f>
        <v>1.6501464412951299</v>
      </c>
      <c r="E18" s="24">
        <f t="shared" si="1"/>
        <v>114.00812090797399</v>
      </c>
      <c r="F18" s="24"/>
      <c r="G18" s="24">
        <f t="shared" si="1"/>
        <v>27840.926876460464</v>
      </c>
      <c r="H18" s="24">
        <f t="shared" si="1"/>
        <v>4577.095047655147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6.5538458324705898E-3</v>
      </c>
      <c r="H50" s="323">
        <f t="shared" si="2"/>
        <v>0</v>
      </c>
      <c r="I50" s="323">
        <f t="shared" si="2"/>
        <v>0</v>
      </c>
      <c r="J50" s="323">
        <f t="shared" si="2"/>
        <v>0</v>
      </c>
      <c r="K50" s="323">
        <f t="shared" si="2"/>
        <v>0</v>
      </c>
      <c r="L50" s="323">
        <f t="shared" si="2"/>
        <v>0</v>
      </c>
      <c r="M50" s="323">
        <f t="shared" si="2"/>
        <v>2.8779018174873944E-4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6.5538458324705898E-3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2.8779018174873944E-4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1820.5127312418306</v>
      </c>
      <c r="H54" s="22">
        <f t="shared" si="3"/>
        <v>0</v>
      </c>
      <c r="I54" s="22">
        <f t="shared" si="3"/>
        <v>0</v>
      </c>
      <c r="J54" s="22">
        <f t="shared" si="3"/>
        <v>0</v>
      </c>
      <c r="K54" s="22">
        <f t="shared" si="3"/>
        <v>0</v>
      </c>
      <c r="L54" s="22">
        <f t="shared" si="3"/>
        <v>0</v>
      </c>
      <c r="M54" s="22">
        <f t="shared" si="3"/>
        <v>79.941717152427628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0.19384914567011202</v>
      </c>
      <c r="C56" s="57">
        <f ca="1">'EF ele_warmte'!B22</f>
        <v>7.2805168310098617E-2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486.07689924156881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6352.6245548444476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77.849999999999994</v>
      </c>
      <c r="C8" s="558">
        <f>B101</f>
        <v>28.058823529411768</v>
      </c>
      <c r="D8" s="991"/>
      <c r="E8" s="991">
        <f>E101</f>
        <v>0</v>
      </c>
      <c r="F8" s="992"/>
      <c r="G8" s="559"/>
      <c r="H8" s="991">
        <f>I101</f>
        <v>0</v>
      </c>
      <c r="I8" s="991">
        <f>G101+F101</f>
        <v>0</v>
      </c>
      <c r="J8" s="991">
        <f>H101+D101+C101</f>
        <v>63.529411764705891</v>
      </c>
      <c r="K8" s="991"/>
      <c r="L8" s="991"/>
      <c r="M8" s="991"/>
      <c r="N8" s="560"/>
      <c r="O8" s="561">
        <f>C8*$C$12+D8*$D$12+E8*$E$12+F8*$F$12+G8*$G$12+H8*$H$12+I8*$I$12+J8*$J$12</f>
        <v>5.6678823529411773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6430.474554844448</v>
      </c>
      <c r="C10" s="570">
        <f t="shared" ref="C10:L10" si="0">SUM(C8:C9)</f>
        <v>28.058823529411768</v>
      </c>
      <c r="D10" s="570">
        <f t="shared" si="0"/>
        <v>0</v>
      </c>
      <c r="E10" s="570">
        <f t="shared" si="0"/>
        <v>0</v>
      </c>
      <c r="F10" s="570">
        <f t="shared" si="0"/>
        <v>0</v>
      </c>
      <c r="G10" s="570">
        <f t="shared" si="0"/>
        <v>0</v>
      </c>
      <c r="H10" s="570">
        <f t="shared" si="0"/>
        <v>0</v>
      </c>
      <c r="I10" s="570">
        <f t="shared" si="0"/>
        <v>0</v>
      </c>
      <c r="J10" s="570">
        <f t="shared" si="0"/>
        <v>63.529411764705891</v>
      </c>
      <c r="K10" s="570">
        <f t="shared" si="0"/>
        <v>0</v>
      </c>
      <c r="L10" s="570">
        <f t="shared" si="0"/>
        <v>0</v>
      </c>
      <c r="M10" s="995"/>
      <c r="N10" s="995"/>
      <c r="O10" s="571">
        <f>SUM(O4:O9)</f>
        <v>5.6678823529411773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111.21428571428572</v>
      </c>
      <c r="C17" s="582">
        <f>B102</f>
        <v>40.084033613445385</v>
      </c>
      <c r="D17" s="583"/>
      <c r="E17" s="583">
        <f>E102</f>
        <v>0</v>
      </c>
      <c r="F17" s="584"/>
      <c r="G17" s="585"/>
      <c r="H17" s="582">
        <f>I102</f>
        <v>0</v>
      </c>
      <c r="I17" s="583">
        <f>G102+F102</f>
        <v>0</v>
      </c>
      <c r="J17" s="583">
        <f>H102+D102+C102</f>
        <v>90.756302521008422</v>
      </c>
      <c r="K17" s="583"/>
      <c r="L17" s="583"/>
      <c r="M17" s="583"/>
      <c r="N17" s="998"/>
      <c r="O17" s="586">
        <f>C17*$C$22+E17*$E$22+H17*$H$22+I17*$I$22+J17*$J$22+D17*$D$22+F17*$F$22+G17*$G$22+K17*$K$22+L17*$L$22</f>
        <v>8.0969747899159685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111.21428571428572</v>
      </c>
      <c r="C20" s="569">
        <f>SUM(C17:C19)</f>
        <v>40.084033613445385</v>
      </c>
      <c r="D20" s="569">
        <f t="shared" ref="D20:L20" si="1">SUM(D17:D19)</f>
        <v>0</v>
      </c>
      <c r="E20" s="569">
        <f t="shared" si="1"/>
        <v>0</v>
      </c>
      <c r="F20" s="569">
        <f t="shared" si="1"/>
        <v>0</v>
      </c>
      <c r="G20" s="569">
        <f t="shared" si="1"/>
        <v>0</v>
      </c>
      <c r="H20" s="569">
        <f t="shared" si="1"/>
        <v>0</v>
      </c>
      <c r="I20" s="569">
        <f t="shared" si="1"/>
        <v>0</v>
      </c>
      <c r="J20" s="569">
        <f t="shared" si="1"/>
        <v>90.756302521008422</v>
      </c>
      <c r="K20" s="569">
        <f t="shared" si="1"/>
        <v>0</v>
      </c>
      <c r="L20" s="569">
        <f t="shared" si="1"/>
        <v>0</v>
      </c>
      <c r="M20" s="569"/>
      <c r="N20" s="569"/>
      <c r="O20" s="590">
        <f>SUM(O17:O19)</f>
        <v>8.0969747899159685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73066</v>
      </c>
      <c r="C28" s="789">
        <v>3770</v>
      </c>
      <c r="D28" s="642" t="s">
        <v>946</v>
      </c>
      <c r="E28" s="641" t="s">
        <v>947</v>
      </c>
      <c r="F28" s="641" t="s">
        <v>948</v>
      </c>
      <c r="G28" s="641" t="s">
        <v>949</v>
      </c>
      <c r="H28" s="641" t="s">
        <v>950</v>
      </c>
      <c r="I28" s="641" t="s">
        <v>951</v>
      </c>
      <c r="J28" s="788">
        <v>38973</v>
      </c>
      <c r="K28" s="788">
        <v>39052</v>
      </c>
      <c r="L28" s="641" t="s">
        <v>952</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25.5">
      <c r="A29" s="594"/>
      <c r="B29" s="789">
        <v>73066</v>
      </c>
      <c r="C29" s="789">
        <v>3770</v>
      </c>
      <c r="D29" s="642" t="s">
        <v>953</v>
      </c>
      <c r="E29" s="641" t="s">
        <v>954</v>
      </c>
      <c r="F29" s="641" t="s">
        <v>955</v>
      </c>
      <c r="G29" s="641" t="s">
        <v>949</v>
      </c>
      <c r="H29" s="641" t="s">
        <v>950</v>
      </c>
      <c r="I29" s="641" t="s">
        <v>954</v>
      </c>
      <c r="J29" s="788">
        <v>40624</v>
      </c>
      <c r="K29" s="788">
        <v>41306</v>
      </c>
      <c r="L29" s="641" t="s">
        <v>952</v>
      </c>
      <c r="M29" s="641">
        <v>12</v>
      </c>
      <c r="N29" s="641">
        <v>54</v>
      </c>
      <c r="O29" s="641">
        <v>77.142857142857139</v>
      </c>
      <c r="P29" s="641">
        <v>0</v>
      </c>
      <c r="Q29" s="641">
        <v>0</v>
      </c>
      <c r="R29" s="641">
        <v>0</v>
      </c>
      <c r="S29" s="641">
        <v>0</v>
      </c>
      <c r="T29" s="641">
        <v>0</v>
      </c>
      <c r="U29" s="641">
        <v>0</v>
      </c>
      <c r="V29" s="641">
        <v>154.28571428571431</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17.3</v>
      </c>
      <c r="N58" s="599">
        <f>SUM(N28:N57)</f>
        <v>77.849999999999994</v>
      </c>
      <c r="O58" s="599">
        <f t="shared" ref="O58:W58" si="2">SUM(O28:O57)</f>
        <v>111.21428571428572</v>
      </c>
      <c r="P58" s="599">
        <f t="shared" si="2"/>
        <v>68.142857142857153</v>
      </c>
      <c r="Q58" s="599">
        <f t="shared" si="2"/>
        <v>0</v>
      </c>
      <c r="R58" s="599">
        <f t="shared" si="2"/>
        <v>0</v>
      </c>
      <c r="S58" s="599">
        <f t="shared" si="2"/>
        <v>0</v>
      </c>
      <c r="T58" s="599">
        <f t="shared" si="2"/>
        <v>0</v>
      </c>
      <c r="U58" s="599">
        <f t="shared" si="2"/>
        <v>0</v>
      </c>
      <c r="V58" s="599">
        <f t="shared" si="2"/>
        <v>154.28571428571431</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v>
      </c>
      <c r="N61" s="604">
        <f t="shared" si="4"/>
        <v>54</v>
      </c>
      <c r="O61" s="604">
        <f t="shared" si="4"/>
        <v>77.142857142857139</v>
      </c>
      <c r="P61" s="604">
        <f t="shared" si="4"/>
        <v>0</v>
      </c>
      <c r="Q61" s="604">
        <f t="shared" si="4"/>
        <v>0</v>
      </c>
      <c r="R61" s="604">
        <f t="shared" si="4"/>
        <v>0</v>
      </c>
      <c r="S61" s="604">
        <f t="shared" si="4"/>
        <v>0</v>
      </c>
      <c r="T61" s="604">
        <f t="shared" si="4"/>
        <v>0</v>
      </c>
      <c r="U61" s="604">
        <f t="shared" si="4"/>
        <v>0</v>
      </c>
      <c r="V61" s="604">
        <f t="shared" si="4"/>
        <v>154.28571428571431</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28.058823529411768</v>
      </c>
      <c r="C101" s="633">
        <f t="shared" si="9"/>
        <v>0</v>
      </c>
      <c r="D101" s="633">
        <f t="shared" si="9"/>
        <v>0</v>
      </c>
      <c r="E101" s="633">
        <f t="shared" si="9"/>
        <v>0</v>
      </c>
      <c r="F101" s="633">
        <f t="shared" si="9"/>
        <v>0</v>
      </c>
      <c r="G101" s="633">
        <f t="shared" si="9"/>
        <v>0</v>
      </c>
      <c r="H101" s="633">
        <f t="shared" si="9"/>
        <v>63.529411764705891</v>
      </c>
      <c r="I101" s="634">
        <f t="shared" si="9"/>
        <v>0</v>
      </c>
      <c r="J101" s="591"/>
      <c r="K101" s="591"/>
      <c r="L101" s="629"/>
      <c r="M101" s="629"/>
      <c r="N101" s="629"/>
      <c r="O101" s="616"/>
      <c r="P101" s="616"/>
    </row>
    <row r="102" spans="1:16" ht="15.75" thickBot="1">
      <c r="A102" s="635" t="s">
        <v>286</v>
      </c>
      <c r="B102" s="636">
        <f t="shared" ref="B102:I102" si="10">$B$98*P58</f>
        <v>40.084033613445385</v>
      </c>
      <c r="C102" s="636">
        <f t="shared" si="10"/>
        <v>0</v>
      </c>
      <c r="D102" s="636">
        <f t="shared" si="10"/>
        <v>0</v>
      </c>
      <c r="E102" s="636">
        <f t="shared" si="10"/>
        <v>0</v>
      </c>
      <c r="F102" s="636">
        <f t="shared" si="10"/>
        <v>0</v>
      </c>
      <c r="G102" s="636">
        <f t="shared" si="10"/>
        <v>0</v>
      </c>
      <c r="H102" s="636">
        <f t="shared" si="10"/>
        <v>90.756302521008422</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2019-06-29T16:15:04Z</dcterms:modified>
</cp:coreProperties>
</file>