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R18" i="14"/>
  <c r="H19"/>
  <c r="R19" s="1"/>
  <c r="G10" i="48"/>
  <c r="G31"/>
  <c r="Q13"/>
  <c r="K11" i="14"/>
  <c r="J4" i="48"/>
  <c r="M9"/>
  <c r="N20" i="14"/>
  <c r="N22" s="1"/>
  <c r="N27" s="1"/>
  <c r="E7" i="48"/>
  <c r="E25" s="1"/>
  <c r="F24" i="14"/>
  <c r="F26" s="1"/>
  <c r="E9" i="48"/>
  <c r="E27" s="1"/>
  <c r="F20" i="14"/>
  <c r="F22" s="1"/>
  <c r="P13"/>
  <c r="O8" i="48"/>
  <c r="O26" s="1"/>
  <c r="O33" s="1"/>
  <c r="N19" i="14"/>
  <c r="M10" i="48"/>
  <c r="M28" s="1"/>
  <c r="D9"/>
  <c r="D27" s="1"/>
  <c r="E20" i="14"/>
  <c r="E22" s="1"/>
  <c r="B9" i="48"/>
  <c r="C20" i="14"/>
  <c r="E12" i="17"/>
  <c r="F54" i="14" s="1"/>
  <c r="F56" s="1"/>
  <c r="P16"/>
  <c r="P27" s="1"/>
  <c r="H14" i="22"/>
  <c r="O15" i="48"/>
  <c r="D16" i="14"/>
  <c r="D27" s="1"/>
  <c r="B20" i="6" s="1"/>
  <c r="B22" s="1"/>
  <c r="C22" i="56" s="1"/>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I20"/>
  <c r="I22" s="1"/>
  <c r="I27" s="1"/>
  <c r="H9" i="48"/>
  <c r="G28"/>
  <c r="Q10"/>
  <c r="H20" i="14"/>
  <c r="H22" s="1"/>
  <c r="H27" s="1"/>
  <c r="H63" s="1"/>
  <c r="G9" i="48"/>
  <c r="C22" i="14"/>
  <c r="K10"/>
  <c r="J5" i="48"/>
  <c r="J23" s="1"/>
  <c r="J22"/>
  <c r="E22"/>
  <c r="Q4"/>
  <c r="E5"/>
  <c r="E23" s="1"/>
  <c r="F10" i="14"/>
  <c r="M27" i="48"/>
  <c r="M33" s="1"/>
  <c r="M15"/>
  <c r="Q9"/>
  <c r="H18" i="22"/>
  <c r="I50" i="14" s="1"/>
  <c r="I52" s="1"/>
  <c r="I61" s="1"/>
  <c r="I63" s="1"/>
  <c r="R11"/>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H27"/>
  <c r="H33" s="1"/>
  <c r="H15"/>
  <c r="K13" i="14"/>
  <c r="J8" i="48"/>
  <c r="J26" s="1"/>
  <c r="F46" i="14"/>
  <c r="F61" s="1"/>
  <c r="R20"/>
  <c r="R22" s="1"/>
  <c r="C27"/>
  <c r="B3" i="6" s="1"/>
  <c r="B12" s="1"/>
  <c r="K16" i="14"/>
  <c r="K27" s="1"/>
  <c r="J33" i="48"/>
  <c r="Q5"/>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K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<sst xmlns="http://schemas.openxmlformats.org/spreadsheetml/2006/main" count="2492" uniqueCount="952">
  <si>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</si>
  <si>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</si>
  <si>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</si>
  <si>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</si>
  <si>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</si>
  <si>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</si>
  <si>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</si>
  <si>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</si>
  <si>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</si>
  <si>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</si>
  <si>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</si>
  <si>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</si>
  <si>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</si>
  <si>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</si>
  <si>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</si>
  <si>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</si>
  <si>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</si>
  <si>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</si>
  <si>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</si>
  <si>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</si>
  <si>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</si>
  <si>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</si>
  <si>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</si>
  <si>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</si>
  <si>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</si>
  <si>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</si>
  <si>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</si>
  <si>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</si>
  <si>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</si>
  <si>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</si>
  <si>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</si>
  <si>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</si>
  <si>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</si>
  <si>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</si>
  <si>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</si>
  <si>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</si>
  <si>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</si>
  <si>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</si>
  <si>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</si>
  <si>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</si>
  <si>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</si>
  <si>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</si>
  <si>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</si>
  <si>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</si>
  <si>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</si>
  <si>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</si>
  <si>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</si>
  <si>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</si>
  <si>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</si>
  <si>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</si>
  <si>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</si>
  <si>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</si>
  <si>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</si>
  <si>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</si>
  <si>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</si>
  <si>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</si>
  <si>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</si>
  <si>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</si>
  <si>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</si>
  <si>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</si>
  <si>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</si>
  <si>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</si>
  <si>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</si>
  <si>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</si>
  <si>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</si>
  <si>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</si>
  <si>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</si>
  <si>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</si>
  <si>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</si>
  <si>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</si>
  <si>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</si>
  <si>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</si>
  <si>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</si>
  <si>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</si>
  <si>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</si>
  <si>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</si>
  <si>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</si>
  <si>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</si>
  <si>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</si>
  <si>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</si>
  <si>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</si>
  <si>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</si>
  <si>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</si>
  <si>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</si>
  <si>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</si>
  <si>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</si>
  <si>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</si>
  <si>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</si>
  <si>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</si>
  <si>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</si>
  <si>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</si>
  <si>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</si>
  <si>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</si>
  <si>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</si>
  <si>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</si>
  <si>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</si>
  <si>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</si>
  <si>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</si>
  <si>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</si>
  <si>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</si>
  <si>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</si>
  <si>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</si>
  <si>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</si>
  <si>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</si>
  <si>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</si>
  <si>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</si>
  <si>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</si>
  <si>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</si>
  <si>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</si>
  <si>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</si>
  <si>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</si>
  <si>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</si>
  <si>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</si>
  <si>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</si>
  <si>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</si>
  <si>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</si>
  <si>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</si>
  <si>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</si>
  <si>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</si>
  <si>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</si>
  <si>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</si>
  <si>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</si>
  <si>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</si>
  <si>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</si>
  <si>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</si>
  <si>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</si>
  <si>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</si>
  <si>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</si>
  <si>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</si>
  <si>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</si>
  <si>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</si>
  <si>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</si>
  <si>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</si>
  <si>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</si>
  <si>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</si>
  <si>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</si>
  <si>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</si>
  <si>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</si>
  <si>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</si>
  <si>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</si>
  <si>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</si>
  <si>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</si>
  <si>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</si>
  <si>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</si>
  <si>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</si>
  <si>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</si>
  <si>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</si>
  <si>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</si>
  <si>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</si>
  <si>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</si>
  <si>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</si>
  <si>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</si>
  <si>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</si>
  <si>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</si>
  <si>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</si>
  <si>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</si>
  <si>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</si>
  <si>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</si>
  <si>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</si>
  <si>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</si>
  <si>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</si>
  <si>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</si>
  <si>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</si>
  <si>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</si>
  <si>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</si>
  <si>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</si>
  <si>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</si>
  <si>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</si>
  <si>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</si>
  <si>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</si>
  <si>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</si>
  <si>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</si>
  <si>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</si>
  <si>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</si>
  <si>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</si>
  <si>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</si>
  <si>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</si>
  <si>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</si>
  <si>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</si>
  <si>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</si>
  <si>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</si>
  <si>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</si>
  <si>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</si>
  <si>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</si>
  <si>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</si>
  <si>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</si>
  <si>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</si>
  <si>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</si>
  <si>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</si>
  <si>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</si>
  <si>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</si>
  <si>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</si>
  <si>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</si>
  <si>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</si>
  <si>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</si>
  <si>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</si>
  <si>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</si>
  <si>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</si>
  <si>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</si>
  <si>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</si>
  <si>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</si>
  <si>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</si>
  <si>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</si>
  <si>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</si>
  <si>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</si>
  <si>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</si>
  <si>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</si>
  <si>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</si>
  <si>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</si>
  <si>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</si>
  <si>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</si>
  <si>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</si>
  <si>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</si>
  <si>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</si>
  <si>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</si>
  <si>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</si>
  <si>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</si>
  <si>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</si>
  <si>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</si>
  <si>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</si>
  <si>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</si>
  <si>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</si>
  <si>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</si>
  <si>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</si>
  <si>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</si>
  <si>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</si>
  <si>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</si>
  <si>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</si>
  <si>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</si>
  <si>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</si>
  <si>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</si>
  <si>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</si>
  <si>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</si>
  <si>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</si>
  <si>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</si>
  <si>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</si>
  <si>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</si>
  <si>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</si>
  <si>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</si>
  <si>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</si>
  <si>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</si>
  <si>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</si>
  <si>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</si>
  <si>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</si>
  <si>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</si>
  <si>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</si>
  <si>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</si>
  <si>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</si>
  <si>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</si>
  <si>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</si>
  <si>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</si>
  <si>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</si>
  <si>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</si>
  <si>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</si>
  <si>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</si>
  <si>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</si>
  <si>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</si>
  <si>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</si>
  <si>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</si>
  <si>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</si>
  <si>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</si>
  <si>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</si>
  <si>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</si>
  <si>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</si>
  <si>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</si>
  <si>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</si>
  <si>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</si>
  <si>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</si>
  <si>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</si>
  <si>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</si>
  <si>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</si>
  <si>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</si>
  <si>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</si>
  <si>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</si>
  <si>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</si>
  <si>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</si>
  <si>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</si>
  <si>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</si>
  <si>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</si>
  <si>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</si>
  <si>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</si>
  <si>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</si>
  <si>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</si>
  <si>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</si>
  <si>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</si>
  <si>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</si>
  <si>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</si>
  <si>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</si>
  <si>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</si>
  <si>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</si>
  <si>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</si>
  <si>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</si>
  <si>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</si>
  <si>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</si>
  <si>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</si>
  <si>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</si>
  <si>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</si>
  <si>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</si>
  <si>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</si>
  <si>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</si>
  <si>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</si>
  <si>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</si>
  <si>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</si>
  <si>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</si>
  <si>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</si>
  <si>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</si>
  <si>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</si>
  <si>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</si>
  <si>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</si>
  <si>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</si>
  <si>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</si>
  <si>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</si>
  <si>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</si>
  <si>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</si>
  <si>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</si>
  <si>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</si>
  <si>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</si>
  <si>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</si>
  <si>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</si>
  <si>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</si>
  <si>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</si>
  <si>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</si>
  <si>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</si>
  <si>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</si>
  <si>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</si>
  <si>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</si>
  <si>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</si>
  <si>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</si>
  <si>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</si>
  <si>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</si>
  <si>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</si>
  <si>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</si>
  <si>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</si>
  <si>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</si>
  <si>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</si>
  <si>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</si>
  <si>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</si>
  <si>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</si>
  <si>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</si>
  <si>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</si>
  <si>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</si>
  <si>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</si>
  <si>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</si>
  <si>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</si>
  <si>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</si>
  <si>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</si>
  <si>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</si>
  <si>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</si>
  <si>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</si>
  <si>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</si>
  <si>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</si>
  <si>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</si>
  <si>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</si>
  <si>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</si>
  <si>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</si>
  <si>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</si>
  <si>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</si>
  <si>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</si>
  <si>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</si>
  <si>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</si>
  <si>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</si>
  <si>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</si>
  <si>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</si>
  <si>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</si>
  <si>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</si>
  <si>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</si>
  <si>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</si>
  <si>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</si>
  <si>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</si>
  <si>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</si>
  <si>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</si>
  <si>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</si>
  <si>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</si>
  <si>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</si>
  <si>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</si>
  <si>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</si>
  <si>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</si>
  <si>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</si>
  <si>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</si>
  <si>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</si>
  <si>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</si>
  <si>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</si>
  <si>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</si>
  <si>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</si>
  <si>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</si>
  <si>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</si>
  <si>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</si>
  <si>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</si>
  <si>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</si>
  <si>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</si>
  <si>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</si>
  <si>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</si>
  <si>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</si>
  <si>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</si>
  <si>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</si>
  <si>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</si>
  <si>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</si>
  <si>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</si>
  <si>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</si>
  <si>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</si>
  <si>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</si>
  <si>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</si>
  <si>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</si>
  <si>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</si>
  <si>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</si>
  <si>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</si>
  <si>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</si>
  <si>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</si>
  <si>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</si>
  <si>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</si>
  <si>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</si>
  <si>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</si>
  <si>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</si>
  <si>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</si>
  <si>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</si>
  <si>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</si>
  <si>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</si>
  <si>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</si>
  <si>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</si>
  <si>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</si>
  <si>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</si>
  <si>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</si>
  <si>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</si>
  <si>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</si>
  <si>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</si>
  <si>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</si>
  <si>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</si>
  <si>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</si>
  <si>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</si>
  <si>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</si>
  <si>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</si>
  <si>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</si>
  <si>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</si>
  <si>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</si>
  <si>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</si>
  <si>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</si>
  <si>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</si>
  <si>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</si>
  <si>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</si>
  <si>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</si>
  <si>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</si>
  <si>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</si>
  <si>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</si>
  <si>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</si>
  <si>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</si>
  <si>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</si>
  <si>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</si>
  <si>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</si>
  <si>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</si>
  <si>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</si>
  <si>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</si>
  <si>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</si>
  <si>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</si>
  <si>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</si>
  <si>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</si>
  <si>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</si>
  <si>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</si>
  <si>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</si>
  <si>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</si>
  <si>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</si>
  <si>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</si>
  <si>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</si>
  <si>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</si>
  <si>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</si>
  <si>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</si>
  <si>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</si>
  <si>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</si>
  <si>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</si>
  <si>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</si>
  <si>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</si>
  <si>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</si>
  <si>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</si>
  <si>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</si>
  <si>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</si>
  <si>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</si>
  <si>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</si>
  <si>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</si>
  <si>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</si>
  <si>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</si>
  <si>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</si>
  <si>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</si>
  <si>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</si>
  <si>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</si>
  <si>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</si>
  <si>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</si>
  <si>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</si>
  <si>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</si>
  <si>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</si>
  <si>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</si>
  <si>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</si>
  <si>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</si>
  <si>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</si>
  <si>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</si>
  <si>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</si>
  <si>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</si>
  <si>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</si>
  <si>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</si>
  <si>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</si>
  <si>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</si>
  <si>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</si>
  <si>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</si>
  <si>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</si>
  <si>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</si>
  <si>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</si>
  <si>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</si>
  <si>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</si>
  <si>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</si>
  <si>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</si>
  <si>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</si>
  <si>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</si>
  <si>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</si>
  <si>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</si>
  <si>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</si>
  <si>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</si>
  <si>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</si>
  <si>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</si>
  <si>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</si>
  <si>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</si>
  <si>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</si>
  <si>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</si>
  <si>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</si>
  <si>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</si>
  <si>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</si>
  <si>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</si>
  <si>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</si>
  <si>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</si>
  <si>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</si>
  <si>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</si>
  <si>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</si>
  <si>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</si>
  <si>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</si>
  <si>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</si>
  <si>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</si>
  <si>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</si>
  <si>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</si>
  <si>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</si>
  <si>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</si>
  <si>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</si>
  <si>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</si>
  <si>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</si>
  <si>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</si>
  <si>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</si>
  <si>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</si>
  <si>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</si>
  <si>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</si>
  <si>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</si>
  <si>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</si>
  <si>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</si>
  <si>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</si>
  <si>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</si>
  <si>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</si>
  <si>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</si>
  <si>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</si>
  <si>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</si>
  <si>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</si>
  <si>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</si>
  <si>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</si>
  <si>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</si>
  <si>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</si>
  <si>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</si>
  <si>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</si>
  <si>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</si>
  <si>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</si>
  <si>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</si>
  <si>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</si>
  <si>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</si>
  <si>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</si>
  <si>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</si>
  <si>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</si>
  <si>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</si>
  <si>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</si>
  <si>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</si>
  <si>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</si>
  <si>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</si>
  <si>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</si>
  <si>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</si>
  <si>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</si>
  <si>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</si>
  <si>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</si>
  <si>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</si>
  <si>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</si>
  <si>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</si>
  <si>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</si>
  <si>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</si>
  <si>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</si>
  <si>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</si>
  <si>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</si>
  <si>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</si>
  <si>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</si>
  <si>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</si>
  <si>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</si>
  <si>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</si>
  <si>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</si>
  <si>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</si>
  <si>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</si>
  <si>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</si>
  <si>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</si>
  <si>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</si>
  <si>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</si>
  <si>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</si>
  <si>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</si>
  <si>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</si>
  <si>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</si>
  <si>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</si>
  <si>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</si>
  <si>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</si>
  <si>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</si>
  <si>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</si>
  <si>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</si>
  <si>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</si>
  <si>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</si>
  <si>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</si>
  <si>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</si>
  <si>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</si>
  <si>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</si>
  <si>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</si>
  <si>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</si>
  <si>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</si>
  <si>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</si>
  <si>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</si>
  <si>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</si>
  <si>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</si>
  <si>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</si>
  <si>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</si>
  <si>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</si>
  <si>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</si>
  <si>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</si>
  <si>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</si>
  <si>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</si>
  <si>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</si>
  <si>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</si>
  <si>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</si>
  <si>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</si>
  <si>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</si>
  <si>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</si>
  <si>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</si>
  <si>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</si>
  <si>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</si>
  <si>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</si>
  <si>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</si>
  <si>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</si>
  <si>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</si>
  <si>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</si>
  <si>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</si>
  <si>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</si>
  <si>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</si>
  <si>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</si>
  <si>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</si>
  <si>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</si>
  <si>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</si>
  <si>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</si>
  <si>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</si>
  <si>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</si>
  <si>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</si>
  <si>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</si>
  <si>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</si>
  <si>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</si>
  <si>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</si>
  <si>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</si>
  <si>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</si>
  <si>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</si>
  <si>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</si>
  <si>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</si>
  <si>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</si>
  <si>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</si>
  <si>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</si>
  <si>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</si>
  <si>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</si>
  <si>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</si>
  <si>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</si>
  <si>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</si>
  <si>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</si>
  <si>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</si>
  <si>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</si>
  <si>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</si>
  <si>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</si>
  <si>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</si>
  <si>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</si>
  <si>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</si>
  <si>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</si>
  <si>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</si>
  <si>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</si>
  <si>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</si>
  <si>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</si>
  <si>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</si>
  <si>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</si>
  <si>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</si>
  <si>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</si>
  <si>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</si>
  <si>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</si>
  <si>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</si>
  <si>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</si>
  <si>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</si>
  <si>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</si>
  <si>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</si>
  <si>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</si>
  <si>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</si>
  <si>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</si>
  <si>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</si>
  <si>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</si>
  <si>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</si>
  <si>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</si>
  <si>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</si>
  <si>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</si>
  <si>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</si>
  <si>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</si>
  <si>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</si>
  <si>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</si>
  <si>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</si>
  <si>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</si>
  <si>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</si>
  <si>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</si>
  <si>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</si>
  <si>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</si>
  <si>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</si>
  <si>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</si>
  <si>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</si>
  <si>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</si>
  <si>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</si>
  <si>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</si>
  <si>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</si>
  <si>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</si>
  <si>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</si>
  <si>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</si>
  <si>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</si>
  <si>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</si>
  <si>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</si>
  <si>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</si>
  <si>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</si>
  <si>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</si>
  <si>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</si>
  <si>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</si>
  <si>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</si>
  <si>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</si>
  <si>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</si>
  <si>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</si>
  <si>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</si>
  <si>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</si>
  <si>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</si>
  <si>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</si>
  <si>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</si>
  <si>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</si>
  <si>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</si>
  <si>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</si>
  <si>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</si>
  <si>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</si>
  <si>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</si>
  <si>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</si>
  <si>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</si>
  <si>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</si>
  <si>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</si>
  <si>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</si>
  <si>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</si>
  <si>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</si>
  <si>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</si>
  <si>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</si>
  <si>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</si>
  <si>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</si>
  <si>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</si>
  <si>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</si>
  <si>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</si>
  <si>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</si>
  <si>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</si>
  <si>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</si>
  <si>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</si>
  <si>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</si>
  <si>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</si>
  <si>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</si>
  <si>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</si>
  <si>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</si>
  <si>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</si>
  <si>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</si>
  <si>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</si>
  <si>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</si>
  <si>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</si>
  <si>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</si>
  <si>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</si>
  <si>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</si>
  <si>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</si>
  <si>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</si>
  <si>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</si>
  <si>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</si>
  <si>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</si>
  <si>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</si>
  <si>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</si>
  <si>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</si>
  <si>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</si>
  <si>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</si>
  <si>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</si>
  <si>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</si>
  <si>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</si>
  <si>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</si>
  <si>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</si>
  <si>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</si>
  <si>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</si>
  <si>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</si>
  <si>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</si>
  <si>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</si>
  <si>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</si>
  <si>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</si>
  <si>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</si>
  <si>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</si>
  <si>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</si>
  <si>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</si>
  <si>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</si>
  <si>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</si>
  <si>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</si>
  <si>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</si>
  <si>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</si>
  <si>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</si>
  <si>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</si>
  <si>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</si>
  <si>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</si>
  <si>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</si>
  <si>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</si>
  <si>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</si>
  <si>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</si>
  <si>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</si>
  <si>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</si>
  <si>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</si>
  <si>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</si>
  <si>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</si>
  <si>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</si>
  <si>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</si>
  <si>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</si>
  <si>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</si>
  <si>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</si>
  <si>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</si>
  <si>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</si>
  <si>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</si>
  <si>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</si>
  <si>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</si>
  <si>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</si>
  <si>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</si>
  <si>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</si>
  <si>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</si>
  <si>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</si>
  <si>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</si>
  <si>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</si>
  <si>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</si>
  <si>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</si>
  <si>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</si>
  <si>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</si>
  <si>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</si>
  <si>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</si>
  <si>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</si>
  <si>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</si>
  <si>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</si>
  <si>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</si>
  <si>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</si>
  <si>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</si>
  <si>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</si>
  <si>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</si>
  <si>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</si>
  <si>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</si>
  <si>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</si>
  <si>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</si>
  <si>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</si>
  <si>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</si>
  <si>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</si>
  <si>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</si>
  <si>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</si>
  <si>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</si>
  <si>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</si>
  <si>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</si>
  <si>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</si>
  <si>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</si>
  <si>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</si>
  <si>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</si>
  <si>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</si>
  <si>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</si>
  <si>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</si>
  <si>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</si>
  <si>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</si>
  <si>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</si>
  <si>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</si>
  <si>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</si>
  <si>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</si>
  <si>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</si>
  <si>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</si>
  <si>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</si>
  <si>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</si>
  <si>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</si>
  <si>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</si>
  <si>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</si>
  <si>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</si>
  <si>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</si>
  <si>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</si>
  <si>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</si>
  <si>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</si>
  <si>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</si>
  <si>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</si>
  <si>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</si>
  <si>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</si>
  <si>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</si>
  <si>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</si>
  <si>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</si>
  <si>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</si>
  <si>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</si>
  <si>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</si>
  <si>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</si>
  <si>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</si>
  <si>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</si>
  <si>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</si>
  <si>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</si>
  <si>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</si>
  <si>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</si>
  <si>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</si>
  <si>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</si>
  <si>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</si>
  <si>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</si>
  <si>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</si>
  <si>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</si>
  <si>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</si>
  <si>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</si>
  <si>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</si>
  <si>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</si>
  <si>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</si>
  <si>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</si>
  <si>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</si>
  <si>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</si>
  <si>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</si>
  <si>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</si>
  <si>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</si>
  <si>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</si>
  <si>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</si>
  <si>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</si>
  <si>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</si>
  <si>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</si>
  <si>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</si>
  <si>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</si>
  <si>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</si>
  <si>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</si>
  <si>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</si>
  <si>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</si>
  <si>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</si>
  <si>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</si>
  <si>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</si>
  <si>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</si>
  <si>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</si>
  <si>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73006</t>
  </si>
  <si>
    <t>BILZEN</t>
  </si>
  <si>
    <t>Paarden&amp;pony's 200 - 600 kg</t>
  </si>
  <si>
    <t>Paarden&amp;pony's &lt; 200 kg</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</si>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</sst>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73006</v>
      </c>
      <c r="B6" s="397"/>
      <c r="C6" s="398"/>
    </row>
    <row r="7" spans="1:7" s="395" customFormat="1" ht="15.75" customHeight="1">
      <c r="A7" s="399" t="str">
        <f>txtMunicipality</f>
        <v>BILZEN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0.20680815657332116</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0.20680815657332116</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73006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12569</v>
      </c>
      <c r="C9" s="338">
        <v>13063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3552</v>
      </c>
    </row>
    <row r="15" spans="1:6">
      <c r="A15" s="1286" t="s">
        <v>184</v>
      </c>
      <c r="B15" s="335">
        <v>24</v>
      </c>
    </row>
    <row r="16" spans="1:6">
      <c r="A16" s="1286" t="s">
        <v>6</v>
      </c>
      <c r="B16" s="335">
        <v>1154</v>
      </c>
    </row>
    <row r="17" spans="1:6">
      <c r="A17" s="1286" t="s">
        <v>7</v>
      </c>
      <c r="B17" s="335">
        <v>817</v>
      </c>
    </row>
    <row r="18" spans="1:6">
      <c r="A18" s="1286" t="s">
        <v>8</v>
      </c>
      <c r="B18" s="335">
        <v>1271</v>
      </c>
    </row>
    <row r="19" spans="1:6">
      <c r="A19" s="1286" t="s">
        <v>9</v>
      </c>
      <c r="B19" s="335">
        <v>1124</v>
      </c>
    </row>
    <row r="20" spans="1:6">
      <c r="A20" s="1286" t="s">
        <v>10</v>
      </c>
      <c r="B20" s="335">
        <v>696</v>
      </c>
    </row>
    <row r="21" spans="1:6">
      <c r="A21" s="1286" t="s">
        <v>11</v>
      </c>
      <c r="B21" s="335">
        <v>2870</v>
      </c>
    </row>
    <row r="22" spans="1:6">
      <c r="A22" s="1286" t="s">
        <v>12</v>
      </c>
      <c r="B22" s="335">
        <v>6623</v>
      </c>
    </row>
    <row r="23" spans="1:6">
      <c r="A23" s="1286" t="s">
        <v>13</v>
      </c>
      <c r="B23" s="335">
        <v>98</v>
      </c>
    </row>
    <row r="24" spans="1:6">
      <c r="A24" s="1286" t="s">
        <v>14</v>
      </c>
      <c r="B24" s="335">
        <v>6</v>
      </c>
    </row>
    <row r="25" spans="1:6">
      <c r="A25" s="1286" t="s">
        <v>15</v>
      </c>
      <c r="B25" s="335">
        <v>1127</v>
      </c>
    </row>
    <row r="26" spans="1:6">
      <c r="A26" s="1286" t="s">
        <v>16</v>
      </c>
      <c r="B26" s="335">
        <v>170</v>
      </c>
    </row>
    <row r="27" spans="1:6">
      <c r="A27" s="1286" t="s">
        <v>17</v>
      </c>
      <c r="B27" s="335">
        <v>0</v>
      </c>
    </row>
    <row r="28" spans="1:6" s="341" customFormat="1">
      <c r="A28" s="1287" t="s">
        <v>18</v>
      </c>
      <c r="B28" s="1287">
        <v>21465</v>
      </c>
    </row>
    <row r="29" spans="1:6">
      <c r="A29" s="1287" t="s">
        <v>942</v>
      </c>
      <c r="B29" s="1287">
        <v>169</v>
      </c>
      <c r="C29" s="341"/>
      <c r="D29" s="341"/>
      <c r="E29" s="341"/>
      <c r="F29" s="341"/>
    </row>
    <row r="30" spans="1:6">
      <c r="A30" s="1282" t="s">
        <v>943</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195598</v>
      </c>
      <c r="E38" s="335">
        <v>2</v>
      </c>
      <c r="F38" s="335">
        <v>438344</v>
      </c>
    </row>
    <row r="39" spans="1:6">
      <c r="A39" s="1286" t="s">
        <v>30</v>
      </c>
      <c r="B39" s="1286" t="s">
        <v>31</v>
      </c>
      <c r="C39" s="335">
        <v>5293</v>
      </c>
      <c r="D39" s="335">
        <v>86068692</v>
      </c>
      <c r="E39" s="335">
        <v>12694</v>
      </c>
      <c r="F39" s="335">
        <v>48805233</v>
      </c>
    </row>
    <row r="40" spans="1:6">
      <c r="A40" s="1286" t="s">
        <v>30</v>
      </c>
      <c r="B40" s="1286" t="s">
        <v>29</v>
      </c>
      <c r="C40" s="335">
        <v>0</v>
      </c>
      <c r="D40" s="335">
        <v>0</v>
      </c>
      <c r="E40" s="335">
        <v>0</v>
      </c>
      <c r="F40" s="335">
        <v>0</v>
      </c>
    </row>
    <row r="41" spans="1:6">
      <c r="A41" s="1286" t="s">
        <v>32</v>
      </c>
      <c r="B41" s="1286" t="s">
        <v>33</v>
      </c>
      <c r="C41" s="335">
        <v>71</v>
      </c>
      <c r="D41" s="335">
        <v>3041554</v>
      </c>
      <c r="E41" s="335">
        <v>203</v>
      </c>
      <c r="F41" s="335">
        <v>9511381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3927962</v>
      </c>
      <c r="E44" s="335">
        <v>23</v>
      </c>
      <c r="F44" s="335">
        <v>1074887</v>
      </c>
    </row>
    <row r="45" spans="1:6">
      <c r="A45" s="1286" t="s">
        <v>32</v>
      </c>
      <c r="B45" s="1286" t="s">
        <v>37</v>
      </c>
      <c r="C45" s="335">
        <v>3</v>
      </c>
      <c r="D45" s="335">
        <v>111480841</v>
      </c>
      <c r="E45" s="335">
        <v>13</v>
      </c>
      <c r="F45" s="335">
        <v>3761264</v>
      </c>
    </row>
    <row r="46" spans="1:6">
      <c r="A46" s="1286" t="s">
        <v>32</v>
      </c>
      <c r="B46" s="1286" t="s">
        <v>38</v>
      </c>
      <c r="C46" s="335">
        <v>0</v>
      </c>
      <c r="D46" s="335">
        <v>0</v>
      </c>
      <c r="E46" s="335">
        <v>0</v>
      </c>
      <c r="F46" s="335">
        <v>0</v>
      </c>
    </row>
    <row r="47" spans="1:6">
      <c r="A47" s="1286" t="s">
        <v>32</v>
      </c>
      <c r="B47" s="1286" t="s">
        <v>39</v>
      </c>
      <c r="C47" s="335">
        <v>5</v>
      </c>
      <c r="D47" s="335">
        <v>199131</v>
      </c>
      <c r="E47" s="335">
        <v>7</v>
      </c>
      <c r="F47" s="335">
        <v>144874</v>
      </c>
    </row>
    <row r="48" spans="1:6">
      <c r="A48" s="1286" t="s">
        <v>32</v>
      </c>
      <c r="B48" s="1286" t="s">
        <v>29</v>
      </c>
      <c r="C48" s="335">
        <v>0</v>
      </c>
      <c r="D48" s="335">
        <v>0</v>
      </c>
      <c r="E48" s="335">
        <v>0</v>
      </c>
      <c r="F48" s="335">
        <v>0</v>
      </c>
    </row>
    <row r="49" spans="1:6">
      <c r="A49" s="1286" t="s">
        <v>32</v>
      </c>
      <c r="B49" s="1286" t="s">
        <v>40</v>
      </c>
      <c r="C49" s="335">
        <v>0</v>
      </c>
      <c r="D49" s="335">
        <v>0</v>
      </c>
      <c r="E49" s="335">
        <v>4</v>
      </c>
      <c r="F49" s="335">
        <v>175151</v>
      </c>
    </row>
    <row r="50" spans="1:6">
      <c r="A50" s="1286" t="s">
        <v>32</v>
      </c>
      <c r="B50" s="1286" t="s">
        <v>41</v>
      </c>
      <c r="C50" s="335">
        <v>6</v>
      </c>
      <c r="D50" s="335">
        <v>694405</v>
      </c>
      <c r="E50" s="335">
        <v>27</v>
      </c>
      <c r="F50" s="335">
        <v>895426</v>
      </c>
    </row>
    <row r="51" spans="1:6">
      <c r="A51" s="1286" t="s">
        <v>42</v>
      </c>
      <c r="B51" s="1286" t="s">
        <v>43</v>
      </c>
      <c r="C51" s="335">
        <v>12</v>
      </c>
      <c r="D51" s="335">
        <v>1705371</v>
      </c>
      <c r="E51" s="335">
        <v>117</v>
      </c>
      <c r="F51" s="335">
        <v>1591006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118</v>
      </c>
      <c r="F54" s="335">
        <v>1928662</v>
      </c>
    </row>
    <row r="55" spans="1:6">
      <c r="A55" s="1286" t="s">
        <v>46</v>
      </c>
      <c r="B55" s="1286" t="s">
        <v>29</v>
      </c>
      <c r="C55" s="335">
        <v>0</v>
      </c>
      <c r="D55" s="335">
        <v>0</v>
      </c>
      <c r="E55" s="335">
        <v>0</v>
      </c>
      <c r="F55" s="335">
        <v>0</v>
      </c>
    </row>
    <row r="56" spans="1:6">
      <c r="A56" s="1286" t="s">
        <v>48</v>
      </c>
      <c r="B56" s="1286" t="s">
        <v>29</v>
      </c>
      <c r="C56" s="335">
        <v>78</v>
      </c>
      <c r="D56" s="335">
        <v>7525553</v>
      </c>
      <c r="E56" s="335">
        <v>269</v>
      </c>
      <c r="F56" s="335">
        <v>1696139</v>
      </c>
    </row>
    <row r="57" spans="1:6">
      <c r="A57" s="1286" t="s">
        <v>49</v>
      </c>
      <c r="B57" s="1286" t="s">
        <v>50</v>
      </c>
      <c r="C57" s="335">
        <v>46</v>
      </c>
      <c r="D57" s="335">
        <v>1904522</v>
      </c>
      <c r="E57" s="335">
        <v>203</v>
      </c>
      <c r="F57" s="335">
        <v>7033792</v>
      </c>
    </row>
    <row r="58" spans="1:6">
      <c r="A58" s="1286" t="s">
        <v>49</v>
      </c>
      <c r="B58" s="1286" t="s">
        <v>51</v>
      </c>
      <c r="C58" s="335">
        <v>32</v>
      </c>
      <c r="D58" s="335">
        <v>10258120</v>
      </c>
      <c r="E58" s="335">
        <v>64</v>
      </c>
      <c r="F58" s="335">
        <v>3788965</v>
      </c>
    </row>
    <row r="59" spans="1:6">
      <c r="A59" s="1286" t="s">
        <v>49</v>
      </c>
      <c r="B59" s="1286" t="s">
        <v>52</v>
      </c>
      <c r="C59" s="335">
        <v>141</v>
      </c>
      <c r="D59" s="335">
        <v>8035770</v>
      </c>
      <c r="E59" s="335">
        <v>372</v>
      </c>
      <c r="F59" s="335">
        <v>10891189</v>
      </c>
    </row>
    <row r="60" spans="1:6">
      <c r="A60" s="1286" t="s">
        <v>49</v>
      </c>
      <c r="B60" s="1286" t="s">
        <v>53</v>
      </c>
      <c r="C60" s="335">
        <v>66</v>
      </c>
      <c r="D60" s="335">
        <v>3775093</v>
      </c>
      <c r="E60" s="335">
        <v>129</v>
      </c>
      <c r="F60" s="335">
        <v>3239826</v>
      </c>
    </row>
    <row r="61" spans="1:6">
      <c r="A61" s="1286" t="s">
        <v>49</v>
      </c>
      <c r="B61" s="1286" t="s">
        <v>54</v>
      </c>
      <c r="C61" s="335">
        <v>123</v>
      </c>
      <c r="D61" s="335">
        <v>3728912</v>
      </c>
      <c r="E61" s="335">
        <v>430</v>
      </c>
      <c r="F61" s="335">
        <v>6740366</v>
      </c>
    </row>
    <row r="62" spans="1:6">
      <c r="A62" s="1286" t="s">
        <v>49</v>
      </c>
      <c r="B62" s="1286" t="s">
        <v>55</v>
      </c>
      <c r="C62" s="335">
        <v>11</v>
      </c>
      <c r="D62" s="335">
        <v>1917364</v>
      </c>
      <c r="E62" s="335">
        <v>31</v>
      </c>
      <c r="F62" s="335">
        <v>793842</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57773</v>
      </c>
      <c r="E65" s="335">
        <v>1</v>
      </c>
      <c r="F65" s="335">
        <v>19872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96739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114801555</v>
      </c>
      <c r="E73" s="335">
        <v>155064314.14319578</v>
      </c>
    </row>
    <row r="74" spans="1:6">
      <c r="A74" s="1286" t="s">
        <v>64</v>
      </c>
      <c r="B74" s="1286" t="s">
        <v>772</v>
      </c>
      <c r="C74" s="1297" t="s">
        <v>766</v>
      </c>
      <c r="D74" s="335">
        <v>7034018.8191731339</v>
      </c>
      <c r="E74" s="335">
        <v>9688277.2347544506</v>
      </c>
    </row>
    <row r="75" spans="1:6">
      <c r="A75" s="1286" t="s">
        <v>65</v>
      </c>
      <c r="B75" s="1286" t="s">
        <v>771</v>
      </c>
      <c r="C75" s="1297" t="s">
        <v>767</v>
      </c>
      <c r="D75" s="335">
        <v>42172828</v>
      </c>
      <c r="E75" s="335">
        <v>61095694.828505352</v>
      </c>
    </row>
    <row r="76" spans="1:6">
      <c r="A76" s="1286" t="s">
        <v>65</v>
      </c>
      <c r="B76" s="1286" t="s">
        <v>772</v>
      </c>
      <c r="C76" s="1297" t="s">
        <v>768</v>
      </c>
      <c r="D76" s="335">
        <v>621971.81917313393</v>
      </c>
      <c r="E76" s="335">
        <v>1034111.793342686</v>
      </c>
    </row>
    <row r="77" spans="1:6">
      <c r="A77" s="1286" t="s">
        <v>66</v>
      </c>
      <c r="B77" s="1286" t="s">
        <v>771</v>
      </c>
      <c r="C77" s="1297" t="s">
        <v>769</v>
      </c>
      <c r="D77" s="335">
        <v>48840695</v>
      </c>
      <c r="E77" s="335">
        <v>52508207.013215013</v>
      </c>
    </row>
    <row r="78" spans="1:6">
      <c r="A78" s="1282" t="s">
        <v>66</v>
      </c>
      <c r="B78" s="1282" t="s">
        <v>772</v>
      </c>
      <c r="C78" s="1282" t="s">
        <v>770</v>
      </c>
      <c r="D78" s="1282">
        <v>9789650</v>
      </c>
      <c r="E78" s="1282">
        <v>9783965.4673394691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826044.36165373202</v>
      </c>
      <c r="C83" s="335">
        <v>781160.70568756794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7187.7124198446863</v>
      </c>
    </row>
    <row r="92" spans="1:6">
      <c r="A92" s="1282" t="s">
        <v>69</v>
      </c>
      <c r="B92" s="338">
        <v>5110.6203481815082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1612</v>
      </c>
    </row>
    <row r="98" spans="1:6">
      <c r="A98" s="1286" t="s">
        <v>72</v>
      </c>
      <c r="B98" s="335">
        <v>4</v>
      </c>
    </row>
    <row r="99" spans="1:6">
      <c r="A99" s="1286" t="s">
        <v>73</v>
      </c>
      <c r="B99" s="335">
        <v>46</v>
      </c>
    </row>
    <row r="100" spans="1:6">
      <c r="A100" s="1286" t="s">
        <v>74</v>
      </c>
      <c r="B100" s="335">
        <v>530</v>
      </c>
    </row>
    <row r="101" spans="1:6">
      <c r="A101" s="1286" t="s">
        <v>75</v>
      </c>
      <c r="B101" s="335">
        <v>102</v>
      </c>
    </row>
    <row r="102" spans="1:6">
      <c r="A102" s="1286" t="s">
        <v>76</v>
      </c>
      <c r="B102" s="335">
        <v>145</v>
      </c>
    </row>
    <row r="103" spans="1:6">
      <c r="A103" s="1286" t="s">
        <v>77</v>
      </c>
      <c r="B103" s="335">
        <v>254</v>
      </c>
    </row>
    <row r="104" spans="1:6">
      <c r="A104" s="1286" t="s">
        <v>78</v>
      </c>
      <c r="B104" s="335">
        <v>8045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43</v>
      </c>
    </row>
    <row r="124" spans="1:6">
      <c r="A124" s="1282" t="s">
        <v>89</v>
      </c>
      <c r="B124" s="335">
        <v>3</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92</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113899.04577498615</v>
      </c>
      <c r="C3" s="44" t="s">
        <v>170</v>
      </c>
      <c r="D3" s="44"/>
      <c r="E3" s="157"/>
      <c r="F3" s="44"/>
      <c r="G3" s="44"/>
      <c r="H3" s="44"/>
      <c r="I3" s="44"/>
      <c r="J3" s="44"/>
      <c r="K3" s="97"/>
    </row>
    <row r="4" spans="1:11">
      <c r="A4" s="365" t="s">
        <v>171</v>
      </c>
      <c r="B4" s="50">
        <f>IF(ISERROR('SEAP template'!B78),0,'SEAP template'!B78)</f>
        <v>12298.332768026194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1101.4941176470588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0.20680815657332116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1573.5630252100839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6621.4285714285716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1928.662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1928.662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0.20680815657332116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398.86303287301473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48805.233</v>
      </c>
      <c r="C5" s="18">
        <f>IF(ISERROR('Eigen informatie GS &amp; warmtenet'!B57),0,'Eigen informatie GS &amp; warmtenet'!B57)</f>
        <v>0</v>
      </c>
      <c r="D5" s="31">
        <f>(SUM(HH_hh_gas_kWh,HH_rest_gas_kWh)/1000)*0.902</f>
        <v>77633.960183999996</v>
      </c>
      <c r="E5" s="18">
        <f>B46*B57</f>
        <v>3752.5440131584746</v>
      </c>
      <c r="F5" s="18">
        <f>B51*B62</f>
        <v>93411.106446991645</v>
      </c>
      <c r="G5" s="19"/>
      <c r="H5" s="18"/>
      <c r="I5" s="18"/>
      <c r="J5" s="18">
        <f>B50*B61+C50*C61</f>
        <v>0</v>
      </c>
      <c r="K5" s="18"/>
      <c r="L5" s="18"/>
      <c r="M5" s="18"/>
      <c r="N5" s="18">
        <f>B48*B59+C48*C59</f>
        <v>27022.340949873338</v>
      </c>
      <c r="O5" s="18">
        <f>B69*B70*B71</f>
        <v>211.05</v>
      </c>
      <c r="P5" s="18">
        <f>B77*B78*B79/1000-B77*B78*B79/1000/B80</f>
        <v>648.26666666666665</v>
      </c>
    </row>
    <row r="6" spans="1:16">
      <c r="A6" s="17" t="s">
        <v>639</v>
      </c>
      <c r="B6" s="780">
        <f>kWh_PV_kleiner_dan_10kW</f>
        <v>7187.7124198446863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55992.945419844684</v>
      </c>
      <c r="C8" s="22">
        <f>C5</f>
        <v>0</v>
      </c>
      <c r="D8" s="22">
        <f>D5</f>
        <v>77633.960183999996</v>
      </c>
      <c r="E8" s="22">
        <f>E5</f>
        <v>3752.5440131584746</v>
      </c>
      <c r="F8" s="22">
        <f>F5</f>
        <v>93411.106446991645</v>
      </c>
      <c r="G8" s="22"/>
      <c r="H8" s="22"/>
      <c r="I8" s="22"/>
      <c r="J8" s="22">
        <f>J5</f>
        <v>0</v>
      </c>
      <c r="K8" s="22"/>
      <c r="L8" s="22">
        <f>L5</f>
        <v>0</v>
      </c>
      <c r="M8" s="22">
        <f>M5</f>
        <v>0</v>
      </c>
      <c r="N8" s="22">
        <f>N5</f>
        <v>27022.340949873338</v>
      </c>
      <c r="O8" s="22">
        <f>O5</f>
        <v>211.05</v>
      </c>
      <c r="P8" s="22">
        <f>P5</f>
        <v>648.26666666666665</v>
      </c>
    </row>
    <row r="9" spans="1:16">
      <c r="B9" s="20"/>
      <c r="C9" s="20"/>
      <c r="D9" s="262"/>
      <c r="E9" s="20"/>
      <c r="F9" s="20"/>
      <c r="G9" s="20"/>
      <c r="H9" s="20"/>
      <c r="I9" s="20"/>
      <c r="J9" s="20"/>
      <c r="K9" s="20"/>
      <c r="L9" s="20"/>
      <c r="M9" s="20"/>
      <c r="N9" s="20"/>
      <c r="O9" s="20"/>
      <c r="P9" s="20"/>
    </row>
    <row r="10" spans="1:16">
      <c r="A10" s="25" t="s">
        <v>214</v>
      </c>
      <c r="B10" s="26">
        <f ca="1">'EF ele_warmte'!B12</f>
        <v>0.20680815657332116</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11579.797823388666</v>
      </c>
      <c r="C12" s="24">
        <f ca="1">C10*C8</f>
        <v>0</v>
      </c>
      <c r="D12" s="24">
        <f>D8*D10</f>
        <v>15682.059957168</v>
      </c>
      <c r="E12" s="24">
        <f>E10*E8</f>
        <v>851.82749098697377</v>
      </c>
      <c r="F12" s="24">
        <f>F10*F8</f>
        <v>24940.765421346772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1612</v>
      </c>
      <c r="C18" s="169" t="s">
        <v>111</v>
      </c>
      <c r="D18" s="231"/>
      <c r="E18" s="16"/>
    </row>
    <row r="19" spans="1:7">
      <c r="A19" s="174" t="s">
        <v>72</v>
      </c>
      <c r="B19" s="38">
        <f>aantalw2001_ander</f>
        <v>4</v>
      </c>
      <c r="C19" s="169" t="s">
        <v>111</v>
      </c>
      <c r="D19" s="232"/>
      <c r="E19" s="16"/>
    </row>
    <row r="20" spans="1:7">
      <c r="A20" s="174" t="s">
        <v>73</v>
      </c>
      <c r="B20" s="38">
        <f>aantalw2001_propaan</f>
        <v>46</v>
      </c>
      <c r="C20" s="170">
        <f>IF(ISERROR(B20/SUM($B$20,$B$21,$B$22)*100),0,B20/SUM($B$20,$B$21,$B$22)*100)</f>
        <v>6.7846607669616521</v>
      </c>
      <c r="D20" s="232"/>
      <c r="E20" s="16"/>
    </row>
    <row r="21" spans="1:7">
      <c r="A21" s="174" t="s">
        <v>74</v>
      </c>
      <c r="B21" s="38">
        <f>aantalw2001_elektriciteit</f>
        <v>530</v>
      </c>
      <c r="C21" s="170">
        <f>IF(ISERROR(B21/SUM($B$20,$B$21,$B$22)*100),0,B21/SUM($B$20,$B$21,$B$22)*100)</f>
        <v>78.171091445427734</v>
      </c>
      <c r="D21" s="232"/>
      <c r="E21" s="16"/>
    </row>
    <row r="22" spans="1:7">
      <c r="A22" s="174" t="s">
        <v>75</v>
      </c>
      <c r="B22" s="38">
        <f>aantalw2001_hout</f>
        <v>102</v>
      </c>
      <c r="C22" s="170">
        <f>IF(ISERROR(B22/SUM($B$20,$B$21,$B$22)*100),0,B22/SUM($B$20,$B$21,$B$22)*100)</f>
        <v>15.044247787610621</v>
      </c>
      <c r="D22" s="232"/>
      <c r="E22" s="16"/>
    </row>
    <row r="23" spans="1:7">
      <c r="A23" s="174" t="s">
        <v>76</v>
      </c>
      <c r="B23" s="38">
        <f>aantalw2001_niet_gespec</f>
        <v>145</v>
      </c>
      <c r="C23" s="169" t="s">
        <v>111</v>
      </c>
      <c r="D23" s="231"/>
      <c r="E23" s="16"/>
    </row>
    <row r="24" spans="1:7">
      <c r="A24" s="174" t="s">
        <v>77</v>
      </c>
      <c r="B24" s="38">
        <f>aantalw2001_steenkool</f>
        <v>254</v>
      </c>
      <c r="C24" s="169" t="s">
        <v>111</v>
      </c>
      <c r="D24" s="232"/>
      <c r="E24" s="16"/>
    </row>
    <row r="25" spans="1:7">
      <c r="A25" s="174" t="s">
        <v>78</v>
      </c>
      <c r="B25" s="38">
        <f>aantalw2001_stookolie</f>
        <v>8045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12569</v>
      </c>
      <c r="C28" s="37"/>
      <c r="D28" s="231"/>
    </row>
    <row r="29" spans="1:7" s="16" customFormat="1">
      <c r="A29" s="233" t="s">
        <v>666</v>
      </c>
      <c r="B29" s="38">
        <f>SUM(HH_hh_gas_aantal,HH_rest_gas_aantal)</f>
        <v>5293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5293</v>
      </c>
      <c r="C32" s="170">
        <f>IF(ISERROR(B32/SUM($B$32,$B$34,$B$35,$B$36,$B$38,$B$39)*100),0,B32/SUM($B$32,$B$34,$B$35,$B$36,$B$38,$B$39)*100)</f>
        <v>42.225767850019949</v>
      </c>
      <c r="D32" s="236"/>
      <c r="G32" s="16"/>
    </row>
    <row r="33" spans="1:7">
      <c r="A33" s="174" t="s">
        <v>72</v>
      </c>
      <c r="B33" s="35" t="s">
        <v>111</v>
      </c>
      <c r="C33" s="170"/>
      <c r="D33" s="236"/>
      <c r="G33" s="16"/>
    </row>
    <row r="34" spans="1:7">
      <c r="A34" s="174" t="s">
        <v>73</v>
      </c>
      <c r="B34" s="34">
        <f>IF((($B$28-$B$32-$B$39-$B$77-$B$38)*C20/100)&lt;0,0,($B$28-$B$32-$B$39-$B$77-$B$38)*C20/100)</f>
        <v>170.28820058997047</v>
      </c>
      <c r="C34" s="170">
        <f>IF(ISERROR(B34/SUM($B$32,$B$34,$B$35,$B$36,$B$38,$B$39)*100),0,B34/SUM($B$32,$B$34,$B$35,$B$36,$B$38,$B$39)*100)</f>
        <v>1.3585017996806579</v>
      </c>
      <c r="D34" s="236"/>
      <c r="G34" s="16"/>
    </row>
    <row r="35" spans="1:7">
      <c r="A35" s="174" t="s">
        <v>74</v>
      </c>
      <c r="B35" s="34">
        <f>IF((($B$28-$B$32-$B$39-$B$77-$B$38)*C21/100)&lt;0,0,($B$28-$B$32-$B$39-$B$77-$B$38)*C21/100)</f>
        <v>1962.0162241887904</v>
      </c>
      <c r="C35" s="170">
        <f>IF(ISERROR(B35/SUM($B$32,$B$34,$B$35,$B$36,$B$38,$B$39)*100),0,B35/SUM($B$32,$B$34,$B$35,$B$36,$B$38,$B$39)*100)</f>
        <v>15.652303344146713</v>
      </c>
      <c r="D35" s="236"/>
      <c r="G35" s="16"/>
    </row>
    <row r="36" spans="1:7">
      <c r="A36" s="174" t="s">
        <v>75</v>
      </c>
      <c r="B36" s="34">
        <f>IF((($B$28-$B$32-$B$39-$B$77-$B$38)*C22/100)&lt;0,0,($B$28-$B$32-$B$39-$B$77-$B$38)*C22/100)</f>
        <v>377.5955752212389</v>
      </c>
      <c r="C36" s="170">
        <f>IF(ISERROR(B36/SUM($B$32,$B$34,$B$35,$B$36,$B$38,$B$39)*100),0,B36/SUM($B$32,$B$34,$B$35,$B$36,$B$38,$B$39)*100)</f>
        <v>3.0123300775527633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4732.1000000000004</v>
      </c>
      <c r="C39" s="170">
        <f>IF(ISERROR(B39/SUM($B$32,$B$34,$B$35,$B$36,$B$38,$B$39)*100),0,B39/SUM($B$32,$B$34,$B$35,$B$36,$B$38,$B$39)*100)</f>
        <v>37.751096928599928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5293</v>
      </c>
      <c r="C44" s="35" t="s">
        <v>111</v>
      </c>
      <c r="D44" s="177"/>
    </row>
    <row r="45" spans="1:7">
      <c r="A45" s="174" t="s">
        <v>72</v>
      </c>
      <c r="B45" s="34" t="str">
        <f t="shared" si="0"/>
        <v>-</v>
      </c>
      <c r="C45" s="35" t="s">
        <v>111</v>
      </c>
      <c r="D45" s="177"/>
    </row>
    <row r="46" spans="1:7">
      <c r="A46" s="174" t="s">
        <v>73</v>
      </c>
      <c r="B46" s="34">
        <f t="shared" si="0"/>
        <v>170.28820058997047</v>
      </c>
      <c r="C46" s="35" t="s">
        <v>111</v>
      </c>
      <c r="D46" s="177"/>
    </row>
    <row r="47" spans="1:7">
      <c r="A47" s="174" t="s">
        <v>74</v>
      </c>
      <c r="B47" s="34">
        <f t="shared" si="0"/>
        <v>1962.0162241887904</v>
      </c>
      <c r="C47" s="35" t="s">
        <v>111</v>
      </c>
      <c r="D47" s="177"/>
    </row>
    <row r="48" spans="1:7">
      <c r="A48" s="174" t="s">
        <v>75</v>
      </c>
      <c r="B48" s="34">
        <f t="shared" si="0"/>
        <v>377.5955752212389</v>
      </c>
      <c r="C48" s="34">
        <f>B48*10</f>
        <v>3775.9557522123891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4732.1000000000004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32487.980000000003</v>
      </c>
      <c r="C5" s="18">
        <f>IF(ISERROR('Eigen informatie GS &amp; warmtenet'!B58),0,'Eigen informatie GS &amp; warmtenet'!B58)</f>
        <v>0</v>
      </c>
      <c r="D5" s="31">
        <f>SUM(D6:D12)</f>
        <v>26717.042462000005</v>
      </c>
      <c r="E5" s="18">
        <f>SUM(E6:E12)</f>
        <v>299.62386979770304</v>
      </c>
      <c r="F5" s="18">
        <f>SUM(F6:F12)</f>
        <v>7432.8665360662189</v>
      </c>
      <c r="G5" s="19"/>
      <c r="H5" s="18"/>
      <c r="I5" s="18"/>
      <c r="J5" s="18">
        <f>SUM(J6:J12)</f>
        <v>0</v>
      </c>
      <c r="K5" s="18"/>
      <c r="L5" s="18"/>
      <c r="M5" s="18"/>
      <c r="N5" s="18">
        <f>SUM(N6:N12)</f>
        <v>4148.6665681843579</v>
      </c>
      <c r="O5" s="18">
        <f>B38*B39*B40</f>
        <v>0</v>
      </c>
      <c r="P5" s="18">
        <f>B46*B47*B48/1000-B46*B47*B48/1000/B49</f>
        <v>0</v>
      </c>
      <c r="R5" s="33"/>
    </row>
    <row r="6" spans="1:18">
      <c r="A6" s="33" t="s">
        <v>54</v>
      </c>
      <c r="B6" s="38">
        <f>B26</f>
        <v>6740.366</v>
      </c>
      <c r="C6" s="34"/>
      <c r="D6" s="38">
        <f>IF(ISERROR(TER_kantoor_gas_kWh/1000),0,TER_kantoor_gas_kWh/1000)*0.902</f>
        <v>3363.4786239999999</v>
      </c>
      <c r="E6" s="34">
        <f>$C$26*'E Balans VL '!I12/100/3.6*1000000</f>
        <v>11.062306715401483</v>
      </c>
      <c r="F6" s="34">
        <f>$C$26*('E Balans VL '!L12+'E Balans VL '!N12)/100/3.6*1000000</f>
        <v>794.53055920029726</v>
      </c>
      <c r="G6" s="35"/>
      <c r="H6" s="34"/>
      <c r="I6" s="34"/>
      <c r="J6" s="34">
        <f>$C$26*('E Balans VL '!D12+'E Balans VL '!E12)/100/3.6*1000000</f>
        <v>0</v>
      </c>
      <c r="K6" s="34"/>
      <c r="L6" s="34"/>
      <c r="M6" s="34"/>
      <c r="N6" s="34">
        <f>$C$26*'E Balans VL '!Y12/100/3.6*1000000</f>
        <v>1.3618590320539263</v>
      </c>
      <c r="O6" s="34"/>
      <c r="P6" s="34"/>
      <c r="R6" s="33"/>
    </row>
    <row r="7" spans="1:18">
      <c r="A7" s="33" t="s">
        <v>53</v>
      </c>
      <c r="B7" s="38">
        <f t="shared" ref="B7:B12" si="0">B27</f>
        <v>3239.826</v>
      </c>
      <c r="C7" s="34"/>
      <c r="D7" s="38">
        <f>IF(ISERROR(TER_horeca_gas_kWh/1000),0,TER_horeca_gas_kWh/1000)*0.902</f>
        <v>3405.1338860000001</v>
      </c>
      <c r="E7" s="34">
        <f>$C$27*'E Balans VL '!I9/100/3.6*1000000</f>
        <v>168.1235255173836</v>
      </c>
      <c r="F7" s="34">
        <f>$C$27*('E Balans VL '!L9+'E Balans VL '!N9)/100/3.6*1000000</f>
        <v>739.33064402939681</v>
      </c>
      <c r="G7" s="35"/>
      <c r="H7" s="34"/>
      <c r="I7" s="34"/>
      <c r="J7" s="34">
        <f>$C$27*('E Balans VL '!D9+'E Balans VL '!E9)/100/3.6*1000000</f>
        <v>0</v>
      </c>
      <c r="K7" s="34"/>
      <c r="L7" s="34"/>
      <c r="M7" s="34"/>
      <c r="N7" s="34">
        <f>$C$27*'E Balans VL '!Y9/100/3.6*1000000</f>
        <v>0.34212414088496129</v>
      </c>
      <c r="O7" s="34"/>
      <c r="P7" s="34"/>
      <c r="R7" s="33"/>
    </row>
    <row r="8" spans="1:18">
      <c r="A8" s="6" t="s">
        <v>52</v>
      </c>
      <c r="B8" s="38">
        <f t="shared" si="0"/>
        <v>10891.189</v>
      </c>
      <c r="C8" s="34"/>
      <c r="D8" s="38">
        <f>IF(ISERROR(TER_handel_gas_kWh/1000),0,TER_handel_gas_kWh/1000)*0.902</f>
        <v>7248.264540000001</v>
      </c>
      <c r="E8" s="34">
        <f>$C$28*'E Balans VL '!I13/100/3.6*1000000</f>
        <v>58.650391114247114</v>
      </c>
      <c r="F8" s="34">
        <f>$C$28*('E Balans VL '!L13+'E Balans VL '!N13)/100/3.6*1000000</f>
        <v>2221.0370940863431</v>
      </c>
      <c r="G8" s="35"/>
      <c r="H8" s="34"/>
      <c r="I8" s="34"/>
      <c r="J8" s="34">
        <f>$C$28*('E Balans VL '!D13+'E Balans VL '!E13)/100/3.6*1000000</f>
        <v>0</v>
      </c>
      <c r="K8" s="34"/>
      <c r="L8" s="34"/>
      <c r="M8" s="34"/>
      <c r="N8" s="34">
        <f>$C$28*'E Balans VL '!Y13/100/3.6*1000000</f>
        <v>54.156131424872129</v>
      </c>
      <c r="O8" s="34"/>
      <c r="P8" s="34"/>
      <c r="R8" s="33"/>
    </row>
    <row r="9" spans="1:18">
      <c r="A9" s="33" t="s">
        <v>51</v>
      </c>
      <c r="B9" s="38">
        <f t="shared" si="0"/>
        <v>3788.9650000000001</v>
      </c>
      <c r="C9" s="34"/>
      <c r="D9" s="38">
        <f>IF(ISERROR(TER_gezond_gas_kWh/1000),0,TER_gezond_gas_kWh/1000)*0.902</f>
        <v>9252.8242400000017</v>
      </c>
      <c r="E9" s="34">
        <f>$C$29*'E Balans VL '!I10/100/3.6*1000000</f>
        <v>3.7549074029316558</v>
      </c>
      <c r="F9" s="34">
        <f>$C$29*('E Balans VL '!L10+'E Balans VL '!N10)/100/3.6*1000000</f>
        <v>1314.6616422737509</v>
      </c>
      <c r="G9" s="35"/>
      <c r="H9" s="34"/>
      <c r="I9" s="34"/>
      <c r="J9" s="34">
        <f>$C$29*('E Balans VL '!D10+'E Balans VL '!E10)/100/3.6*1000000</f>
        <v>0</v>
      </c>
      <c r="K9" s="34"/>
      <c r="L9" s="34"/>
      <c r="M9" s="34"/>
      <c r="N9" s="34">
        <f>$C$29*'E Balans VL '!Y10/100/3.6*1000000</f>
        <v>32.649183168535714</v>
      </c>
      <c r="O9" s="34"/>
      <c r="P9" s="34"/>
      <c r="R9" s="33"/>
    </row>
    <row r="10" spans="1:18">
      <c r="A10" s="33" t="s">
        <v>50</v>
      </c>
      <c r="B10" s="38">
        <f t="shared" si="0"/>
        <v>7033.7920000000004</v>
      </c>
      <c r="C10" s="34"/>
      <c r="D10" s="38">
        <f>IF(ISERROR(TER_ander_gas_kWh/1000),0,TER_ander_gas_kWh/1000)*0.902</f>
        <v>1717.8788440000001</v>
      </c>
      <c r="E10" s="34">
        <f>$C$30*'E Balans VL '!I14/100/3.6*1000000</f>
        <v>57.54344833445866</v>
      </c>
      <c r="F10" s="34">
        <f>$C$30*('E Balans VL '!L14+'E Balans VL '!N14)/100/3.6*1000000</f>
        <v>2056.3944232677532</v>
      </c>
      <c r="G10" s="35"/>
      <c r="H10" s="34"/>
      <c r="I10" s="34"/>
      <c r="J10" s="34">
        <f>$C$30*('E Balans VL '!D14+'E Balans VL '!E14)/100/3.6*1000000</f>
        <v>0</v>
      </c>
      <c r="K10" s="34"/>
      <c r="L10" s="34"/>
      <c r="M10" s="34"/>
      <c r="N10" s="34">
        <f>$C$30*'E Balans VL '!Y14/100/3.6*1000000</f>
        <v>4057.5750725087196</v>
      </c>
      <c r="O10" s="34"/>
      <c r="P10" s="34"/>
      <c r="R10" s="33"/>
    </row>
    <row r="11" spans="1:18">
      <c r="A11" s="33" t="s">
        <v>55</v>
      </c>
      <c r="B11" s="38">
        <f t="shared" si="0"/>
        <v>793.84199999999998</v>
      </c>
      <c r="C11" s="34"/>
      <c r="D11" s="38">
        <f>IF(ISERROR(TER_onderwijs_gas_kWh/1000),0,TER_onderwijs_gas_kWh/1000)*0.902</f>
        <v>1729.4623280000001</v>
      </c>
      <c r="E11" s="34">
        <f>$C$31*'E Balans VL '!I11/100/3.6*1000000</f>
        <v>0.48929071328052387</v>
      </c>
      <c r="F11" s="34">
        <f>$C$31*('E Balans VL '!L11+'E Balans VL '!N11)/100/3.6*1000000</f>
        <v>306.91217320867815</v>
      </c>
      <c r="G11" s="35"/>
      <c r="H11" s="34"/>
      <c r="I11" s="34"/>
      <c r="J11" s="34">
        <f>$C$31*('E Balans VL '!D11+'E Balans VL '!E11)/100/3.6*1000000</f>
        <v>0</v>
      </c>
      <c r="K11" s="34"/>
      <c r="L11" s="34"/>
      <c r="M11" s="34"/>
      <c r="N11" s="34">
        <f>$C$31*'E Balans VL '!Y11/100/3.6*1000000</f>
        <v>2.5821979092916374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32487.980000000003</v>
      </c>
      <c r="C16" s="22">
        <f t="shared" ca="1" si="1"/>
        <v>0</v>
      </c>
      <c r="D16" s="22">
        <f t="shared" ca="1" si="1"/>
        <v>26717.042462000005</v>
      </c>
      <c r="E16" s="22">
        <f t="shared" si="1"/>
        <v>299.62386979770304</v>
      </c>
      <c r="F16" s="22">
        <f t="shared" ca="1" si="1"/>
        <v>7432.8665360662189</v>
      </c>
      <c r="G16" s="22">
        <f t="shared" si="1"/>
        <v>0</v>
      </c>
      <c r="H16" s="22">
        <f t="shared" si="1"/>
        <v>0</v>
      </c>
      <c r="I16" s="22">
        <f t="shared" si="1"/>
        <v>0</v>
      </c>
      <c r="J16" s="22">
        <f t="shared" si="1"/>
        <v>0</v>
      </c>
      <c r="K16" s="22">
        <f t="shared" si="1"/>
        <v>0</v>
      </c>
      <c r="L16" s="22">
        <f t="shared" ca="1" si="1"/>
        <v>0</v>
      </c>
      <c r="M16" s="22">
        <f t="shared" si="1"/>
        <v>0</v>
      </c>
      <c r="N16" s="22">
        <f t="shared" ca="1" si="1"/>
        <v>4148.6665681843579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0.20680815657332116</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6718.7792545909269</v>
      </c>
      <c r="C20" s="24">
        <f t="shared" ref="C20:P20" ca="1" si="2">C16*C18</f>
        <v>0</v>
      </c>
      <c r="D20" s="24">
        <f t="shared" ca="1" si="2"/>
        <v>5396.8425773240015</v>
      </c>
      <c r="E20" s="24">
        <f t="shared" si="2"/>
        <v>68.014618444078593</v>
      </c>
      <c r="F20" s="24">
        <f t="shared" ca="1" si="2"/>
        <v>1984.5753651296807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6740.366</v>
      </c>
      <c r="C26" s="40">
        <f>IF(ISERROR(B26*3.6/1000000/'E Balans VL '!Z12*100),0,B26*3.6/1000000/'E Balans VL '!Z12*100)</f>
        <v>0.14322794377429551</v>
      </c>
      <c r="D26" s="240" t="s">
        <v>707</v>
      </c>
      <c r="F26" s="6"/>
    </row>
    <row r="27" spans="1:18">
      <c r="A27" s="234" t="s">
        <v>53</v>
      </c>
      <c r="B27" s="34">
        <f>IF(ISERROR(TER_horeca_ele_kWh/1000),0,TER_horeca_ele_kWh/1000)</f>
        <v>3239.826</v>
      </c>
      <c r="C27" s="40">
        <f>IF(ISERROR(B27*3.6/1000000/'E Balans VL '!Z9*100),0,B27*3.6/1000000/'E Balans VL '!Z9*100)</f>
        <v>0.25499935966580967</v>
      </c>
      <c r="D27" s="240" t="s">
        <v>707</v>
      </c>
      <c r="F27" s="6"/>
    </row>
    <row r="28" spans="1:18">
      <c r="A28" s="174" t="s">
        <v>52</v>
      </c>
      <c r="B28" s="34">
        <f>IF(ISERROR(TER_handel_ele_kWh/1000),0,TER_handel_ele_kWh/1000)</f>
        <v>10891.189</v>
      </c>
      <c r="C28" s="40">
        <f>IF(ISERROR(B28*3.6/1000000/'E Balans VL '!Z13*100),0,B28*3.6/1000000/'E Balans VL '!Z13*100)</f>
        <v>0.3050680326242361</v>
      </c>
      <c r="D28" s="240" t="s">
        <v>707</v>
      </c>
      <c r="F28" s="6"/>
    </row>
    <row r="29" spans="1:18">
      <c r="A29" s="234" t="s">
        <v>51</v>
      </c>
      <c r="B29" s="34">
        <f>IF(ISERROR(TER_gezond_ele_kWh/1000),0,TER_gezond_ele_kWh/1000)</f>
        <v>3788.9650000000001</v>
      </c>
      <c r="C29" s="40">
        <f>IF(ISERROR(B29*3.6/1000000/'E Balans VL '!Z10*100),0,B29*3.6/1000000/'E Balans VL '!Z10*100)</f>
        <v>0.48472319718721446</v>
      </c>
      <c r="D29" s="240" t="s">
        <v>707</v>
      </c>
      <c r="F29" s="6"/>
    </row>
    <row r="30" spans="1:18">
      <c r="A30" s="234" t="s">
        <v>50</v>
      </c>
      <c r="B30" s="34">
        <f>IF(ISERROR(TER_ander_ele_kWh/1000),0,TER_ander_ele_kWh/1000)</f>
        <v>7033.7920000000004</v>
      </c>
      <c r="C30" s="40">
        <f>IF(ISERROR(B30*3.6/1000000/'E Balans VL '!Z14*100),0,B30*3.6/1000000/'E Balans VL '!Z14*100)</f>
        <v>0.52606837383326521</v>
      </c>
      <c r="D30" s="240" t="s">
        <v>707</v>
      </c>
      <c r="F30" s="6"/>
    </row>
    <row r="31" spans="1:18">
      <c r="A31" s="234" t="s">
        <v>55</v>
      </c>
      <c r="B31" s="34">
        <f>IF(ISERROR(TER_onderwijs_ele_kWh/1000),0,TER_onderwijs_ele_kWh/1000)</f>
        <v>793.84199999999998</v>
      </c>
      <c r="C31" s="40">
        <f>IF(ISERROR(B31*3.6/1000000/'E Balans VL '!Z11*100),0,B31*3.6/1000000/'E Balans VL '!Z11*100)</f>
        <v>0.167620766588227</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15562.983</v>
      </c>
      <c r="C5" s="18">
        <f>IF(ISERROR('Eigen informatie GS &amp; warmtenet'!B59),0,'Eigen informatie GS &amp; warmtenet'!B59)</f>
        <v>0</v>
      </c>
      <c r="D5" s="31">
        <f>SUM(D6:D15)</f>
        <v>107648.19148600001</v>
      </c>
      <c r="E5" s="18">
        <f>SUM(E6:E15)</f>
        <v>174.20079960207116</v>
      </c>
      <c r="F5" s="18">
        <f>SUM(F6:F15)</f>
        <v>8878.441130932415</v>
      </c>
      <c r="G5" s="19"/>
      <c r="H5" s="18"/>
      <c r="I5" s="18"/>
      <c r="J5" s="18">
        <f>SUM(J6:J15)</f>
        <v>43.36992967930221</v>
      </c>
      <c r="K5" s="18"/>
      <c r="L5" s="18"/>
      <c r="M5" s="18"/>
      <c r="N5" s="18">
        <f>SUM(N6:N15)</f>
        <v>792.71068514700096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1074.8869999999999</v>
      </c>
      <c r="C8" s="34"/>
      <c r="D8" s="38">
        <f>IF( ISERROR(IND_metaal_Gas_kWH/1000),0,IND_metaal_Gas_kWH/1000)*0.902</f>
        <v>3543.0217240000002</v>
      </c>
      <c r="E8" s="34">
        <f>C30*'E Balans VL '!I18/100/3.6*1000000</f>
        <v>9.78880220108298</v>
      </c>
      <c r="F8" s="34">
        <f>C30*'E Balans VL '!L18/100/3.6*1000000+C30*'E Balans VL '!N18/100/3.6*1000000</f>
        <v>141.76943246792092</v>
      </c>
      <c r="G8" s="35"/>
      <c r="H8" s="34"/>
      <c r="I8" s="34"/>
      <c r="J8" s="41">
        <f>C30*'E Balans VL '!D18/100/3.6*1000000+C30*'E Balans VL '!E18/100/3.6*1000000</f>
        <v>17.626586120274393</v>
      </c>
      <c r="K8" s="34"/>
      <c r="L8" s="34"/>
      <c r="M8" s="34"/>
      <c r="N8" s="34">
        <f>C30*'E Balans VL '!Y18/100/3.6*1000000</f>
        <v>3.6939596212345815</v>
      </c>
      <c r="O8" s="34"/>
      <c r="P8" s="34"/>
      <c r="R8" s="33"/>
    </row>
    <row r="9" spans="1:18">
      <c r="A9" s="6" t="s">
        <v>33</v>
      </c>
      <c r="B9" s="38">
        <f t="shared" si="0"/>
        <v>9511.3809999999994</v>
      </c>
      <c r="C9" s="34"/>
      <c r="D9" s="38">
        <f>IF( ISERROR(IND_andere_gas_kWh/1000),0,IND_andere_gas_kWh/1000)*0.902</f>
        <v>2743.4817080000003</v>
      </c>
      <c r="E9" s="34">
        <f>C31*'E Balans VL '!I19/100/3.6*1000000</f>
        <v>54.977203538325654</v>
      </c>
      <c r="F9" s="34">
        <f>C31*'E Balans VL '!L19/100/3.6*1000000+C31*'E Balans VL '!N19/100/3.6*1000000</f>
        <v>7566.7612550430686</v>
      </c>
      <c r="G9" s="35"/>
      <c r="H9" s="34"/>
      <c r="I9" s="34"/>
      <c r="J9" s="41">
        <f>C31*'E Balans VL '!D19/100/3.6*1000000+C31*'E Balans VL '!E19/100/3.6*1000000</f>
        <v>0.89967099317224486</v>
      </c>
      <c r="K9" s="34"/>
      <c r="L9" s="34"/>
      <c r="M9" s="34"/>
      <c r="N9" s="34">
        <f>C31*'E Balans VL '!Y19/100/3.6*1000000</f>
        <v>720.63104940104927</v>
      </c>
      <c r="O9" s="34"/>
      <c r="P9" s="34"/>
      <c r="R9" s="33"/>
    </row>
    <row r="10" spans="1:18">
      <c r="A10" s="6" t="s">
        <v>41</v>
      </c>
      <c r="B10" s="38">
        <f t="shared" si="0"/>
        <v>895.42600000000004</v>
      </c>
      <c r="C10" s="34"/>
      <c r="D10" s="38">
        <f>IF( ISERROR(IND_voed_gas_kWh/1000),0,IND_voed_gas_kWh/1000)*0.902</f>
        <v>626.35330999999996</v>
      </c>
      <c r="E10" s="34">
        <f>C32*'E Balans VL '!I20/100/3.6*1000000</f>
        <v>8.804380149907125</v>
      </c>
      <c r="F10" s="34">
        <f>C32*'E Balans VL '!L20/100/3.6*1000000+C32*'E Balans VL '!N20/100/3.6*1000000</f>
        <v>99.448744977156977</v>
      </c>
      <c r="G10" s="35"/>
      <c r="H10" s="34"/>
      <c r="I10" s="34"/>
      <c r="J10" s="41">
        <f>C32*'E Balans VL '!D20/100/3.6*1000000+C32*'E Balans VL '!E20/100/3.6*1000000</f>
        <v>3.5292803649440221E-3</v>
      </c>
      <c r="K10" s="34"/>
      <c r="L10" s="34"/>
      <c r="M10" s="34"/>
      <c r="N10" s="34">
        <f>C32*'E Balans VL '!Y20/100/3.6*1000000</f>
        <v>13.259152796031502</v>
      </c>
      <c r="O10" s="34"/>
      <c r="P10" s="34"/>
      <c r="R10" s="33"/>
    </row>
    <row r="11" spans="1:18">
      <c r="A11" s="6" t="s">
        <v>40</v>
      </c>
      <c r="B11" s="38">
        <f t="shared" si="0"/>
        <v>175.15100000000001</v>
      </c>
      <c r="C11" s="34"/>
      <c r="D11" s="38">
        <f>IF( ISERROR(IND_textiel_gas_kWh/1000),0,IND_textiel_gas_kWh/1000)*0.902</f>
        <v>0</v>
      </c>
      <c r="E11" s="34">
        <f>C33*'E Balans VL '!I21/100/3.6*1000000</f>
        <v>0.34105966826128997</v>
      </c>
      <c r="F11" s="34">
        <f>C33*'E Balans VL '!L21/100/3.6*1000000+C33*'E Balans VL '!N21/100/3.6*1000000</f>
        <v>5.7770547386339484</v>
      </c>
      <c r="G11" s="35"/>
      <c r="H11" s="34"/>
      <c r="I11" s="34"/>
      <c r="J11" s="41">
        <f>C33*'E Balans VL '!D21/100/3.6*1000000+C33*'E Balans VL '!E21/100/3.6*1000000</f>
        <v>0</v>
      </c>
      <c r="K11" s="34"/>
      <c r="L11" s="34"/>
      <c r="M11" s="34"/>
      <c r="N11" s="34">
        <f>C33*'E Balans VL '!Y21/100/3.6*1000000</f>
        <v>1.8167765481831761</v>
      </c>
      <c r="O11" s="34"/>
      <c r="P11" s="34"/>
      <c r="R11" s="33"/>
    </row>
    <row r="12" spans="1:18">
      <c r="A12" s="6" t="s">
        <v>37</v>
      </c>
      <c r="B12" s="38">
        <f t="shared" si="0"/>
        <v>3761.2640000000001</v>
      </c>
      <c r="C12" s="34"/>
      <c r="D12" s="38">
        <f>IF( ISERROR(IND_min_gas_kWh/1000),0,IND_min_gas_kWh/1000)*0.902</f>
        <v>100555.718582</v>
      </c>
      <c r="E12" s="34">
        <f>C34*'E Balans VL '!I22/100/3.6*1000000</f>
        <v>95.354735550774592</v>
      </c>
      <c r="F12" s="34">
        <f>C34*'E Balans VL '!L22/100/3.6*1000000+C34*'E Balans VL '!N22/100/3.6*1000000</f>
        <v>1040.7548590252266</v>
      </c>
      <c r="G12" s="35"/>
      <c r="H12" s="34"/>
      <c r="I12" s="34"/>
      <c r="J12" s="41">
        <f>C34*'E Balans VL '!D22/100/3.6*1000000+C34*'E Balans VL '!E22/100/3.6*1000000</f>
        <v>24.84014328549063</v>
      </c>
      <c r="K12" s="34"/>
      <c r="L12" s="34"/>
      <c r="M12" s="34"/>
      <c r="N12" s="34">
        <f>C34*'E Balans VL '!Y22/100/3.6*1000000</f>
        <v>0</v>
      </c>
      <c r="O12" s="34"/>
      <c r="P12" s="34"/>
      <c r="R12" s="33"/>
    </row>
    <row r="13" spans="1:18">
      <c r="A13" s="6" t="s">
        <v>39</v>
      </c>
      <c r="B13" s="38">
        <f t="shared" si="0"/>
        <v>144.874</v>
      </c>
      <c r="C13" s="34"/>
      <c r="D13" s="38">
        <f>IF( ISERROR(IND_papier_gas_kWh/1000),0,IND_papier_gas_kWh/1000)*0.902</f>
        <v>179.616162</v>
      </c>
      <c r="E13" s="34">
        <f>C35*'E Balans VL '!I23/100/3.6*1000000</f>
        <v>4.9346184937195012</v>
      </c>
      <c r="F13" s="34">
        <f>C35*'E Balans VL '!L23/100/3.6*1000000+C35*'E Balans VL '!N23/100/3.6*1000000</f>
        <v>23.929784680409508</v>
      </c>
      <c r="G13" s="35"/>
      <c r="H13" s="34"/>
      <c r="I13" s="34"/>
      <c r="J13" s="41">
        <f>C35*'E Balans VL '!D23/100/3.6*1000000+C35*'E Balans VL '!E23/100/3.6*1000000</f>
        <v>0</v>
      </c>
      <c r="K13" s="34"/>
      <c r="L13" s="34"/>
      <c r="M13" s="34"/>
      <c r="N13" s="34">
        <f>C35*'E Balans VL '!Y23/100/3.6*1000000</f>
        <v>53.309746780502415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0</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4635</v>
      </c>
      <c r="C16" s="250">
        <f>'lokale energieproductie'!O90+'lokale energieproductie'!O59</f>
        <v>6621.4285714285716</v>
      </c>
      <c r="D16" s="312">
        <f>('lokale energieproductie'!P59+'lokale energieproductie'!P90)*(-1)</f>
        <v>-13242.857142857143</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20197.983</v>
      </c>
      <c r="C18" s="22">
        <f>C5+C16</f>
        <v>6621.4285714285716</v>
      </c>
      <c r="D18" s="22">
        <f>MAX((D5+D16),0)</f>
        <v>94405.334343142866</v>
      </c>
      <c r="E18" s="22">
        <f>MAX((E5+E16),0)</f>
        <v>174.20079960207116</v>
      </c>
      <c r="F18" s="22">
        <f>MAX((F5+F16),0)</f>
        <v>8878.441130932415</v>
      </c>
      <c r="G18" s="22"/>
      <c r="H18" s="22"/>
      <c r="I18" s="22"/>
      <c r="J18" s="22">
        <f>MAX((J5+J16),0)</f>
        <v>43.36992967930221</v>
      </c>
      <c r="K18" s="22"/>
      <c r="L18" s="22">
        <f>MAX((L5+L16),0)</f>
        <v>0</v>
      </c>
      <c r="M18" s="22"/>
      <c r="N18" s="22">
        <f>MAX((N5+N16),0)</f>
        <v>792.71068514700096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0.20680815657332116</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4177.1076307292788</v>
      </c>
      <c r="C22" s="24">
        <f ca="1">C18*C20</f>
        <v>1573.5630252100839</v>
      </c>
      <c r="D22" s="24">
        <f>D18*D20</f>
        <v>19069.87753731486</v>
      </c>
      <c r="E22" s="24">
        <f>E18*E20</f>
        <v>39.543581509670155</v>
      </c>
      <c r="F22" s="24">
        <f>F18*F20</f>
        <v>2370.5437819589552</v>
      </c>
      <c r="G22" s="24"/>
      <c r="H22" s="24"/>
      <c r="I22" s="24"/>
      <c r="J22" s="24">
        <f>J18*J20</f>
        <v>15.352955106472981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1074.8869999999999</v>
      </c>
      <c r="C30" s="40">
        <f>IF(ISERROR(B30*3.6/1000000/'E Balans VL '!Z18*100),0,B30*3.6/1000000/'E Balans VL '!Z18*100)</f>
        <v>5.9810273842299658E-2</v>
      </c>
      <c r="D30" s="240" t="s">
        <v>707</v>
      </c>
    </row>
    <row r="31" spans="1:18">
      <c r="A31" s="6" t="s">
        <v>33</v>
      </c>
      <c r="B31" s="38">
        <f>IF( ISERROR(IND_ander_ele_kWh/1000),0,IND_ander_ele_kWh/1000)</f>
        <v>9511.3809999999994</v>
      </c>
      <c r="C31" s="40">
        <f>IF(ISERROR(B31*3.6/1000000/'E Balans VL '!Z19*100),0,B31*3.6/1000000/'E Balans VL '!Z19*100)</f>
        <v>0.4421591229242432</v>
      </c>
      <c r="D31" s="240" t="s">
        <v>707</v>
      </c>
    </row>
    <row r="32" spans="1:18">
      <c r="A32" s="174" t="s">
        <v>41</v>
      </c>
      <c r="B32" s="38">
        <f>IF( ISERROR(IND_voed_ele_kWh/1000),0,IND_voed_ele_kWh/1000)</f>
        <v>895.42600000000004</v>
      </c>
      <c r="C32" s="40">
        <f>IF(ISERROR(B32*3.6/1000000/'E Balans VL '!Z20*100),0,B32*3.6/1000000/'E Balans VL '!Z20*100)</f>
        <v>3.165150071060692E-2</v>
      </c>
      <c r="D32" s="240" t="s">
        <v>707</v>
      </c>
    </row>
    <row r="33" spans="1:5">
      <c r="A33" s="174" t="s">
        <v>40</v>
      </c>
      <c r="B33" s="38">
        <f>IF( ISERROR(IND_textiel_ele_kWh/1000),0,IND_textiel_ele_kWh/1000)</f>
        <v>175.15100000000001</v>
      </c>
      <c r="C33" s="40">
        <f>IF(ISERROR(B33*3.6/1000000/'E Balans VL '!Z21*100),0,B33*3.6/1000000/'E Balans VL '!Z21*100)</f>
        <v>2.3656800280173015E-2</v>
      </c>
      <c r="D33" s="240" t="s">
        <v>707</v>
      </c>
    </row>
    <row r="34" spans="1:5">
      <c r="A34" s="174" t="s">
        <v>37</v>
      </c>
      <c r="B34" s="38">
        <f>IF( ISERROR(IND_min_ele_kWh/1000),0,IND_min_ele_kWh/1000)</f>
        <v>3761.2640000000001</v>
      </c>
      <c r="C34" s="40">
        <f>IF(ISERROR(B34*3.6/1000000/'E Balans VL '!Z22*100),0,B34*3.6/1000000/'E Balans VL '!Z22*100)</f>
        <v>0.7559079999384789</v>
      </c>
      <c r="D34" s="240" t="s">
        <v>707</v>
      </c>
    </row>
    <row r="35" spans="1:5">
      <c r="A35" s="174" t="s">
        <v>39</v>
      </c>
      <c r="B35" s="38">
        <f>IF( ISERROR(IND_papier_ele_kWh/1000),0,IND_papier_ele_kWh/1000)</f>
        <v>144.874</v>
      </c>
      <c r="C35" s="40">
        <f>IF(ISERROR(B35*3.6/1000000/'E Balans VL '!Z22*100),0,B35*3.6/1000000/'E Balans VL '!Z22*100)</f>
        <v>2.911558869121848E-2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1591.0060000000001</v>
      </c>
      <c r="C5" s="18">
        <f>'Eigen informatie GS &amp; warmtenet'!B60</f>
        <v>0</v>
      </c>
      <c r="D5" s="31">
        <f>IF(ISERROR(SUM(LB_lb_gas_kWh,LB_rest_gas_kWh)/1000),0,SUM(LB_lb_gas_kWh,LB_rest_gas_kWh)/1000)*0.902</f>
        <v>1538.2446420000001</v>
      </c>
      <c r="E5" s="18">
        <f>B17*'E Balans VL '!I25/3.6*1000000/100</f>
        <v>14.988342528988399</v>
      </c>
      <c r="F5" s="18">
        <f>B17*('E Balans VL '!L25/3.6*1000000+'E Balans VL '!N25/3.6*1000000)/100</f>
        <v>5191.9805865199696</v>
      </c>
      <c r="G5" s="19"/>
      <c r="H5" s="18"/>
      <c r="I5" s="18"/>
      <c r="J5" s="18">
        <f>('E Balans VL '!D25+'E Balans VL '!E25)/3.6*1000000*landbouw!B17/100</f>
        <v>196.81518085169751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1591.0060000000001</v>
      </c>
      <c r="C8" s="22">
        <f>C5+C6</f>
        <v>0</v>
      </c>
      <c r="D8" s="22">
        <f>MAX((D5+D6),0)</f>
        <v>1538.2446420000001</v>
      </c>
      <c r="E8" s="22">
        <f>MAX((E5+E6),0)</f>
        <v>14.988342528988399</v>
      </c>
      <c r="F8" s="22">
        <f>MAX((F5+F6),0)</f>
        <v>5191.9805865199696</v>
      </c>
      <c r="G8" s="22"/>
      <c r="H8" s="22"/>
      <c r="I8" s="22"/>
      <c r="J8" s="22">
        <f>MAX((J5+J6),0)</f>
        <v>196.81518085169751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0.20680815657332116</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329.03301795709342</v>
      </c>
      <c r="C12" s="24">
        <f ca="1">C8*C10</f>
        <v>0</v>
      </c>
      <c r="D12" s="24">
        <f>D8*D10</f>
        <v>310.72541768400004</v>
      </c>
      <c r="E12" s="24">
        <f>E8*E10</f>
        <v>3.4023537540803668</v>
      </c>
      <c r="F12" s="24">
        <f>F8*F10</f>
        <v>1386.258816600832</v>
      </c>
      <c r="G12" s="24"/>
      <c r="H12" s="24"/>
      <c r="I12" s="24"/>
      <c r="J12" s="24">
        <f>J8*J10</f>
        <v>69.672574021500907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0.21539678893683109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389.24542412917748</v>
      </c>
      <c r="C26" s="250">
        <f>B26*'GWP N2O_CH4'!B5</f>
        <v>8174.1539067127269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111.38526651448036</v>
      </c>
      <c r="C27" s="250">
        <f>B27*'GWP N2O_CH4'!B5</f>
        <v>2339.0905968040875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5.048481303852161</v>
      </c>
      <c r="C28" s="250">
        <f>B28*'GWP N2O_CH4'!B4</f>
        <v>1565.02920419417</v>
      </c>
      <c r="D28" s="51"/>
    </row>
    <row r="29" spans="1:4">
      <c r="A29" s="42" t="s">
        <v>277</v>
      </c>
      <c r="B29" s="250">
        <f>B34*'ha_N2O bodem landbouw'!B4</f>
        <v>19.590575961906939</v>
      </c>
      <c r="C29" s="250">
        <f>B29*'GWP N2O_CH4'!B4</f>
        <v>6073.0785481911507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5.2888387931560761E-3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1.5589278509290526E-5</v>
      </c>
      <c r="C5" s="447" t="s">
        <v>211</v>
      </c>
      <c r="D5" s="432">
        <f>SUM(D6:D11)</f>
        <v>4.4579892113161848E-5</v>
      </c>
      <c r="E5" s="432">
        <f>SUM(E6:E11)</f>
        <v>2.7131894979512032E-3</v>
      </c>
      <c r="F5" s="445" t="s">
        <v>211</v>
      </c>
      <c r="G5" s="432">
        <f>SUM(G6:G11)</f>
        <v>0.53896018963906045</v>
      </c>
      <c r="H5" s="432">
        <f>SUM(H6:H11)</f>
        <v>0.10003027319787375</v>
      </c>
      <c r="I5" s="447" t="s">
        <v>211</v>
      </c>
      <c r="J5" s="447" t="s">
        <v>211</v>
      </c>
      <c r="K5" s="447" t="s">
        <v>211</v>
      </c>
      <c r="L5" s="447" t="s">
        <v>211</v>
      </c>
      <c r="M5" s="432">
        <f>SUM(M6:M11)</f>
        <v>2.8575757351759882E-2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8.6955408300777391E-6</v>
      </c>
      <c r="C6" s="433"/>
      <c r="D6" s="433">
        <f>vkm_2011_GW_PW*SUMIFS(TableVerdeelsleutelVkm[CNG],TableVerdeelsleutelVkm[Voertuigtype],"Lichte voertuigen")*SUMIFS(TableECFTransport[EnergieConsumptieFactor (PJ per km)],TableECFTransport[Index],CONCATENATE($A6,"_CNG_CNG"))</f>
        <v>2.1234656332197741E-5</v>
      </c>
      <c r="E6" s="435">
        <f>vkm_2011_GW_PW*SUMIFS(TableVerdeelsleutelVkm[LPG],TableVerdeelsleutelVkm[Voertuigtype],"Lichte voertuigen")*SUMIFS(TableECFTransport[EnergieConsumptieFactor (PJ per km)],TableECFTransport[Index],CONCATENATE($A6,"_LPG_LPG"))</f>
        <v>1.2586806896199049E-3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0.18195710014512903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4.7685728417385706E-2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1.0283828776237175E-2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6.5399074528063414E-2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2.6385976876470217E-5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2.9135085358932469E-3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3.1943430365019508E-6</v>
      </c>
      <c r="C8" s="433"/>
      <c r="D8" s="435">
        <f>vkm_2011_NGW_PW*SUMIFS(TableVerdeelsleutelVkm[CNG],TableVerdeelsleutelVkm[Voertuigtype],"Lichte voertuigen")*SUMIFS(TableECFTransport[EnergieConsumptieFactor (PJ per km)],TableECFTransport[Index],CONCATENATE($A8,"_CNG_CNG"))</f>
        <v>1.3995672046043985E-5</v>
      </c>
      <c r="E8" s="435">
        <f>vkm_2011_NGW_PW*SUMIFS(TableVerdeelsleutelVkm[LPG],TableVerdeelsleutelVkm[Voertuigtype],"Lichte voertuigen")*SUMIFS(TableECFTransport[EnergieConsumptieFactor (PJ per km)],TableECFTransport[Index],CONCATENATE($A8,"_LPG_LPG"))</f>
        <v>7.6106665282055881E-4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0.10393531362676364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3.0096763209538965E-2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6.0049364766050252E-3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8.0172137232225847E-3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2.816380862870229E-6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3.5714526080032275E-4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3.699394642710838E-6</v>
      </c>
      <c r="C10" s="433"/>
      <c r="D10" s="435">
        <f>vkm_2011_SW_PW*SUMIFS(TableVerdeelsleutelVkm[CNG],TableVerdeelsleutelVkm[Voertuigtype],"Lichte voertuigen")*SUMIFS(TableECFTransport[EnergieConsumptieFactor (PJ per km)],TableECFTransport[Index],CONCATENATE($A10,"_CNG_CNG"))</f>
        <v>9.3495637349201236E-6</v>
      </c>
      <c r="E10" s="435">
        <f>vkm_2011_SW_PW*SUMIFS(TableVerdeelsleutelVkm[LPG],TableVerdeelsleutelVkm[Voertuigtype],"Lichte voertuigen")*SUMIFS(TableECFTransport[EnergieConsumptieFactor (PJ per km)],TableECFTransport[Index],CONCATENATE($A10,"_LPG_LPG"))</f>
        <v>6.9344215551073955E-4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9.1357125543405374E-2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2.2180784688384806E-2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5.0827524838085222E-3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8.8294362072476498E-2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3.7794524824927235E-5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3.9335858184155912E-3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4.3303551414695907</v>
      </c>
      <c r="C14" s="22"/>
      <c r="D14" s="22">
        <f t="shared" ref="D14:M14" si="0">((D5)*10^9/3600)+D12</f>
        <v>12.38330336476718</v>
      </c>
      <c r="E14" s="22">
        <f t="shared" si="0"/>
        <v>753.66374943088977</v>
      </c>
      <c r="F14" s="22"/>
      <c r="G14" s="22">
        <f t="shared" si="0"/>
        <v>149711.16378862792</v>
      </c>
      <c r="H14" s="22">
        <f t="shared" si="0"/>
        <v>27786.186999409372</v>
      </c>
      <c r="I14" s="22"/>
      <c r="J14" s="22"/>
      <c r="K14" s="22"/>
      <c r="L14" s="22"/>
      <c r="M14" s="22">
        <f t="shared" si="0"/>
        <v>7937.7103754888558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0.20680815657332116</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0.89555276411512941</v>
      </c>
      <c r="C18" s="24"/>
      <c r="D18" s="24">
        <f t="shared" ref="D18:M18" si="1">D14*D16</f>
        <v>2.5014272796829706</v>
      </c>
      <c r="E18" s="24">
        <f t="shared" si="1"/>
        <v>171.08167112081199</v>
      </c>
      <c r="F18" s="24"/>
      <c r="G18" s="24">
        <f t="shared" si="1"/>
        <v>39972.880731563659</v>
      </c>
      <c r="H18" s="24">
        <f t="shared" si="1"/>
        <v>6918.7605628529336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1.0827185150606516E-2</v>
      </c>
      <c r="H50" s="323">
        <f t="shared" si="2"/>
        <v>0</v>
      </c>
      <c r="I50" s="323">
        <f t="shared" si="2"/>
        <v>0</v>
      </c>
      <c r="J50" s="323">
        <f t="shared" si="2"/>
        <v>0</v>
      </c>
      <c r="K50" s="323">
        <f t="shared" si="2"/>
        <v>0</v>
      </c>
      <c r="L50" s="323">
        <f t="shared" si="2"/>
        <v>0</v>
      </c>
      <c r="M50" s="323">
        <f t="shared" si="2"/>
        <v>4.7543956052223553E-4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1.0827185150606516E-2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4.7543956052223553E-4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3007.5514307240323</v>
      </c>
      <c r="H54" s="22">
        <f t="shared" si="3"/>
        <v>0</v>
      </c>
      <c r="I54" s="22">
        <f t="shared" si="3"/>
        <v>0</v>
      </c>
      <c r="J54" s="22">
        <f t="shared" si="3"/>
        <v>0</v>
      </c>
      <c r="K54" s="22">
        <f t="shared" si="3"/>
        <v>0</v>
      </c>
      <c r="L54" s="22">
        <f t="shared" si="3"/>
        <v>0</v>
      </c>
      <c r="M54" s="22">
        <f t="shared" si="3"/>
        <v>132.06654458950987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0.20680815657332116</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803.01623200331665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34416.642</v>
      </c>
      <c r="D10" s="688">
        <f ca="1">tertiair!C16</f>
        <v>0</v>
      </c>
      <c r="E10" s="688">
        <f ca="1">tertiair!D16</f>
        <v>26717.042462000005</v>
      </c>
      <c r="F10" s="688">
        <f>tertiair!E16</f>
        <v>299.62386979770304</v>
      </c>
      <c r="G10" s="688">
        <f ca="1">tertiair!F16</f>
        <v>7432.8665360662189</v>
      </c>
      <c r="H10" s="688">
        <f>tertiair!G16</f>
        <v>0</v>
      </c>
      <c r="I10" s="688">
        <f>tertiair!H16</f>
        <v>0</v>
      </c>
      <c r="J10" s="688">
        <f>tertiair!I16</f>
        <v>0</v>
      </c>
      <c r="K10" s="688">
        <f>tertiair!J16</f>
        <v>0</v>
      </c>
      <c r="L10" s="688">
        <f>tertiair!K16</f>
        <v>0</v>
      </c>
      <c r="M10" s="688">
        <f ca="1">tertiair!L16</f>
        <v>0</v>
      </c>
      <c r="N10" s="688">
        <f>tertiair!M16</f>
        <v>0</v>
      </c>
      <c r="O10" s="688">
        <f ca="1">tertiair!N16</f>
        <v>4148.6665681843579</v>
      </c>
      <c r="P10" s="688">
        <f>tertiair!O16</f>
        <v>0</v>
      </c>
      <c r="Q10" s="689">
        <f>tertiair!P16</f>
        <v>0</v>
      </c>
      <c r="R10" s="691">
        <f ca="1">SUM(C10:Q10)</f>
        <v>73014.841436048286</v>
      </c>
      <c r="S10" s="68"/>
    </row>
    <row r="11" spans="1:19" s="457" customFormat="1">
      <c r="A11" s="803" t="s">
        <v>225</v>
      </c>
      <c r="B11" s="808"/>
      <c r="C11" s="688">
        <f>huishoudens!B8</f>
        <v>55992.945419844684</v>
      </c>
      <c r="D11" s="688">
        <f>huishoudens!C8</f>
        <v>0</v>
      </c>
      <c r="E11" s="688">
        <f>huishoudens!D8</f>
        <v>77633.960183999996</v>
      </c>
      <c r="F11" s="688">
        <f>huishoudens!E8</f>
        <v>3752.5440131584746</v>
      </c>
      <c r="G11" s="688">
        <f>huishoudens!F8</f>
        <v>93411.106446991645</v>
      </c>
      <c r="H11" s="688">
        <f>huishoudens!G8</f>
        <v>0</v>
      </c>
      <c r="I11" s="688">
        <f>huishoudens!H8</f>
        <v>0</v>
      </c>
      <c r="J11" s="688">
        <f>huishoudens!I8</f>
        <v>0</v>
      </c>
      <c r="K11" s="688">
        <f>huishoudens!J8</f>
        <v>0</v>
      </c>
      <c r="L11" s="688">
        <f>huishoudens!K8</f>
        <v>0</v>
      </c>
      <c r="M11" s="688">
        <f>huishoudens!L8</f>
        <v>0</v>
      </c>
      <c r="N11" s="688">
        <f>huishoudens!M8</f>
        <v>0</v>
      </c>
      <c r="O11" s="688">
        <f>huishoudens!N8</f>
        <v>27022.340949873338</v>
      </c>
      <c r="P11" s="688">
        <f>huishoudens!O8</f>
        <v>211.05</v>
      </c>
      <c r="Q11" s="689">
        <f>huishoudens!P8</f>
        <v>648.26666666666665</v>
      </c>
      <c r="R11" s="691">
        <f>SUM(C11:Q11)</f>
        <v>258672.2136805348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20197.983</v>
      </c>
      <c r="D13" s="688">
        <f>industrie!C18</f>
        <v>6621.4285714285716</v>
      </c>
      <c r="E13" s="688">
        <f>industrie!D18</f>
        <v>94405.334343142866</v>
      </c>
      <c r="F13" s="688">
        <f>industrie!E18</f>
        <v>174.20079960207116</v>
      </c>
      <c r="G13" s="688">
        <f>industrie!F18</f>
        <v>8878.441130932415</v>
      </c>
      <c r="H13" s="688">
        <f>industrie!G18</f>
        <v>0</v>
      </c>
      <c r="I13" s="688">
        <f>industrie!H18</f>
        <v>0</v>
      </c>
      <c r="J13" s="688">
        <f>industrie!I18</f>
        <v>0</v>
      </c>
      <c r="K13" s="688">
        <f>industrie!J18</f>
        <v>43.36992967930221</v>
      </c>
      <c r="L13" s="688">
        <f>industrie!K18</f>
        <v>0</v>
      </c>
      <c r="M13" s="688">
        <f>industrie!L18</f>
        <v>0</v>
      </c>
      <c r="N13" s="688">
        <f>industrie!M18</f>
        <v>0</v>
      </c>
      <c r="O13" s="688">
        <f>industrie!N18</f>
        <v>792.71068514700096</v>
      </c>
      <c r="P13" s="688">
        <f>industrie!O18</f>
        <v>0</v>
      </c>
      <c r="Q13" s="689">
        <f>industrie!P18</f>
        <v>0</v>
      </c>
      <c r="R13" s="691">
        <f>SUM(C13:Q13)</f>
        <v>131113.46845993222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110607.57041984468</v>
      </c>
      <c r="D16" s="721">
        <f t="shared" ref="D16:R16" ca="1" si="0">SUM(D9:D15)</f>
        <v>6621.4285714285716</v>
      </c>
      <c r="E16" s="721">
        <f t="shared" ca="1" si="0"/>
        <v>198756.33698914287</v>
      </c>
      <c r="F16" s="721">
        <f t="shared" si="0"/>
        <v>4226.368682558249</v>
      </c>
      <c r="G16" s="721">
        <f t="shared" ca="1" si="0"/>
        <v>109722.41411399028</v>
      </c>
      <c r="H16" s="721">
        <f t="shared" si="0"/>
        <v>0</v>
      </c>
      <c r="I16" s="721">
        <f t="shared" si="0"/>
        <v>0</v>
      </c>
      <c r="J16" s="721">
        <f t="shared" si="0"/>
        <v>0</v>
      </c>
      <c r="K16" s="721">
        <f t="shared" si="0"/>
        <v>43.36992967930221</v>
      </c>
      <c r="L16" s="721">
        <f t="shared" si="0"/>
        <v>0</v>
      </c>
      <c r="M16" s="721">
        <f t="shared" ca="1" si="0"/>
        <v>0</v>
      </c>
      <c r="N16" s="721">
        <f t="shared" si="0"/>
        <v>0</v>
      </c>
      <c r="O16" s="721">
        <f t="shared" ca="1" si="0"/>
        <v>31963.718203204699</v>
      </c>
      <c r="P16" s="721">
        <f t="shared" si="0"/>
        <v>211.05</v>
      </c>
      <c r="Q16" s="721">
        <f t="shared" si="0"/>
        <v>648.26666666666665</v>
      </c>
      <c r="R16" s="721">
        <f t="shared" ca="1" si="0"/>
        <v>462800.52357651526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3007.5514307240323</v>
      </c>
      <c r="I19" s="688">
        <f>transport!H54</f>
        <v>0</v>
      </c>
      <c r="J19" s="688">
        <f>transport!I54</f>
        <v>0</v>
      </c>
      <c r="K19" s="688">
        <f>transport!J54</f>
        <v>0</v>
      </c>
      <c r="L19" s="688">
        <f>transport!K54</f>
        <v>0</v>
      </c>
      <c r="M19" s="688">
        <f>transport!L54</f>
        <v>0</v>
      </c>
      <c r="N19" s="688">
        <f>transport!M54</f>
        <v>132.06654458950987</v>
      </c>
      <c r="O19" s="688">
        <f>transport!N54</f>
        <v>0</v>
      </c>
      <c r="P19" s="688">
        <f>transport!O54</f>
        <v>0</v>
      </c>
      <c r="Q19" s="689">
        <f>transport!P54</f>
        <v>0</v>
      </c>
      <c r="R19" s="691">
        <f>SUM(C19:Q19)</f>
        <v>3139.617975313542</v>
      </c>
      <c r="S19" s="68"/>
    </row>
    <row r="20" spans="1:19" s="457" customFormat="1">
      <c r="A20" s="803" t="s">
        <v>307</v>
      </c>
      <c r="B20" s="808"/>
      <c r="C20" s="688">
        <f>transport!B14</f>
        <v>4.3303551414695907</v>
      </c>
      <c r="D20" s="688">
        <f>transport!C14</f>
        <v>0</v>
      </c>
      <c r="E20" s="688">
        <f>transport!D14</f>
        <v>12.38330336476718</v>
      </c>
      <c r="F20" s="688">
        <f>transport!E14</f>
        <v>753.66374943088977</v>
      </c>
      <c r="G20" s="688">
        <f>transport!F14</f>
        <v>0</v>
      </c>
      <c r="H20" s="688">
        <f>transport!G14</f>
        <v>149711.16378862792</v>
      </c>
      <c r="I20" s="688">
        <f>transport!H14</f>
        <v>27786.186999409372</v>
      </c>
      <c r="J20" s="688">
        <f>transport!I14</f>
        <v>0</v>
      </c>
      <c r="K20" s="688">
        <f>transport!J14</f>
        <v>0</v>
      </c>
      <c r="L20" s="688">
        <f>transport!K14</f>
        <v>0</v>
      </c>
      <c r="M20" s="688">
        <f>transport!L14</f>
        <v>0</v>
      </c>
      <c r="N20" s="688">
        <f>transport!M14</f>
        <v>7937.7103754888558</v>
      </c>
      <c r="O20" s="688">
        <f>transport!N14</f>
        <v>0</v>
      </c>
      <c r="P20" s="688">
        <f>transport!O14</f>
        <v>0</v>
      </c>
      <c r="Q20" s="689">
        <f>transport!P14</f>
        <v>0</v>
      </c>
      <c r="R20" s="691">
        <f>SUM(C20:Q20)</f>
        <v>186205.43857146328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4.3303551414695907</v>
      </c>
      <c r="D22" s="806">
        <f t="shared" ref="D22:R22" si="1">SUM(D18:D21)</f>
        <v>0</v>
      </c>
      <c r="E22" s="806">
        <f t="shared" si="1"/>
        <v>12.38330336476718</v>
      </c>
      <c r="F22" s="806">
        <f t="shared" si="1"/>
        <v>753.66374943088977</v>
      </c>
      <c r="G22" s="806">
        <f t="shared" si="1"/>
        <v>0</v>
      </c>
      <c r="H22" s="806">
        <f t="shared" si="1"/>
        <v>152718.71521935196</v>
      </c>
      <c r="I22" s="806">
        <f t="shared" si="1"/>
        <v>27786.186999409372</v>
      </c>
      <c r="J22" s="806">
        <f t="shared" si="1"/>
        <v>0</v>
      </c>
      <c r="K22" s="806">
        <f t="shared" si="1"/>
        <v>0</v>
      </c>
      <c r="L22" s="806">
        <f t="shared" si="1"/>
        <v>0</v>
      </c>
      <c r="M22" s="806">
        <f t="shared" si="1"/>
        <v>0</v>
      </c>
      <c r="N22" s="806">
        <f t="shared" si="1"/>
        <v>8069.7769200783659</v>
      </c>
      <c r="O22" s="806">
        <f t="shared" si="1"/>
        <v>0</v>
      </c>
      <c r="P22" s="806">
        <f t="shared" si="1"/>
        <v>0</v>
      </c>
      <c r="Q22" s="806">
        <f t="shared" si="1"/>
        <v>0</v>
      </c>
      <c r="R22" s="806">
        <f t="shared" si="1"/>
        <v>189345.05654677682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1591.0060000000001</v>
      </c>
      <c r="D24" s="688">
        <f>+landbouw!C8</f>
        <v>0</v>
      </c>
      <c r="E24" s="688">
        <f>+landbouw!D8</f>
        <v>1538.2446420000001</v>
      </c>
      <c r="F24" s="688">
        <f>+landbouw!E8</f>
        <v>14.988342528988399</v>
      </c>
      <c r="G24" s="688">
        <f>+landbouw!F8</f>
        <v>5191.9805865199696</v>
      </c>
      <c r="H24" s="688">
        <f>+landbouw!G8</f>
        <v>0</v>
      </c>
      <c r="I24" s="688">
        <f>+landbouw!H8</f>
        <v>0</v>
      </c>
      <c r="J24" s="688">
        <f>+landbouw!I8</f>
        <v>0</v>
      </c>
      <c r="K24" s="688">
        <f>+landbouw!J8</f>
        <v>196.81518085169751</v>
      </c>
      <c r="L24" s="688">
        <f>+landbouw!K8</f>
        <v>0</v>
      </c>
      <c r="M24" s="688">
        <f>+landbouw!L8</f>
        <v>0</v>
      </c>
      <c r="N24" s="688">
        <f>+landbouw!M8</f>
        <v>0</v>
      </c>
      <c r="O24" s="688">
        <f>+landbouw!N8</f>
        <v>0</v>
      </c>
      <c r="P24" s="688">
        <f>+landbouw!O8</f>
        <v>0</v>
      </c>
      <c r="Q24" s="689">
        <f>+landbouw!P8</f>
        <v>0</v>
      </c>
      <c r="R24" s="691">
        <f>SUM(C24:Q24)</f>
        <v>8533.0347519006555</v>
      </c>
      <c r="S24" s="68"/>
    </row>
    <row r="25" spans="1:19" s="457" customFormat="1" ht="15" thickBot="1">
      <c r="A25" s="825" t="s">
        <v>912</v>
      </c>
      <c r="B25" s="1001"/>
      <c r="C25" s="1002">
        <f>IF(Onbekend_ele_kWh="---",0,Onbekend_ele_kWh)/1000+IF(REST_rest_ele_kWh="---",0,REST_rest_ele_kWh)/1000</f>
        <v>1696.1389999999999</v>
      </c>
      <c r="D25" s="1002"/>
      <c r="E25" s="1002">
        <f>IF(onbekend_gas_kWh="---",0,onbekend_gas_kWh)/1000+IF(REST_rest_gas_kWh="---",0,REST_rest_gas_kWh)/1000</f>
        <v>7525.5529999999999</v>
      </c>
      <c r="F25" s="1002"/>
      <c r="G25" s="1002"/>
      <c r="H25" s="1002"/>
      <c r="I25" s="1002"/>
      <c r="J25" s="1002"/>
      <c r="K25" s="1002"/>
      <c r="L25" s="1002"/>
      <c r="M25" s="1002"/>
      <c r="N25" s="1002"/>
      <c r="O25" s="1002"/>
      <c r="P25" s="1002"/>
      <c r="Q25" s="1003"/>
      <c r="R25" s="691">
        <f>SUM(C25:Q25)</f>
        <v>9221.6919999999991</v>
      </c>
      <c r="S25" s="68"/>
    </row>
    <row r="26" spans="1:19" s="457" customFormat="1" ht="15.75" thickBot="1">
      <c r="A26" s="694" t="s">
        <v>913</v>
      </c>
      <c r="B26" s="811"/>
      <c r="C26" s="806">
        <f>SUM(C24:C25)</f>
        <v>3287.145</v>
      </c>
      <c r="D26" s="806">
        <f t="shared" ref="D26:R26" si="2">SUM(D24:D25)</f>
        <v>0</v>
      </c>
      <c r="E26" s="806">
        <f t="shared" si="2"/>
        <v>9063.7976419999995</v>
      </c>
      <c r="F26" s="806">
        <f t="shared" si="2"/>
        <v>14.988342528988399</v>
      </c>
      <c r="G26" s="806">
        <f t="shared" si="2"/>
        <v>5191.9805865199696</v>
      </c>
      <c r="H26" s="806">
        <f t="shared" si="2"/>
        <v>0</v>
      </c>
      <c r="I26" s="806">
        <f t="shared" si="2"/>
        <v>0</v>
      </c>
      <c r="J26" s="806">
        <f t="shared" si="2"/>
        <v>0</v>
      </c>
      <c r="K26" s="806">
        <f t="shared" si="2"/>
        <v>196.81518085169751</v>
      </c>
      <c r="L26" s="806">
        <f t="shared" si="2"/>
        <v>0</v>
      </c>
      <c r="M26" s="806">
        <f t="shared" si="2"/>
        <v>0</v>
      </c>
      <c r="N26" s="806">
        <f t="shared" si="2"/>
        <v>0</v>
      </c>
      <c r="O26" s="806">
        <f t="shared" si="2"/>
        <v>0</v>
      </c>
      <c r="P26" s="806">
        <f t="shared" si="2"/>
        <v>0</v>
      </c>
      <c r="Q26" s="806">
        <f t="shared" si="2"/>
        <v>0</v>
      </c>
      <c r="R26" s="806">
        <f t="shared" si="2"/>
        <v>17754.726751900656</v>
      </c>
      <c r="S26" s="68"/>
    </row>
    <row r="27" spans="1:19" s="457" customFormat="1" ht="17.25" thickTop="1" thickBot="1">
      <c r="A27" s="695" t="s">
        <v>116</v>
      </c>
      <c r="B27" s="798"/>
      <c r="C27" s="696">
        <f ca="1">C22+C16+C26</f>
        <v>113899.04577498615</v>
      </c>
      <c r="D27" s="696">
        <f t="shared" ref="D27:R27" ca="1" si="3">D22+D16+D26</f>
        <v>6621.4285714285716</v>
      </c>
      <c r="E27" s="696">
        <f t="shared" ca="1" si="3"/>
        <v>207832.51793450763</v>
      </c>
      <c r="F27" s="696">
        <f t="shared" si="3"/>
        <v>4995.0207745181269</v>
      </c>
      <c r="G27" s="696">
        <f t="shared" ca="1" si="3"/>
        <v>114914.39470051025</v>
      </c>
      <c r="H27" s="696">
        <f t="shared" si="3"/>
        <v>152718.71521935196</v>
      </c>
      <c r="I27" s="696">
        <f t="shared" si="3"/>
        <v>27786.186999409372</v>
      </c>
      <c r="J27" s="696">
        <f t="shared" si="3"/>
        <v>0</v>
      </c>
      <c r="K27" s="696">
        <f t="shared" si="3"/>
        <v>240.18511053099971</v>
      </c>
      <c r="L27" s="696">
        <f t="shared" si="3"/>
        <v>0</v>
      </c>
      <c r="M27" s="696">
        <f t="shared" ca="1" si="3"/>
        <v>0</v>
      </c>
      <c r="N27" s="696">
        <f t="shared" si="3"/>
        <v>8069.7769200783659</v>
      </c>
      <c r="O27" s="696">
        <f t="shared" ca="1" si="3"/>
        <v>31963.718203204699</v>
      </c>
      <c r="P27" s="696">
        <f t="shared" si="3"/>
        <v>211.05</v>
      </c>
      <c r="Q27" s="696">
        <f t="shared" si="3"/>
        <v>648.26666666666665</v>
      </c>
      <c r="R27" s="696">
        <f t="shared" ca="1" si="3"/>
        <v>669900.30687519268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7117.642287463942</v>
      </c>
      <c r="D40" s="688">
        <f ca="1">tertiair!C20</f>
        <v>0</v>
      </c>
      <c r="E40" s="688">
        <f ca="1">tertiair!D20</f>
        <v>5396.8425773240015</v>
      </c>
      <c r="F40" s="688">
        <f>tertiair!E20</f>
        <v>68.014618444078593</v>
      </c>
      <c r="G40" s="688">
        <f ca="1">tertiair!F20</f>
        <v>1984.5753651296807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14567.074848361703</v>
      </c>
    </row>
    <row r="41" spans="1:18">
      <c r="A41" s="816" t="s">
        <v>225</v>
      </c>
      <c r="B41" s="823"/>
      <c r="C41" s="688">
        <f ca="1">huishoudens!B12</f>
        <v>11579.797823388666</v>
      </c>
      <c r="D41" s="688">
        <f ca="1">huishoudens!C12</f>
        <v>0</v>
      </c>
      <c r="E41" s="688">
        <f>huishoudens!D12</f>
        <v>15682.059957168</v>
      </c>
      <c r="F41" s="688">
        <f>huishoudens!E12</f>
        <v>851.82749098697377</v>
      </c>
      <c r="G41" s="688">
        <f>huishoudens!F12</f>
        <v>24940.765421346772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53054.450692890416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4177.1076307292788</v>
      </c>
      <c r="D43" s="688">
        <f ca="1">industrie!C22</f>
        <v>1573.5630252100839</v>
      </c>
      <c r="E43" s="688">
        <f>industrie!D22</f>
        <v>19069.87753731486</v>
      </c>
      <c r="F43" s="688">
        <f>industrie!E22</f>
        <v>39.543581509670155</v>
      </c>
      <c r="G43" s="688">
        <f>industrie!F22</f>
        <v>2370.5437819589552</v>
      </c>
      <c r="H43" s="688">
        <f>industrie!G22</f>
        <v>0</v>
      </c>
      <c r="I43" s="688">
        <f>industrie!H22</f>
        <v>0</v>
      </c>
      <c r="J43" s="688">
        <f>industrie!I22</f>
        <v>0</v>
      </c>
      <c r="K43" s="688">
        <f>industrie!J22</f>
        <v>15.352955106472981</v>
      </c>
      <c r="L43" s="688">
        <f>industrie!K22</f>
        <v>0</v>
      </c>
      <c r="M43" s="688">
        <f>industrie!L22</f>
        <v>0</v>
      </c>
      <c r="N43" s="688">
        <f>industrie!M22</f>
        <v>0</v>
      </c>
      <c r="O43" s="688">
        <f>industrie!N22</f>
        <v>0</v>
      </c>
      <c r="P43" s="688">
        <f>industrie!O22</f>
        <v>0</v>
      </c>
      <c r="Q43" s="763">
        <f>industrie!P22</f>
        <v>0</v>
      </c>
      <c r="R43" s="843">
        <f t="shared" ca="1" si="4"/>
        <v>27245.988511829324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22874.547741581886</v>
      </c>
      <c r="D46" s="721">
        <f t="shared" ref="D46:Q46" ca="1" si="5">SUM(D39:D45)</f>
        <v>1573.5630252100839</v>
      </c>
      <c r="E46" s="721">
        <f t="shared" ca="1" si="5"/>
        <v>40148.780071806861</v>
      </c>
      <c r="F46" s="721">
        <f t="shared" si="5"/>
        <v>959.3856909407225</v>
      </c>
      <c r="G46" s="721">
        <f t="shared" ca="1" si="5"/>
        <v>29295.884568435409</v>
      </c>
      <c r="H46" s="721">
        <f t="shared" si="5"/>
        <v>0</v>
      </c>
      <c r="I46" s="721">
        <f t="shared" si="5"/>
        <v>0</v>
      </c>
      <c r="J46" s="721">
        <f t="shared" si="5"/>
        <v>0</v>
      </c>
      <c r="K46" s="721">
        <f t="shared" si="5"/>
        <v>15.352955106472981</v>
      </c>
      <c r="L46" s="721">
        <f t="shared" si="5"/>
        <v>0</v>
      </c>
      <c r="M46" s="721">
        <f t="shared" ca="1" si="5"/>
        <v>0</v>
      </c>
      <c r="N46" s="721">
        <f t="shared" si="5"/>
        <v>0</v>
      </c>
      <c r="O46" s="721">
        <f t="shared" ca="1" si="5"/>
        <v>0</v>
      </c>
      <c r="P46" s="721">
        <f t="shared" si="5"/>
        <v>0</v>
      </c>
      <c r="Q46" s="721">
        <f t="shared" si="5"/>
        <v>0</v>
      </c>
      <c r="R46" s="721">
        <f ca="1">SUM(R39:R45)</f>
        <v>94867.514053081453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803.01623200331665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803.01623200331665</v>
      </c>
    </row>
    <row r="50" spans="1:18">
      <c r="A50" s="819" t="s">
        <v>307</v>
      </c>
      <c r="B50" s="829"/>
      <c r="C50" s="1008">
        <f ca="1">transport!B18</f>
        <v>0.89555276411512941</v>
      </c>
      <c r="D50" s="1008">
        <f>transport!C18</f>
        <v>0</v>
      </c>
      <c r="E50" s="1008">
        <f>transport!D18</f>
        <v>2.5014272796829706</v>
      </c>
      <c r="F50" s="1008">
        <f>transport!E18</f>
        <v>171.08167112081199</v>
      </c>
      <c r="G50" s="1008">
        <f>transport!F18</f>
        <v>0</v>
      </c>
      <c r="H50" s="1008">
        <f>transport!G18</f>
        <v>39972.880731563659</v>
      </c>
      <c r="I50" s="1008">
        <f>transport!H18</f>
        <v>6918.7605628529336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47066.119945581202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0.89555276411512941</v>
      </c>
      <c r="D52" s="721">
        <f t="shared" ref="D52:Q52" ca="1" si="6">SUM(D48:D51)</f>
        <v>0</v>
      </c>
      <c r="E52" s="721">
        <f t="shared" si="6"/>
        <v>2.5014272796829706</v>
      </c>
      <c r="F52" s="721">
        <f t="shared" si="6"/>
        <v>171.08167112081199</v>
      </c>
      <c r="G52" s="721">
        <f t="shared" si="6"/>
        <v>0</v>
      </c>
      <c r="H52" s="721">
        <f t="shared" si="6"/>
        <v>40775.896963566978</v>
      </c>
      <c r="I52" s="721">
        <f t="shared" si="6"/>
        <v>6918.7605628529336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47869.136177584522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329.03301795709342</v>
      </c>
      <c r="D54" s="1008">
        <f ca="1">+landbouw!C12</f>
        <v>0</v>
      </c>
      <c r="E54" s="1008">
        <f>+landbouw!D12</f>
        <v>310.72541768400004</v>
      </c>
      <c r="F54" s="1008">
        <f>+landbouw!E12</f>
        <v>3.4023537540803668</v>
      </c>
      <c r="G54" s="1008">
        <f>+landbouw!F12</f>
        <v>1386.258816600832</v>
      </c>
      <c r="H54" s="1008">
        <f>+landbouw!G12</f>
        <v>0</v>
      </c>
      <c r="I54" s="1008">
        <f>+landbouw!H12</f>
        <v>0</v>
      </c>
      <c r="J54" s="1008">
        <f>+landbouw!I12</f>
        <v>0</v>
      </c>
      <c r="K54" s="1008">
        <f>+landbouw!J12</f>
        <v>69.672574021500907</v>
      </c>
      <c r="L54" s="1008">
        <f>+landbouw!K12</f>
        <v>0</v>
      </c>
      <c r="M54" s="1008">
        <f>+landbouw!L12</f>
        <v>0</v>
      </c>
      <c r="N54" s="1008">
        <f>+landbouw!M12</f>
        <v>0</v>
      </c>
      <c r="O54" s="1008">
        <f>+landbouw!N12</f>
        <v>0</v>
      </c>
      <c r="P54" s="1008">
        <f>+landbouw!O12</f>
        <v>0</v>
      </c>
      <c r="Q54" s="1009">
        <f>+landbouw!P12</f>
        <v>0</v>
      </c>
      <c r="R54" s="720">
        <f ca="1">SUM(C54:Q54)</f>
        <v>2099.092180017507</v>
      </c>
    </row>
    <row r="55" spans="1:18" ht="15" thickBot="1">
      <c r="A55" s="819" t="s">
        <v>912</v>
      </c>
      <c r="B55" s="829"/>
      <c r="C55" s="1008">
        <f ca="1">C25*'EF ele_warmte'!B12</f>
        <v>350.77537988211634</v>
      </c>
      <c r="D55" s="1008"/>
      <c r="E55" s="1008">
        <f>E25*EF_CO2_aardgas</f>
        <v>1520.1617060000001</v>
      </c>
      <c r="F55" s="1008"/>
      <c r="G55" s="1008"/>
      <c r="H55" s="1008"/>
      <c r="I55" s="1008"/>
      <c r="J55" s="1008"/>
      <c r="K55" s="1008"/>
      <c r="L55" s="1008"/>
      <c r="M55" s="1008"/>
      <c r="N55" s="1008"/>
      <c r="O55" s="1008"/>
      <c r="P55" s="1008"/>
      <c r="Q55" s="1009"/>
      <c r="R55" s="720">
        <f ca="1">SUM(C55:Q55)</f>
        <v>1870.9370858821164</v>
      </c>
    </row>
    <row r="56" spans="1:18" ht="15.75" thickBot="1">
      <c r="A56" s="817" t="s">
        <v>913</v>
      </c>
      <c r="B56" s="830"/>
      <c r="C56" s="721">
        <f ca="1">SUM(C54:C55)</f>
        <v>679.80839783920976</v>
      </c>
      <c r="D56" s="721">
        <f t="shared" ref="D56:Q56" ca="1" si="7">SUM(D54:D55)</f>
        <v>0</v>
      </c>
      <c r="E56" s="721">
        <f t="shared" si="7"/>
        <v>1830.887123684</v>
      </c>
      <c r="F56" s="721">
        <f t="shared" si="7"/>
        <v>3.4023537540803668</v>
      </c>
      <c r="G56" s="721">
        <f t="shared" si="7"/>
        <v>1386.258816600832</v>
      </c>
      <c r="H56" s="721">
        <f t="shared" si="7"/>
        <v>0</v>
      </c>
      <c r="I56" s="721">
        <f t="shared" si="7"/>
        <v>0</v>
      </c>
      <c r="J56" s="721">
        <f t="shared" si="7"/>
        <v>0</v>
      </c>
      <c r="K56" s="721">
        <f t="shared" si="7"/>
        <v>69.672574021500907</v>
      </c>
      <c r="L56" s="721">
        <f t="shared" si="7"/>
        <v>0</v>
      </c>
      <c r="M56" s="721">
        <f t="shared" si="7"/>
        <v>0</v>
      </c>
      <c r="N56" s="721">
        <f t="shared" si="7"/>
        <v>0</v>
      </c>
      <c r="O56" s="721">
        <f t="shared" si="7"/>
        <v>0</v>
      </c>
      <c r="P56" s="721">
        <f t="shared" si="7"/>
        <v>0</v>
      </c>
      <c r="Q56" s="722">
        <f t="shared" si="7"/>
        <v>0</v>
      </c>
      <c r="R56" s="723">
        <f ca="1">SUM(R54:R55)</f>
        <v>3970.0292658996232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23555.251692185211</v>
      </c>
      <c r="D61" s="729">
        <f t="shared" ref="D61:Q61" ca="1" si="8">D46+D52+D56</f>
        <v>1573.5630252100839</v>
      </c>
      <c r="E61" s="729">
        <f t="shared" ca="1" si="8"/>
        <v>41982.168622770543</v>
      </c>
      <c r="F61" s="729">
        <f t="shared" si="8"/>
        <v>1133.8697158156149</v>
      </c>
      <c r="G61" s="729">
        <f t="shared" ca="1" si="8"/>
        <v>30682.143385036241</v>
      </c>
      <c r="H61" s="729">
        <f t="shared" si="8"/>
        <v>40775.896963566978</v>
      </c>
      <c r="I61" s="729">
        <f t="shared" si="8"/>
        <v>6918.7605628529336</v>
      </c>
      <c r="J61" s="729">
        <f t="shared" si="8"/>
        <v>0</v>
      </c>
      <c r="K61" s="729">
        <f t="shared" si="8"/>
        <v>85.025529127973883</v>
      </c>
      <c r="L61" s="729">
        <f t="shared" si="8"/>
        <v>0</v>
      </c>
      <c r="M61" s="729">
        <f t="shared" ca="1" si="8"/>
        <v>0</v>
      </c>
      <c r="N61" s="729">
        <f t="shared" si="8"/>
        <v>0</v>
      </c>
      <c r="O61" s="729">
        <f t="shared" ca="1" si="8"/>
        <v>0</v>
      </c>
      <c r="P61" s="729">
        <f t="shared" si="8"/>
        <v>0</v>
      </c>
      <c r="Q61" s="729">
        <f t="shared" si="8"/>
        <v>0</v>
      </c>
      <c r="R61" s="729">
        <f ca="1">R46+R52+R56</f>
        <v>146706.6794965656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0.20680815657332116</v>
      </c>
      <c r="D63" s="773">
        <f t="shared" ca="1" si="9"/>
        <v>0.23764705882352938</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12298.332768026194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4635</v>
      </c>
      <c r="D76" s="1020">
        <f>'lokale energieproductie'!C8</f>
        <v>5452.9411764705883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1101.4941176470588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12298.332768026194</v>
      </c>
      <c r="C78" s="744">
        <f>SUM(C72:C77)</f>
        <v>4635</v>
      </c>
      <c r="D78" s="745">
        <f t="shared" ref="D78:H78" si="10">SUM(D76:D77)</f>
        <v>5452.9411764705883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1101.4941176470588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6621.4285714285716</v>
      </c>
      <c r="D87" s="766">
        <f>'lokale energieproductie'!C17</f>
        <v>7789.9159663865539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1573.5630252100839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6621.4285714285716</v>
      </c>
      <c r="D90" s="744">
        <f t="shared" ref="D90:H90" si="12">SUM(D87:D89)</f>
        <v>7789.9159663865539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1573.5630252100839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12298.332768026194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4635</v>
      </c>
      <c r="C8" s="558">
        <f>B101</f>
        <v>5452.9411764705883</v>
      </c>
      <c r="D8" s="991"/>
      <c r="E8" s="991">
        <f>E101</f>
        <v>0</v>
      </c>
      <c r="F8" s="992"/>
      <c r="G8" s="559"/>
      <c r="H8" s="991">
        <f>I101</f>
        <v>0</v>
      </c>
      <c r="I8" s="991">
        <f>G101+F101</f>
        <v>0</v>
      </c>
      <c r="J8" s="991">
        <f>H101+D101+C101</f>
        <v>0</v>
      </c>
      <c r="K8" s="991"/>
      <c r="L8" s="991"/>
      <c r="M8" s="991"/>
      <c r="N8" s="560"/>
      <c r="O8" s="561">
        <f>C8*$C$12+D8*$D$12+E8*$E$12+F8*$F$12+G8*$G$12+H8*$H$12+I8*$I$12+J8*$J$12</f>
        <v>1101.4941176470588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16933.332768026194</v>
      </c>
      <c r="C10" s="570">
        <f t="shared" ref="C10:L10" si="0">SUM(C8:C9)</f>
        <v>5452.9411764705883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1101.4941176470588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6621.4285714285716</v>
      </c>
      <c r="C17" s="582">
        <f>B102</f>
        <v>7789.9159663865539</v>
      </c>
      <c r="D17" s="583"/>
      <c r="E17" s="583">
        <f>E102</f>
        <v>0</v>
      </c>
      <c r="F17" s="584"/>
      <c r="G17" s="585"/>
      <c r="H17" s="582">
        <f>I102</f>
        <v>0</v>
      </c>
      <c r="I17" s="583">
        <f>G102+F102</f>
        <v>0</v>
      </c>
      <c r="J17" s="583">
        <f>H102+D102+C102</f>
        <v>0</v>
      </c>
      <c r="K17" s="583"/>
      <c r="L17" s="583"/>
      <c r="M17" s="583"/>
      <c r="N17" s="998"/>
      <c r="O17" s="586">
        <f>C17*$C$22+E17*$E$22+H17*$H$22+I17*$I$22+J17*$J$22+D17*$D$22+F17*$F$22+G17*$G$22+K17*$K$22+L17*$L$22</f>
        <v>1573.5630252100839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6621.4285714285716</v>
      </c>
      <c r="C20" s="569">
        <f>SUM(C17:C19)</f>
        <v>7789.9159663865539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1573.5630252100839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73006</v>
      </c>
      <c r="C28" s="789">
        <v>3740</v>
      </c>
      <c r="D28" s="642" t="s">
        <v>946</v>
      </c>
      <c r="E28" s="641" t="s">
        <v>947</v>
      </c>
      <c r="F28" s="641" t="s">
        <v>948</v>
      </c>
      <c r="G28" s="641" t="s">
        <v>949</v>
      </c>
      <c r="H28" s="641" t="s">
        <v>950</v>
      </c>
      <c r="I28" s="641" t="s">
        <v>947</v>
      </c>
      <c r="J28" s="788">
        <v>39794</v>
      </c>
      <c r="K28" s="788">
        <v>39794</v>
      </c>
      <c r="L28" s="641" t="s">
        <v>951</v>
      </c>
      <c r="M28" s="641">
        <v>1030</v>
      </c>
      <c r="N28" s="641">
        <v>4635</v>
      </c>
      <c r="O28" s="641">
        <v>6621.4285714285716</v>
      </c>
      <c r="P28" s="641">
        <v>13242.857142857143</v>
      </c>
      <c r="Q28" s="641">
        <v>0</v>
      </c>
      <c r="R28" s="641">
        <v>0</v>
      </c>
      <c r="S28" s="641">
        <v>0</v>
      </c>
      <c r="T28" s="641">
        <v>0</v>
      </c>
      <c r="U28" s="641">
        <v>0</v>
      </c>
      <c r="V28" s="641">
        <v>0</v>
      </c>
      <c r="W28" s="641"/>
      <c r="X28" s="641">
        <v>400</v>
      </c>
      <c r="Y28" s="641" t="s">
        <v>37</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1030</v>
      </c>
      <c r="N58" s="599">
        <f>SUM(N28:N57)</f>
        <v>4635</v>
      </c>
      <c r="O58" s="599">
        <f t="shared" ref="O58:W58" si="2">SUM(O28:O57)</f>
        <v>6621.4285714285716</v>
      </c>
      <c r="P58" s="599">
        <f t="shared" si="2"/>
        <v>13242.857142857143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1030</v>
      </c>
      <c r="N59" s="599">
        <f t="shared" si="3"/>
        <v>4635</v>
      </c>
      <c r="O59" s="599">
        <f t="shared" si="3"/>
        <v>6621.4285714285716</v>
      </c>
      <c r="P59" s="599">
        <f t="shared" si="3"/>
        <v>13242.857142857143</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5452.9411764705883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7789.9159663865539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55992.945419844684</v>
      </c>
      <c r="C4" s="461">
        <f>huishoudens!C8</f>
        <v>0</v>
      </c>
      <c r="D4" s="461">
        <f>huishoudens!D8</f>
        <v>77633.960183999996</v>
      </c>
      <c r="E4" s="461">
        <f>huishoudens!E8</f>
        <v>3752.5440131584746</v>
      </c>
      <c r="F4" s="461">
        <f>huishoudens!F8</f>
        <v>93411.106446991645</v>
      </c>
      <c r="G4" s="461">
        <f>huishoudens!G8</f>
        <v>0</v>
      </c>
      <c r="H4" s="461">
        <f>huishoudens!H8</f>
        <v>0</v>
      </c>
      <c r="I4" s="461">
        <f>huishoudens!I8</f>
        <v>0</v>
      </c>
      <c r="J4" s="461">
        <f>huishoudens!J8</f>
        <v>0</v>
      </c>
      <c r="K4" s="461">
        <f>huishoudens!K8</f>
        <v>0</v>
      </c>
      <c r="L4" s="461">
        <f>huishoudens!L8</f>
        <v>0</v>
      </c>
      <c r="M4" s="461">
        <f>huishoudens!M8</f>
        <v>0</v>
      </c>
      <c r="N4" s="461">
        <f>huishoudens!N8</f>
        <v>27022.340949873338</v>
      </c>
      <c r="O4" s="461">
        <f>huishoudens!O8</f>
        <v>211.05</v>
      </c>
      <c r="P4" s="462">
        <f>huishoudens!P8</f>
        <v>648.26666666666665</v>
      </c>
      <c r="Q4" s="463">
        <f>SUM(B4:P4)</f>
        <v>258672.2136805348</v>
      </c>
    </row>
    <row r="5" spans="1:17">
      <c r="A5" s="460" t="s">
        <v>156</v>
      </c>
      <c r="B5" s="461">
        <f ca="1">tertiair!B16</f>
        <v>32487.980000000003</v>
      </c>
      <c r="C5" s="461">
        <f ca="1">tertiair!C16</f>
        <v>0</v>
      </c>
      <c r="D5" s="461">
        <f ca="1">tertiair!D16</f>
        <v>26717.042462000005</v>
      </c>
      <c r="E5" s="461">
        <f>tertiair!E16</f>
        <v>299.62386979770304</v>
      </c>
      <c r="F5" s="461">
        <f ca="1">tertiair!F16</f>
        <v>7432.8665360662189</v>
      </c>
      <c r="G5" s="461">
        <f>tertiair!G16</f>
        <v>0</v>
      </c>
      <c r="H5" s="461">
        <f>tertiair!H16</f>
        <v>0</v>
      </c>
      <c r="I5" s="461">
        <f>tertiair!I16</f>
        <v>0</v>
      </c>
      <c r="J5" s="461">
        <f>tertiair!J16</f>
        <v>0</v>
      </c>
      <c r="K5" s="461">
        <f>tertiair!K16</f>
        <v>0</v>
      </c>
      <c r="L5" s="461">
        <f ca="1">tertiair!L16</f>
        <v>0</v>
      </c>
      <c r="M5" s="461">
        <f>tertiair!M16</f>
        <v>0</v>
      </c>
      <c r="N5" s="461">
        <f ca="1">tertiair!N16</f>
        <v>4148.6665681843579</v>
      </c>
      <c r="O5" s="461">
        <f>tertiair!O16</f>
        <v>0</v>
      </c>
      <c r="P5" s="462">
        <f>tertiair!P16</f>
        <v>0</v>
      </c>
      <c r="Q5" s="460">
        <f t="shared" ref="Q5:Q14" ca="1" si="0">SUM(B5:P5)</f>
        <v>71086.179436048289</v>
      </c>
    </row>
    <row r="6" spans="1:17">
      <c r="A6" s="460" t="s">
        <v>194</v>
      </c>
      <c r="B6" s="461">
        <f>'openbare verlichting'!B8</f>
        <v>1928.662</v>
      </c>
      <c r="C6" s="461"/>
      <c r="D6" s="461"/>
      <c r="E6" s="461"/>
      <c r="F6" s="461"/>
      <c r="G6" s="461"/>
      <c r="H6" s="461"/>
      <c r="I6" s="461"/>
      <c r="J6" s="461"/>
      <c r="K6" s="461"/>
      <c r="L6" s="461"/>
      <c r="M6" s="461"/>
      <c r="N6" s="461"/>
      <c r="O6" s="461"/>
      <c r="P6" s="462"/>
      <c r="Q6" s="460">
        <f t="shared" si="0"/>
        <v>1928.662</v>
      </c>
    </row>
    <row r="7" spans="1:17">
      <c r="A7" s="460" t="s">
        <v>112</v>
      </c>
      <c r="B7" s="461">
        <f>landbouw!B8</f>
        <v>1591.0060000000001</v>
      </c>
      <c r="C7" s="461">
        <f>landbouw!C8</f>
        <v>0</v>
      </c>
      <c r="D7" s="461">
        <f>landbouw!D8</f>
        <v>1538.2446420000001</v>
      </c>
      <c r="E7" s="461">
        <f>landbouw!E8</f>
        <v>14.988342528988399</v>
      </c>
      <c r="F7" s="461">
        <f>landbouw!F8</f>
        <v>5191.9805865199696</v>
      </c>
      <c r="G7" s="461">
        <f>landbouw!G8</f>
        <v>0</v>
      </c>
      <c r="H7" s="461">
        <f>landbouw!H8</f>
        <v>0</v>
      </c>
      <c r="I7" s="461">
        <f>landbouw!I8</f>
        <v>0</v>
      </c>
      <c r="J7" s="461">
        <f>landbouw!J8</f>
        <v>196.81518085169751</v>
      </c>
      <c r="K7" s="461">
        <f>landbouw!K8</f>
        <v>0</v>
      </c>
      <c r="L7" s="461">
        <f>landbouw!L8</f>
        <v>0</v>
      </c>
      <c r="M7" s="461">
        <f>landbouw!M8</f>
        <v>0</v>
      </c>
      <c r="N7" s="461">
        <f>landbouw!N8</f>
        <v>0</v>
      </c>
      <c r="O7" s="461">
        <f>landbouw!O8</f>
        <v>0</v>
      </c>
      <c r="P7" s="462">
        <f>landbouw!P8</f>
        <v>0</v>
      </c>
      <c r="Q7" s="460">
        <f t="shared" si="0"/>
        <v>8533.0347519006555</v>
      </c>
    </row>
    <row r="8" spans="1:17">
      <c r="A8" s="460" t="s">
        <v>685</v>
      </c>
      <c r="B8" s="461">
        <f>industrie!B18</f>
        <v>20197.983</v>
      </c>
      <c r="C8" s="461">
        <f>industrie!C18</f>
        <v>6621.4285714285716</v>
      </c>
      <c r="D8" s="461">
        <f>industrie!D18</f>
        <v>94405.334343142866</v>
      </c>
      <c r="E8" s="461">
        <f>industrie!E18</f>
        <v>174.20079960207116</v>
      </c>
      <c r="F8" s="461">
        <f>industrie!F18</f>
        <v>8878.441130932415</v>
      </c>
      <c r="G8" s="461">
        <f>industrie!G18</f>
        <v>0</v>
      </c>
      <c r="H8" s="461">
        <f>industrie!H18</f>
        <v>0</v>
      </c>
      <c r="I8" s="461">
        <f>industrie!I18</f>
        <v>0</v>
      </c>
      <c r="J8" s="461">
        <f>industrie!J18</f>
        <v>43.36992967930221</v>
      </c>
      <c r="K8" s="461">
        <f>industrie!K18</f>
        <v>0</v>
      </c>
      <c r="L8" s="461">
        <f>industrie!L18</f>
        <v>0</v>
      </c>
      <c r="M8" s="461">
        <f>industrie!M18</f>
        <v>0</v>
      </c>
      <c r="N8" s="461">
        <f>industrie!N18</f>
        <v>792.71068514700096</v>
      </c>
      <c r="O8" s="461">
        <f>industrie!O18</f>
        <v>0</v>
      </c>
      <c r="P8" s="462">
        <f>industrie!P18</f>
        <v>0</v>
      </c>
      <c r="Q8" s="460">
        <f t="shared" si="0"/>
        <v>131113.46845993222</v>
      </c>
    </row>
    <row r="9" spans="1:17" s="466" customFormat="1">
      <c r="A9" s="464" t="s">
        <v>579</v>
      </c>
      <c r="B9" s="465">
        <f>transport!B14</f>
        <v>4.3303551414695907</v>
      </c>
      <c r="C9" s="465">
        <f>transport!C14</f>
        <v>0</v>
      </c>
      <c r="D9" s="465">
        <f>transport!D14</f>
        <v>12.38330336476718</v>
      </c>
      <c r="E9" s="465">
        <f>transport!E14</f>
        <v>753.66374943088977</v>
      </c>
      <c r="F9" s="465">
        <f>transport!F14</f>
        <v>0</v>
      </c>
      <c r="G9" s="465">
        <f>transport!G14</f>
        <v>149711.16378862792</v>
      </c>
      <c r="H9" s="465">
        <f>transport!H14</f>
        <v>27786.186999409372</v>
      </c>
      <c r="I9" s="465">
        <f>transport!I14</f>
        <v>0</v>
      </c>
      <c r="J9" s="465">
        <f>transport!J14</f>
        <v>0</v>
      </c>
      <c r="K9" s="465">
        <f>transport!K14</f>
        <v>0</v>
      </c>
      <c r="L9" s="465">
        <f>transport!L14</f>
        <v>0</v>
      </c>
      <c r="M9" s="465">
        <f>transport!M14</f>
        <v>7937.7103754888558</v>
      </c>
      <c r="N9" s="465">
        <f>transport!N14</f>
        <v>0</v>
      </c>
      <c r="O9" s="465">
        <f>transport!O14</f>
        <v>0</v>
      </c>
      <c r="P9" s="465">
        <f>transport!P14</f>
        <v>0</v>
      </c>
      <c r="Q9" s="464">
        <f>SUM(B9:P9)</f>
        <v>186205.43857146328</v>
      </c>
    </row>
    <row r="10" spans="1:17">
      <c r="A10" s="460" t="s">
        <v>569</v>
      </c>
      <c r="B10" s="461">
        <f>transport!B54</f>
        <v>0</v>
      </c>
      <c r="C10" s="461">
        <f>transport!C54</f>
        <v>0</v>
      </c>
      <c r="D10" s="461">
        <f>transport!D54</f>
        <v>0</v>
      </c>
      <c r="E10" s="461">
        <f>transport!E54</f>
        <v>0</v>
      </c>
      <c r="F10" s="461">
        <f>transport!F54</f>
        <v>0</v>
      </c>
      <c r="G10" s="461">
        <f>transport!G54</f>
        <v>3007.5514307240323</v>
      </c>
      <c r="H10" s="461">
        <f>transport!H54</f>
        <v>0</v>
      </c>
      <c r="I10" s="461">
        <f>transport!I54</f>
        <v>0</v>
      </c>
      <c r="J10" s="461">
        <f>transport!J54</f>
        <v>0</v>
      </c>
      <c r="K10" s="461">
        <f>transport!K54</f>
        <v>0</v>
      </c>
      <c r="L10" s="461">
        <f>transport!L54</f>
        <v>0</v>
      </c>
      <c r="M10" s="461">
        <f>transport!M54</f>
        <v>132.06654458950987</v>
      </c>
      <c r="N10" s="461">
        <f>transport!N54</f>
        <v>0</v>
      </c>
      <c r="O10" s="461">
        <f>transport!O54</f>
        <v>0</v>
      </c>
      <c r="P10" s="462">
        <f>transport!P54</f>
        <v>0</v>
      </c>
      <c r="Q10" s="460">
        <f t="shared" si="0"/>
        <v>3139.617975313542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1696.1389999999999</v>
      </c>
      <c r="C14" s="468"/>
      <c r="D14" s="468">
        <f>'SEAP template'!E25</f>
        <v>7525.5529999999999</v>
      </c>
      <c r="E14" s="468"/>
      <c r="F14" s="468"/>
      <c r="G14" s="468"/>
      <c r="H14" s="468"/>
      <c r="I14" s="468"/>
      <c r="J14" s="468"/>
      <c r="K14" s="468"/>
      <c r="L14" s="468"/>
      <c r="M14" s="468"/>
      <c r="N14" s="468"/>
      <c r="O14" s="468"/>
      <c r="P14" s="469"/>
      <c r="Q14" s="460">
        <f t="shared" si="0"/>
        <v>9221.6919999999991</v>
      </c>
    </row>
    <row r="15" spans="1:17" s="473" customFormat="1">
      <c r="A15" s="470" t="s">
        <v>573</v>
      </c>
      <c r="B15" s="471">
        <f ca="1">SUM(B4:B14)</f>
        <v>113899.04577498614</v>
      </c>
      <c r="C15" s="471">
        <f t="shared" ref="C15:Q15" ca="1" si="1">SUM(C4:C14)</f>
        <v>6621.4285714285716</v>
      </c>
      <c r="D15" s="471">
        <f t="shared" ca="1" si="1"/>
        <v>207832.51793450763</v>
      </c>
      <c r="E15" s="471">
        <f t="shared" si="1"/>
        <v>4995.0207745181278</v>
      </c>
      <c r="F15" s="471">
        <f t="shared" ca="1" si="1"/>
        <v>114914.39470051025</v>
      </c>
      <c r="G15" s="471">
        <f t="shared" si="1"/>
        <v>152718.71521935196</v>
      </c>
      <c r="H15" s="471">
        <f t="shared" si="1"/>
        <v>27786.186999409372</v>
      </c>
      <c r="I15" s="471">
        <f t="shared" si="1"/>
        <v>0</v>
      </c>
      <c r="J15" s="471">
        <f t="shared" si="1"/>
        <v>240.18511053099971</v>
      </c>
      <c r="K15" s="471">
        <f t="shared" si="1"/>
        <v>0</v>
      </c>
      <c r="L15" s="471">
        <f t="shared" ca="1" si="1"/>
        <v>0</v>
      </c>
      <c r="M15" s="471">
        <f t="shared" si="1"/>
        <v>8069.7769200783659</v>
      </c>
      <c r="N15" s="471">
        <f t="shared" ca="1" si="1"/>
        <v>31963.718203204699</v>
      </c>
      <c r="O15" s="471">
        <f t="shared" si="1"/>
        <v>211.05</v>
      </c>
      <c r="P15" s="471">
        <f t="shared" si="1"/>
        <v>648.26666666666665</v>
      </c>
      <c r="Q15" s="471">
        <f t="shared" ca="1" si="1"/>
        <v>669900.30687519291</v>
      </c>
    </row>
    <row r="17" spans="1:17">
      <c r="A17" s="474" t="s">
        <v>574</v>
      </c>
      <c r="B17" s="778">
        <f ca="1">huishoudens!B10</f>
        <v>0.20680815657332116</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11579.797823388666</v>
      </c>
      <c r="C22" s="461">
        <f t="shared" ref="C22:C32" ca="1" si="3">C4*$C$17</f>
        <v>0</v>
      </c>
      <c r="D22" s="461">
        <f t="shared" ref="D22:D32" si="4">D4*$D$17</f>
        <v>15682.059957168</v>
      </c>
      <c r="E22" s="461">
        <f t="shared" ref="E22:E32" si="5">E4*$E$17</f>
        <v>851.82749098697377</v>
      </c>
      <c r="F22" s="461">
        <f t="shared" ref="F22:F32" si="6">F4*$F$17</f>
        <v>24940.765421346772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53054.450692890416</v>
      </c>
    </row>
    <row r="23" spans="1:17">
      <c r="A23" s="460" t="s">
        <v>156</v>
      </c>
      <c r="B23" s="461">
        <f t="shared" ca="1" si="2"/>
        <v>6718.7792545909269</v>
      </c>
      <c r="C23" s="461">
        <f t="shared" ca="1" si="3"/>
        <v>0</v>
      </c>
      <c r="D23" s="461">
        <f t="shared" ca="1" si="4"/>
        <v>5396.8425773240015</v>
      </c>
      <c r="E23" s="461">
        <f t="shared" si="5"/>
        <v>68.014618444078593</v>
      </c>
      <c r="F23" s="461">
        <f t="shared" ca="1" si="6"/>
        <v>1984.5753651296807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14168.211815488687</v>
      </c>
    </row>
    <row r="24" spans="1:17">
      <c r="A24" s="460" t="s">
        <v>194</v>
      </c>
      <c r="B24" s="461">
        <f t="shared" ca="1" si="2"/>
        <v>398.86303287301473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398.86303287301473</v>
      </c>
    </row>
    <row r="25" spans="1:17">
      <c r="A25" s="460" t="s">
        <v>112</v>
      </c>
      <c r="B25" s="461">
        <f t="shared" ca="1" si="2"/>
        <v>329.03301795709342</v>
      </c>
      <c r="C25" s="461">
        <f t="shared" ca="1" si="3"/>
        <v>0</v>
      </c>
      <c r="D25" s="461">
        <f t="shared" si="4"/>
        <v>310.72541768400004</v>
      </c>
      <c r="E25" s="461">
        <f t="shared" si="5"/>
        <v>3.4023537540803668</v>
      </c>
      <c r="F25" s="461">
        <f t="shared" si="6"/>
        <v>1386.258816600832</v>
      </c>
      <c r="G25" s="461">
        <f t="shared" si="7"/>
        <v>0</v>
      </c>
      <c r="H25" s="461">
        <f t="shared" si="8"/>
        <v>0</v>
      </c>
      <c r="I25" s="461">
        <f t="shared" si="9"/>
        <v>0</v>
      </c>
      <c r="J25" s="461">
        <f t="shared" si="10"/>
        <v>69.672574021500907</v>
      </c>
      <c r="K25" s="461">
        <f t="shared" si="11"/>
        <v>0</v>
      </c>
      <c r="L25" s="461">
        <f t="shared" si="12"/>
        <v>0</v>
      </c>
      <c r="M25" s="461">
        <f t="shared" si="13"/>
        <v>0</v>
      </c>
      <c r="N25" s="461">
        <f t="shared" si="14"/>
        <v>0</v>
      </c>
      <c r="O25" s="461">
        <f t="shared" si="15"/>
        <v>0</v>
      </c>
      <c r="P25" s="462">
        <f t="shared" si="16"/>
        <v>0</v>
      </c>
      <c r="Q25" s="460">
        <f t="shared" ca="1" si="17"/>
        <v>2099.092180017507</v>
      </c>
    </row>
    <row r="26" spans="1:17">
      <c r="A26" s="460" t="s">
        <v>685</v>
      </c>
      <c r="B26" s="461">
        <f t="shared" ca="1" si="2"/>
        <v>4177.1076307292788</v>
      </c>
      <c r="C26" s="461">
        <f t="shared" ca="1" si="3"/>
        <v>1573.5630252100839</v>
      </c>
      <c r="D26" s="461">
        <f t="shared" si="4"/>
        <v>19069.87753731486</v>
      </c>
      <c r="E26" s="461">
        <f t="shared" si="5"/>
        <v>39.543581509670155</v>
      </c>
      <c r="F26" s="461">
        <f t="shared" si="6"/>
        <v>2370.5437819589552</v>
      </c>
      <c r="G26" s="461">
        <f t="shared" si="7"/>
        <v>0</v>
      </c>
      <c r="H26" s="461">
        <f t="shared" si="8"/>
        <v>0</v>
      </c>
      <c r="I26" s="461">
        <f t="shared" si="9"/>
        <v>0</v>
      </c>
      <c r="J26" s="461">
        <f t="shared" si="10"/>
        <v>15.352955106472981</v>
      </c>
      <c r="K26" s="461">
        <f t="shared" si="11"/>
        <v>0</v>
      </c>
      <c r="L26" s="461">
        <f t="shared" si="12"/>
        <v>0</v>
      </c>
      <c r="M26" s="461">
        <f t="shared" si="13"/>
        <v>0</v>
      </c>
      <c r="N26" s="461">
        <f t="shared" si="14"/>
        <v>0</v>
      </c>
      <c r="O26" s="461">
        <f t="shared" si="15"/>
        <v>0</v>
      </c>
      <c r="P26" s="462">
        <f t="shared" si="16"/>
        <v>0</v>
      </c>
      <c r="Q26" s="460">
        <f t="shared" ca="1" si="17"/>
        <v>27245.988511829324</v>
      </c>
    </row>
    <row r="27" spans="1:17" s="466" customFormat="1">
      <c r="A27" s="464" t="s">
        <v>579</v>
      </c>
      <c r="B27" s="772">
        <f t="shared" ca="1" si="2"/>
        <v>0.89555276411512941</v>
      </c>
      <c r="C27" s="465">
        <f t="shared" ca="1" si="3"/>
        <v>0</v>
      </c>
      <c r="D27" s="465">
        <f t="shared" si="4"/>
        <v>2.5014272796829706</v>
      </c>
      <c r="E27" s="465">
        <f t="shared" si="5"/>
        <v>171.08167112081199</v>
      </c>
      <c r="F27" s="465">
        <f t="shared" si="6"/>
        <v>0</v>
      </c>
      <c r="G27" s="465">
        <f t="shared" si="7"/>
        <v>39972.880731563659</v>
      </c>
      <c r="H27" s="465">
        <f t="shared" si="8"/>
        <v>6918.7605628529336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47066.119945581202</v>
      </c>
    </row>
    <row r="28" spans="1:17">
      <c r="A28" s="460" t="s">
        <v>569</v>
      </c>
      <c r="B28" s="461">
        <f t="shared" ca="1" si="2"/>
        <v>0</v>
      </c>
      <c r="C28" s="461">
        <f t="shared" ca="1" si="3"/>
        <v>0</v>
      </c>
      <c r="D28" s="461">
        <f t="shared" si="4"/>
        <v>0</v>
      </c>
      <c r="E28" s="461">
        <f t="shared" si="5"/>
        <v>0</v>
      </c>
      <c r="F28" s="461">
        <f t="shared" si="6"/>
        <v>0</v>
      </c>
      <c r="G28" s="461">
        <f t="shared" si="7"/>
        <v>803.01623200331665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803.01623200331665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350.77537988211634</v>
      </c>
      <c r="C32" s="461">
        <f t="shared" ca="1" si="3"/>
        <v>0</v>
      </c>
      <c r="D32" s="461">
        <f t="shared" si="4"/>
        <v>1520.1617060000001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1870.9370858821164</v>
      </c>
    </row>
    <row r="33" spans="1:17" s="473" customFormat="1">
      <c r="A33" s="470" t="s">
        <v>573</v>
      </c>
      <c r="B33" s="471">
        <f ca="1">SUM(B22:B32)</f>
        <v>23555.251692185211</v>
      </c>
      <c r="C33" s="471">
        <f t="shared" ref="C33:Q33" ca="1" si="18">SUM(C22:C32)</f>
        <v>1573.5630252100839</v>
      </c>
      <c r="D33" s="471">
        <f t="shared" ca="1" si="18"/>
        <v>41982.168622770543</v>
      </c>
      <c r="E33" s="471">
        <f t="shared" si="18"/>
        <v>1133.8697158156149</v>
      </c>
      <c r="F33" s="471">
        <f t="shared" ca="1" si="18"/>
        <v>30682.143385036237</v>
      </c>
      <c r="G33" s="471">
        <f t="shared" si="18"/>
        <v>40775.896963566978</v>
      </c>
      <c r="H33" s="471">
        <f t="shared" si="18"/>
        <v>6918.7605628529336</v>
      </c>
      <c r="I33" s="471">
        <f t="shared" si="18"/>
        <v>0</v>
      </c>
      <c r="J33" s="471">
        <f t="shared" si="18"/>
        <v>85.025529127973883</v>
      </c>
      <c r="K33" s="471">
        <f t="shared" si="18"/>
        <v>0</v>
      </c>
      <c r="L33" s="471">
        <f t="shared" ca="1" si="18"/>
        <v>0</v>
      </c>
      <c r="M33" s="471">
        <f t="shared" si="18"/>
        <v>0</v>
      </c>
      <c r="N33" s="471">
        <f t="shared" ca="1" si="18"/>
        <v>0</v>
      </c>
      <c r="O33" s="471">
        <f t="shared" si="18"/>
        <v>0</v>
      </c>
      <c r="P33" s="471">
        <f t="shared" si="18"/>
        <v>0</v>
      </c>
      <c r="Q33" s="471">
        <f t="shared" ca="1" si="18"/>
        <v>146706.67949656557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12298.332768026194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4635</v>
      </c>
      <c r="D8" s="1037">
        <f>'SEAP template'!D76</f>
        <v>5452.9411764705883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1101.4941176470588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12298.332768026194</v>
      </c>
      <c r="C10" s="1041">
        <f>SUM(C4:C9)</f>
        <v>4635</v>
      </c>
      <c r="D10" s="1041">
        <f t="shared" ref="D10:H10" si="0">SUM(D8:D9)</f>
        <v>5452.9411764705883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1101.4941176470588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0.20680815657332116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6621.4285714285716</v>
      </c>
      <c r="D17" s="1038">
        <f>'SEAP template'!D87</f>
        <v>7789.9159663865539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1573.5630252100839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6621.4285714285716</v>
      </c>
      <c r="D20" s="1041">
        <f t="shared" ref="D20:H20" si="2">SUM(D17:D19)</f>
        <v>7789.9159663865539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1573.5630252100839</v>
      </c>
    </row>
    <row r="22" spans="1:16">
      <c r="A22" s="474" t="s">
        <v>933</v>
      </c>
      <c r="B22" s="778" t="s">
        <v>927</v>
      </c>
      <c r="C22" s="778">
        <f ca="1">'EF ele_warmte'!B22</f>
        <v>0.23764705882352938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0.20680815657332116</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2019-06-29T16:14:58Z</dcterms:modified>
</cp:coreProperties>
</file>