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<sst xmlns="http://schemas.openxmlformats.org/spreadsheetml/2006/main" count="2492" uniqueCount="953">
  <si>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</si>
  <si>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</si>
  <si>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</si>
  <si>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</si>
  <si>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</si>
  <si>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</si>
  <si>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</si>
  <si>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</si>
  <si>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</si>
  <si>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</si>
  <si>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</si>
  <si>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</si>
  <si>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</si>
  <si>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</si>
  <si>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</si>
  <si>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</si>
  <si>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</si>
  <si>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</si>
  <si>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</si>
  <si>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</si>
  <si>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</si>
  <si>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</si>
  <si>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</si>
  <si>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</si>
  <si>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</si>
  <si>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</si>
  <si>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</si>
  <si>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</si>
  <si>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</si>
  <si>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</si>
  <si>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</si>
  <si>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</si>
  <si>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</si>
  <si>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</si>
  <si>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</si>
  <si>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</si>
  <si>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</si>
  <si>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</si>
  <si>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</si>
  <si>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</si>
  <si>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</si>
  <si>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</si>
  <si>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</si>
  <si>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</si>
  <si>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</si>
  <si>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</si>
  <si>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</si>
  <si>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</si>
  <si>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</si>
  <si>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</si>
  <si>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</si>
  <si>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</si>
  <si>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</si>
  <si>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</si>
  <si>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</si>
  <si>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</si>
  <si>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</si>
  <si>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</si>
  <si>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</si>
  <si>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</si>
  <si>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</si>
  <si>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</si>
  <si>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</si>
  <si>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</si>
  <si>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</si>
  <si>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</si>
  <si>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</si>
  <si>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</si>
  <si>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</si>
  <si>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</si>
  <si>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</si>
  <si>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</si>
  <si>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</si>
  <si>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</si>
  <si>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</si>
  <si>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</si>
  <si>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</si>
  <si>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</si>
  <si>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</si>
  <si>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</si>
  <si>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</si>
  <si>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</si>
  <si>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</si>
  <si>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</si>
  <si>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</si>
  <si>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</si>
  <si>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</si>
  <si>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</si>
  <si>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</si>
  <si>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</si>
  <si>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</si>
  <si>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</si>
  <si>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</si>
  <si>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</si>
  <si>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</si>
  <si>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</si>
  <si>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</si>
  <si>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</si>
  <si>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</si>
  <si>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</si>
  <si>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</si>
  <si>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</si>
  <si>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</si>
  <si>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</si>
  <si>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</si>
  <si>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</si>
  <si>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</si>
  <si>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</si>
  <si>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</si>
  <si>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</si>
  <si>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</si>
  <si>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</si>
  <si>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</si>
  <si>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</si>
  <si>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</si>
  <si>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</si>
  <si>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</si>
  <si>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</si>
  <si>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</si>
  <si>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</si>
  <si>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</si>
  <si>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</si>
  <si>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</si>
  <si>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</si>
  <si>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</si>
  <si>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</si>
  <si>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</si>
  <si>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</si>
  <si>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</si>
  <si>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</si>
  <si>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</si>
  <si>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</si>
  <si>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</si>
  <si>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</si>
  <si>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</si>
  <si>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</si>
  <si>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</si>
  <si>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</si>
  <si>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</si>
  <si>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</si>
  <si>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</si>
  <si>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</si>
  <si>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</si>
  <si>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</si>
  <si>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</si>
  <si>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</si>
  <si>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</si>
  <si>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</si>
  <si>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</si>
  <si>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</si>
  <si>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</si>
  <si>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</si>
  <si>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</si>
  <si>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</si>
  <si>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</si>
  <si>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</si>
  <si>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</si>
  <si>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</si>
  <si>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</si>
  <si>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</si>
  <si>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</si>
  <si>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</si>
  <si>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</si>
  <si>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</si>
  <si>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</si>
  <si>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</si>
  <si>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</si>
  <si>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</si>
  <si>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</si>
  <si>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</si>
  <si>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</si>
  <si>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</si>
  <si>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</si>
  <si>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</si>
  <si>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</si>
  <si>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</si>
  <si>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</si>
  <si>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</si>
  <si>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</si>
  <si>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</si>
  <si>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</si>
  <si>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</si>
  <si>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</si>
  <si>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</si>
  <si>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</si>
  <si>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</si>
  <si>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</si>
  <si>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</si>
  <si>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</si>
  <si>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</si>
  <si>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</si>
  <si>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</si>
  <si>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</si>
  <si>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</si>
  <si>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</si>
  <si>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</si>
  <si>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</si>
  <si>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</si>
  <si>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</si>
  <si>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</si>
  <si>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</si>
  <si>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</si>
  <si>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</si>
  <si>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</si>
  <si>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</si>
  <si>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</si>
  <si>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</si>
  <si>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</si>
  <si>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</si>
  <si>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</si>
  <si>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</si>
  <si>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</si>
  <si>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</si>
  <si>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</si>
  <si>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</si>
  <si>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</si>
  <si>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</si>
  <si>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</si>
  <si>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</si>
  <si>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</si>
  <si>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</si>
  <si>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</si>
  <si>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</si>
  <si>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</si>
  <si>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</si>
  <si>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</si>
  <si>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</si>
  <si>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</si>
  <si>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</si>
  <si>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</si>
  <si>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</si>
  <si>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</si>
  <si>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</si>
  <si>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</si>
  <si>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</si>
  <si>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</si>
  <si>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</si>
  <si>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</si>
  <si>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</si>
  <si>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</si>
  <si>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</si>
  <si>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</si>
  <si>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</si>
  <si>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</si>
  <si>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</si>
  <si>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</si>
  <si>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</si>
  <si>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</si>
  <si>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</si>
  <si>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</si>
  <si>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</si>
  <si>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</si>
  <si>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</si>
  <si>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</si>
  <si>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</si>
  <si>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</si>
  <si>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</si>
  <si>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</si>
  <si>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</si>
  <si>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</si>
  <si>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</si>
  <si>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</si>
  <si>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</si>
  <si>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</si>
  <si>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</si>
  <si>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</si>
  <si>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</si>
  <si>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</si>
  <si>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</si>
  <si>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</si>
  <si>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</si>
  <si>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</si>
  <si>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</si>
  <si>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</si>
  <si>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</si>
  <si>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</si>
  <si>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</si>
  <si>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</si>
  <si>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</si>
  <si>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</si>
  <si>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</si>
  <si>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</si>
  <si>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</si>
  <si>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</si>
  <si>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</si>
  <si>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</si>
  <si>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</si>
  <si>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</si>
  <si>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</si>
  <si>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</si>
  <si>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</si>
  <si>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</si>
  <si>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</si>
  <si>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</si>
  <si>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</si>
  <si>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</si>
  <si>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</si>
  <si>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</si>
  <si>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</si>
  <si>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</si>
  <si>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</si>
  <si>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</si>
  <si>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</si>
  <si>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</si>
  <si>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</si>
  <si>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</si>
  <si>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</si>
  <si>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</si>
  <si>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</si>
  <si>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</si>
  <si>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</si>
  <si>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</si>
  <si>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</si>
  <si>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</si>
  <si>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</si>
  <si>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</si>
  <si>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</si>
  <si>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</si>
  <si>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</si>
  <si>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</si>
  <si>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</si>
  <si>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</si>
  <si>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</si>
  <si>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</si>
  <si>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</si>
  <si>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</si>
  <si>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</si>
  <si>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</si>
  <si>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</si>
  <si>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</si>
  <si>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</si>
  <si>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</si>
  <si>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</si>
  <si>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</si>
  <si>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</si>
  <si>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</si>
  <si>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</si>
  <si>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</si>
  <si>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</si>
  <si>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</si>
  <si>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</si>
  <si>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</si>
  <si>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</si>
  <si>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</si>
  <si>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</si>
  <si>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</si>
  <si>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</si>
  <si>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</si>
  <si>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</si>
  <si>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</si>
  <si>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</si>
  <si>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</si>
  <si>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</si>
  <si>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</si>
  <si>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</si>
  <si>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</si>
  <si>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</si>
  <si>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</si>
  <si>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</si>
  <si>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</si>
  <si>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</si>
  <si>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</si>
  <si>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</si>
  <si>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</si>
  <si>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</si>
  <si>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</si>
  <si>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</si>
  <si>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</si>
  <si>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</si>
  <si>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</si>
  <si>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</si>
  <si>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</si>
  <si>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</si>
  <si>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</si>
  <si>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</si>
  <si>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</si>
  <si>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</si>
  <si>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</si>
  <si>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</si>
  <si>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</si>
  <si>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</si>
  <si>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</si>
  <si>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</si>
  <si>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</si>
  <si>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</si>
  <si>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</si>
  <si>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</si>
  <si>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</si>
  <si>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</si>
  <si>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</si>
  <si>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</si>
  <si>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</si>
  <si>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</si>
  <si>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</si>
  <si>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</si>
  <si>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</si>
  <si>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</si>
  <si>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</si>
  <si>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</si>
  <si>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</si>
  <si>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</si>
  <si>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</si>
  <si>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</si>
  <si>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</si>
  <si>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</si>
  <si>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</si>
  <si>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</si>
  <si>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</si>
  <si>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</si>
  <si>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</si>
  <si>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</si>
  <si>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</si>
  <si>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</si>
  <si>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</si>
  <si>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</si>
  <si>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</si>
  <si>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</si>
  <si>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</si>
  <si>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</si>
  <si>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</si>
  <si>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</si>
  <si>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</si>
  <si>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</si>
  <si>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</si>
  <si>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</si>
  <si>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</si>
  <si>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</si>
  <si>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</si>
  <si>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</si>
  <si>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</si>
  <si>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</si>
  <si>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</si>
  <si>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</si>
  <si>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</si>
  <si>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</si>
  <si>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</si>
  <si>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</si>
  <si>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</si>
  <si>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</si>
  <si>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</si>
  <si>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</si>
  <si>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</si>
  <si>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</si>
  <si>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</si>
  <si>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</si>
  <si>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</si>
  <si>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</si>
  <si>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</si>
  <si>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</si>
  <si>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</si>
  <si>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</si>
  <si>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</si>
  <si>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</si>
  <si>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</si>
  <si>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</si>
  <si>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</si>
  <si>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</si>
  <si>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</si>
  <si>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</si>
  <si>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</si>
  <si>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</si>
  <si>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</si>
  <si>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</si>
  <si>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</si>
  <si>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</si>
  <si>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</si>
  <si>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</si>
  <si>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</si>
  <si>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</si>
  <si>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</si>
  <si>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</si>
  <si>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</si>
  <si>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</si>
  <si>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</si>
  <si>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</si>
  <si>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</si>
  <si>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</si>
  <si>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</si>
  <si>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</si>
  <si>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</si>
  <si>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</si>
  <si>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</si>
  <si>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</si>
  <si>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</si>
  <si>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</si>
  <si>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</si>
  <si>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</si>
  <si>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</si>
  <si>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</si>
  <si>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</si>
  <si>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</si>
  <si>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</si>
  <si>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</si>
  <si>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</si>
  <si>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</si>
  <si>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</si>
  <si>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</si>
  <si>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</si>
  <si>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</si>
  <si>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</si>
  <si>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</si>
  <si>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</si>
  <si>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</si>
  <si>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</si>
  <si>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</si>
  <si>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</si>
  <si>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</si>
  <si>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</si>
  <si>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</si>
  <si>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</si>
  <si>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</si>
  <si>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</si>
  <si>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</si>
  <si>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</si>
  <si>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</si>
  <si>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</si>
  <si>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</si>
  <si>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</si>
  <si>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</si>
  <si>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</si>
  <si>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</si>
  <si>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</si>
  <si>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</si>
  <si>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</si>
  <si>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</si>
  <si>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</si>
  <si>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</si>
  <si>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</si>
  <si>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</si>
  <si>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</si>
  <si>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</si>
  <si>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</si>
  <si>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</si>
  <si>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</si>
  <si>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</si>
  <si>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</si>
  <si>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</si>
  <si>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</si>
  <si>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</si>
  <si>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</si>
  <si>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</si>
  <si>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</si>
  <si>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</si>
  <si>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</si>
  <si>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</si>
  <si>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</si>
  <si>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</si>
  <si>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</si>
  <si>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</si>
  <si>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</si>
  <si>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</si>
  <si>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</si>
  <si>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</si>
  <si>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</si>
  <si>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</si>
  <si>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</si>
  <si>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</si>
  <si>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</si>
  <si>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</si>
  <si>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</si>
  <si>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</si>
  <si>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</si>
  <si>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</si>
  <si>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</si>
  <si>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</si>
  <si>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</si>
  <si>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</si>
  <si>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</si>
  <si>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</si>
  <si>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</si>
  <si>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</si>
  <si>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</si>
  <si>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</si>
  <si>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</si>
  <si>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</si>
  <si>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</si>
  <si>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</si>
  <si>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</si>
  <si>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</si>
  <si>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</si>
  <si>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</si>
  <si>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</si>
  <si>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</si>
  <si>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</si>
  <si>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</si>
  <si>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</si>
  <si>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</si>
  <si>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</si>
  <si>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</si>
  <si>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</si>
  <si>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</si>
  <si>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</si>
  <si>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</si>
  <si>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</si>
  <si>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</si>
  <si>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</si>
  <si>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</si>
  <si>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</si>
  <si>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</si>
  <si>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</si>
  <si>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</si>
  <si>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</si>
  <si>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</si>
  <si>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</si>
  <si>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</si>
  <si>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</si>
  <si>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</si>
  <si>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</si>
  <si>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</si>
  <si>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</si>
  <si>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</si>
  <si>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</si>
  <si>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</si>
  <si>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</si>
  <si>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</si>
  <si>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</si>
  <si>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</si>
  <si>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</si>
  <si>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</si>
  <si>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</si>
  <si>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</si>
  <si>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</si>
  <si>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</si>
  <si>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</si>
  <si>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</si>
  <si>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</si>
  <si>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</si>
  <si>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</si>
  <si>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</si>
  <si>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</si>
  <si>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</si>
  <si>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</si>
  <si>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</si>
  <si>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</si>
  <si>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</si>
  <si>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</si>
  <si>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</si>
  <si>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</si>
  <si>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</si>
  <si>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</si>
  <si>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</si>
  <si>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</si>
  <si>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</si>
  <si>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</si>
  <si>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</si>
  <si>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</si>
  <si>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</si>
  <si>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</si>
  <si>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</si>
  <si>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</si>
  <si>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</si>
  <si>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</si>
  <si>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</si>
  <si>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</si>
  <si>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</si>
  <si>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</si>
  <si>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</si>
  <si>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</si>
  <si>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</si>
  <si>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</si>
  <si>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</si>
  <si>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</si>
  <si>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</si>
  <si>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</si>
  <si>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</si>
  <si>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</si>
  <si>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</si>
  <si>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</si>
  <si>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</si>
  <si>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</si>
  <si>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</si>
  <si>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</si>
  <si>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</si>
  <si>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</si>
  <si>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</si>
  <si>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</si>
  <si>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</si>
  <si>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</si>
  <si>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</si>
  <si>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</si>
  <si>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</si>
  <si>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</si>
  <si>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</si>
  <si>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</si>
  <si>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</si>
  <si>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</si>
  <si>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</si>
  <si>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</si>
  <si>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</si>
  <si>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</si>
  <si>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</si>
  <si>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</si>
  <si>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</si>
  <si>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</si>
  <si>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</si>
  <si>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</si>
  <si>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</si>
  <si>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</si>
  <si>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</si>
  <si>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</si>
  <si>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</si>
  <si>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</si>
  <si>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</si>
  <si>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</si>
  <si>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</si>
  <si>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</si>
  <si>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</si>
  <si>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</si>
  <si>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</si>
  <si>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</si>
  <si>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</si>
  <si>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</si>
  <si>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</si>
  <si>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</si>
  <si>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</si>
  <si>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</si>
  <si>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</si>
  <si>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</si>
  <si>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</si>
  <si>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</si>
  <si>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</si>
  <si>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</si>
  <si>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</si>
  <si>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</si>
  <si>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</si>
  <si>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</si>
  <si>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</si>
  <si>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</si>
  <si>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</si>
  <si>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</si>
  <si>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</si>
  <si>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</si>
  <si>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</si>
  <si>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</si>
  <si>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</si>
  <si>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</si>
  <si>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</si>
  <si>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</si>
  <si>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</si>
  <si>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</si>
  <si>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</si>
  <si>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</si>
  <si>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</si>
  <si>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</si>
  <si>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</si>
  <si>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</si>
  <si>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</si>
  <si>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</si>
  <si>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</si>
  <si>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</si>
  <si>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</si>
  <si>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</si>
  <si>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</si>
  <si>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</si>
  <si>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</si>
  <si>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</si>
  <si>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</si>
  <si>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</si>
  <si>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</si>
  <si>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</si>
  <si>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</si>
  <si>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</si>
  <si>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</si>
  <si>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</si>
  <si>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</si>
  <si>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</si>
  <si>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</si>
  <si>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</si>
  <si>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</si>
  <si>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</si>
  <si>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</si>
  <si>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</si>
  <si>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</si>
  <si>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</si>
  <si>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</si>
  <si>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</si>
  <si>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</si>
  <si>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</si>
  <si>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</si>
  <si>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</si>
  <si>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</si>
  <si>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</si>
  <si>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</si>
  <si>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</si>
  <si>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</si>
  <si>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</si>
  <si>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</si>
  <si>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</si>
  <si>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</si>
  <si>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</si>
  <si>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</si>
  <si>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</si>
  <si>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</si>
  <si>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</si>
  <si>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</si>
  <si>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</si>
  <si>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</si>
  <si>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</si>
  <si>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</si>
  <si>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</si>
  <si>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</si>
  <si>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</si>
  <si>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</si>
  <si>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</si>
  <si>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</si>
  <si>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</si>
  <si>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</si>
  <si>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</si>
  <si>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</si>
  <si>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</si>
  <si>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</si>
  <si>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</si>
  <si>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</si>
  <si>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</si>
  <si>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</si>
  <si>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</si>
  <si>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</si>
  <si>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</si>
  <si>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</si>
  <si>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</si>
  <si>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</si>
  <si>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</si>
  <si>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</si>
  <si>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</si>
  <si>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</si>
  <si>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</si>
  <si>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</si>
  <si>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</si>
  <si>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</si>
  <si>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</si>
  <si>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</si>
  <si>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</si>
  <si>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</si>
  <si>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</si>
  <si>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</si>
  <si>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</si>
  <si>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</si>
  <si>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</si>
  <si>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</si>
  <si>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</si>
  <si>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</si>
  <si>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</si>
  <si>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</si>
  <si>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</si>
  <si>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</si>
  <si>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</si>
  <si>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</si>
  <si>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</si>
  <si>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</si>
  <si>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</si>
  <si>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</si>
  <si>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</si>
  <si>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</si>
  <si>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</si>
  <si>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</si>
  <si>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</si>
  <si>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</si>
  <si>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</si>
  <si>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</si>
  <si>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</si>
  <si>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</si>
  <si>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</si>
  <si>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</si>
  <si>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</si>
  <si>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</si>
  <si>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</si>
  <si>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</si>
  <si>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</si>
  <si>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</si>
  <si>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</si>
  <si>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</si>
  <si>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</si>
  <si>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</si>
  <si>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</si>
  <si>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</si>
  <si>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</si>
  <si>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</si>
  <si>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</si>
  <si>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</si>
  <si>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</si>
  <si>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</si>
  <si>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</si>
  <si>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</si>
  <si>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</si>
  <si>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</si>
  <si>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</si>
  <si>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</si>
  <si>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</si>
  <si>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</si>
  <si>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</si>
  <si>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</si>
  <si>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</si>
  <si>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</si>
  <si>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</si>
  <si>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</si>
  <si>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</si>
  <si>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</si>
  <si>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</si>
  <si>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</si>
  <si>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</si>
  <si>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</si>
  <si>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</si>
  <si>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</si>
  <si>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</si>
  <si>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</si>
  <si>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</si>
  <si>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</si>
  <si>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</si>
  <si>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</si>
  <si>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</si>
  <si>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</si>
  <si>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</si>
  <si>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</si>
  <si>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</si>
  <si>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</si>
  <si>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</si>
  <si>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</si>
  <si>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</si>
  <si>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</si>
  <si>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</si>
  <si>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</si>
  <si>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</si>
  <si>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</si>
  <si>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</si>
  <si>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</si>
  <si>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</si>
  <si>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</si>
  <si>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</si>
  <si>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</si>
  <si>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</si>
  <si>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</si>
  <si>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</si>
  <si>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</si>
  <si>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</si>
  <si>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</si>
  <si>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</si>
  <si>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</si>
  <si>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</si>
  <si>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</si>
  <si>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</si>
  <si>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71069</t>
  </si>
  <si>
    <t>HAM</t>
  </si>
  <si>
    <t>Paarden&amp;pony's 200 - 600 kg</t>
  </si>
  <si>
    <t>Paarden&amp;pony's &lt; 200 kg</t>
  </si>
  <si>
    <t>op basis van VEA (maart 2018) en Inventaris Hernieuwbare Energiebronnen (juni 2018)</t>
  </si>
  <si>
    <t>VEA (juni 2018)</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</si>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</sst>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71069</v>
      </c>
      <c r="B6" s="397"/>
      <c r="C6" s="398"/>
    </row>
    <row r="7" spans="1:7" s="395" customFormat="1" ht="15.75" customHeight="1">
      <c r="A7" s="399" t="str">
        <f>txtMunicipality</f>
        <v>HAM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8.9176335963939868E-2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8.9176335963939868E-2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71069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4193</v>
      </c>
      <c r="C9" s="338">
        <v>4520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935</v>
      </c>
    </row>
    <row r="15" spans="1:6">
      <c r="A15" s="1286" t="s">
        <v>184</v>
      </c>
      <c r="B15" s="335">
        <v>4</v>
      </c>
    </row>
    <row r="16" spans="1:6">
      <c r="A16" s="1286" t="s">
        <v>6</v>
      </c>
      <c r="B16" s="335">
        <v>330</v>
      </c>
    </row>
    <row r="17" spans="1:6">
      <c r="A17" s="1286" t="s">
        <v>7</v>
      </c>
      <c r="B17" s="335">
        <v>67</v>
      </c>
    </row>
    <row r="18" spans="1:6">
      <c r="A18" s="1286" t="s">
        <v>8</v>
      </c>
      <c r="B18" s="335">
        <v>173</v>
      </c>
    </row>
    <row r="19" spans="1:6">
      <c r="A19" s="1286" t="s">
        <v>9</v>
      </c>
      <c r="B19" s="335">
        <v>180</v>
      </c>
    </row>
    <row r="20" spans="1:6">
      <c r="A20" s="1286" t="s">
        <v>10</v>
      </c>
      <c r="B20" s="335">
        <v>76</v>
      </c>
    </row>
    <row r="21" spans="1:6">
      <c r="A21" s="1286" t="s">
        <v>11</v>
      </c>
      <c r="B21" s="335">
        <v>0</v>
      </c>
    </row>
    <row r="22" spans="1:6">
      <c r="A22" s="1286" t="s">
        <v>12</v>
      </c>
      <c r="B22" s="335">
        <v>98</v>
      </c>
    </row>
    <row r="23" spans="1:6">
      <c r="A23" s="1286" t="s">
        <v>13</v>
      </c>
      <c r="B23" s="335">
        <v>0</v>
      </c>
    </row>
    <row r="24" spans="1:6">
      <c r="A24" s="1286" t="s">
        <v>14</v>
      </c>
      <c r="B24" s="335">
        <v>0</v>
      </c>
    </row>
    <row r="25" spans="1:6">
      <c r="A25" s="1286" t="s">
        <v>15</v>
      </c>
      <c r="B25" s="335">
        <v>0</v>
      </c>
    </row>
    <row r="26" spans="1:6">
      <c r="A26" s="1286" t="s">
        <v>16</v>
      </c>
      <c r="B26" s="335">
        <v>65</v>
      </c>
    </row>
    <row r="27" spans="1:6">
      <c r="A27" s="1286" t="s">
        <v>17</v>
      </c>
      <c r="B27" s="335">
        <v>4</v>
      </c>
    </row>
    <row r="28" spans="1:6" s="341" customFormat="1">
      <c r="A28" s="1287" t="s">
        <v>18</v>
      </c>
      <c r="B28" s="1287">
        <v>31504</v>
      </c>
    </row>
    <row r="29" spans="1:6">
      <c r="A29" s="1287" t="s">
        <v>942</v>
      </c>
      <c r="B29" s="1287">
        <v>99</v>
      </c>
      <c r="C29" s="341"/>
      <c r="D29" s="341"/>
      <c r="E29" s="341"/>
      <c r="F29" s="341"/>
    </row>
    <row r="30" spans="1:6">
      <c r="A30" s="1282" t="s">
        <v>943</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491975</v>
      </c>
    </row>
    <row r="36" spans="1:6">
      <c r="A36" s="1286" t="s">
        <v>25</v>
      </c>
      <c r="B36" s="1286" t="s">
        <v>27</v>
      </c>
      <c r="C36" s="335">
        <v>0</v>
      </c>
      <c r="D36" s="335">
        <v>0</v>
      </c>
      <c r="E36" s="335">
        <v>4</v>
      </c>
      <c r="F36" s="335">
        <v>424230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1829</v>
      </c>
      <c r="D39" s="335">
        <v>28543614</v>
      </c>
      <c r="E39" s="335">
        <v>4278</v>
      </c>
      <c r="F39" s="335">
        <v>15938765</v>
      </c>
    </row>
    <row r="40" spans="1:6">
      <c r="A40" s="1286" t="s">
        <v>30</v>
      </c>
      <c r="B40" s="1286" t="s">
        <v>29</v>
      </c>
      <c r="C40" s="335">
        <v>0</v>
      </c>
      <c r="D40" s="335">
        <v>0</v>
      </c>
      <c r="E40" s="335">
        <v>0</v>
      </c>
      <c r="F40" s="335">
        <v>0</v>
      </c>
    </row>
    <row r="41" spans="1:6">
      <c r="A41" s="1286" t="s">
        <v>32</v>
      </c>
      <c r="B41" s="1286" t="s">
        <v>33</v>
      </c>
      <c r="C41" s="335">
        <v>20</v>
      </c>
      <c r="D41" s="335">
        <v>585793</v>
      </c>
      <c r="E41" s="335">
        <v>57</v>
      </c>
      <c r="F41" s="335">
        <v>612243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162934</v>
      </c>
    </row>
    <row r="45" spans="1:6">
      <c r="A45" s="1286" t="s">
        <v>32</v>
      </c>
      <c r="B45" s="1286" t="s">
        <v>37</v>
      </c>
      <c r="C45" s="335">
        <v>0</v>
      </c>
      <c r="D45" s="335">
        <v>0</v>
      </c>
      <c r="E45" s="335">
        <v>5</v>
      </c>
      <c r="F45" s="335">
        <v>5409162</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63907</v>
      </c>
      <c r="E48" s="335">
        <v>6</v>
      </c>
      <c r="F48" s="335">
        <v>43120</v>
      </c>
    </row>
    <row r="49" spans="1:6">
      <c r="A49" s="1286" t="s">
        <v>32</v>
      </c>
      <c r="B49" s="1286" t="s">
        <v>40</v>
      </c>
      <c r="C49" s="335">
        <v>0</v>
      </c>
      <c r="D49" s="335">
        <v>0</v>
      </c>
      <c r="E49" s="335">
        <v>0</v>
      </c>
      <c r="F49" s="335">
        <v>0</v>
      </c>
    </row>
    <row r="50" spans="1:6">
      <c r="A50" s="1286" t="s">
        <v>32</v>
      </c>
      <c r="B50" s="1286" t="s">
        <v>41</v>
      </c>
      <c r="C50" s="335">
        <v>4</v>
      </c>
      <c r="D50" s="335">
        <v>345848</v>
      </c>
      <c r="E50" s="335">
        <v>8</v>
      </c>
      <c r="F50" s="335">
        <v>261032</v>
      </c>
    </row>
    <row r="51" spans="1:6">
      <c r="A51" s="1286" t="s">
        <v>42</v>
      </c>
      <c r="B51" s="1286" t="s">
        <v>43</v>
      </c>
      <c r="C51" s="335">
        <v>10</v>
      </c>
      <c r="D51" s="335">
        <v>1086957</v>
      </c>
      <c r="E51" s="335">
        <v>16</v>
      </c>
      <c r="F51" s="335">
        <v>271314</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45</v>
      </c>
      <c r="F54" s="335">
        <v>533555</v>
      </c>
    </row>
    <row r="55" spans="1:6">
      <c r="A55" s="1286" t="s">
        <v>46</v>
      </c>
      <c r="B55" s="1286" t="s">
        <v>29</v>
      </c>
      <c r="C55" s="335">
        <v>0</v>
      </c>
      <c r="D55" s="335">
        <v>0</v>
      </c>
      <c r="E55" s="335">
        <v>0</v>
      </c>
      <c r="F55" s="335">
        <v>0</v>
      </c>
    </row>
    <row r="56" spans="1:6">
      <c r="A56" s="1286" t="s">
        <v>48</v>
      </c>
      <c r="B56" s="1286" t="s">
        <v>29</v>
      </c>
      <c r="C56" s="335">
        <v>28</v>
      </c>
      <c r="D56" s="335">
        <v>1356160</v>
      </c>
      <c r="E56" s="335">
        <v>51</v>
      </c>
      <c r="F56" s="335">
        <v>244570</v>
      </c>
    </row>
    <row r="57" spans="1:6">
      <c r="A57" s="1286" t="s">
        <v>49</v>
      </c>
      <c r="B57" s="1286" t="s">
        <v>50</v>
      </c>
      <c r="C57" s="335">
        <v>8</v>
      </c>
      <c r="D57" s="335">
        <v>244488</v>
      </c>
      <c r="E57" s="335">
        <v>53</v>
      </c>
      <c r="F57" s="335">
        <v>667956</v>
      </c>
    </row>
    <row r="58" spans="1:6">
      <c r="A58" s="1286" t="s">
        <v>49</v>
      </c>
      <c r="B58" s="1286" t="s">
        <v>51</v>
      </c>
      <c r="C58" s="335">
        <v>7</v>
      </c>
      <c r="D58" s="335">
        <v>702795</v>
      </c>
      <c r="E58" s="335">
        <v>10</v>
      </c>
      <c r="F58" s="335">
        <v>267888</v>
      </c>
    </row>
    <row r="59" spans="1:6">
      <c r="A59" s="1286" t="s">
        <v>49</v>
      </c>
      <c r="B59" s="1286" t="s">
        <v>52</v>
      </c>
      <c r="C59" s="335">
        <v>39</v>
      </c>
      <c r="D59" s="335">
        <v>1790039</v>
      </c>
      <c r="E59" s="335">
        <v>104</v>
      </c>
      <c r="F59" s="335">
        <v>5381758</v>
      </c>
    </row>
    <row r="60" spans="1:6">
      <c r="A60" s="1286" t="s">
        <v>49</v>
      </c>
      <c r="B60" s="1286" t="s">
        <v>53</v>
      </c>
      <c r="C60" s="335">
        <v>14</v>
      </c>
      <c r="D60" s="335">
        <v>870428</v>
      </c>
      <c r="E60" s="335">
        <v>31</v>
      </c>
      <c r="F60" s="335">
        <v>784024</v>
      </c>
    </row>
    <row r="61" spans="1:6">
      <c r="A61" s="1286" t="s">
        <v>49</v>
      </c>
      <c r="B61" s="1286" t="s">
        <v>54</v>
      </c>
      <c r="C61" s="335">
        <v>32</v>
      </c>
      <c r="D61" s="335">
        <v>851542</v>
      </c>
      <c r="E61" s="335">
        <v>132</v>
      </c>
      <c r="F61" s="335">
        <v>3277393</v>
      </c>
    </row>
    <row r="62" spans="1:6">
      <c r="A62" s="1286" t="s">
        <v>49</v>
      </c>
      <c r="B62" s="1286" t="s">
        <v>55</v>
      </c>
      <c r="C62" s="335">
        <v>4</v>
      </c>
      <c r="D62" s="335">
        <v>353975</v>
      </c>
      <c r="E62" s="335">
        <v>7</v>
      </c>
      <c r="F62" s="335">
        <v>92557</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177473</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648013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51445887</v>
      </c>
      <c r="E73" s="335">
        <v>53614354.229506321</v>
      </c>
    </row>
    <row r="74" spans="1:6">
      <c r="A74" s="1286" t="s">
        <v>64</v>
      </c>
      <c r="B74" s="1286" t="s">
        <v>772</v>
      </c>
      <c r="C74" s="1297" t="s">
        <v>766</v>
      </c>
      <c r="D74" s="335">
        <v>2058195.4625125588</v>
      </c>
      <c r="E74" s="335">
        <v>2243952.9099455709</v>
      </c>
    </row>
    <row r="75" spans="1:6">
      <c r="A75" s="1286" t="s">
        <v>65</v>
      </c>
      <c r="B75" s="1286" t="s">
        <v>771</v>
      </c>
      <c r="C75" s="1297" t="s">
        <v>767</v>
      </c>
      <c r="D75" s="335">
        <v>23939526</v>
      </c>
      <c r="E75" s="335">
        <v>24948604.050418418</v>
      </c>
    </row>
    <row r="76" spans="1:6">
      <c r="A76" s="1286" t="s">
        <v>65</v>
      </c>
      <c r="B76" s="1286" t="s">
        <v>772</v>
      </c>
      <c r="C76" s="1297" t="s">
        <v>768</v>
      </c>
      <c r="D76" s="335">
        <v>702256.46251255879</v>
      </c>
      <c r="E76" s="335">
        <v>781343.84722985118</v>
      </c>
    </row>
    <row r="77" spans="1:6">
      <c r="A77" s="1286" t="s">
        <v>66</v>
      </c>
      <c r="B77" s="1286" t="s">
        <v>771</v>
      </c>
      <c r="C77" s="1297" t="s">
        <v>769</v>
      </c>
      <c r="D77" s="335">
        <v>59149367</v>
      </c>
      <c r="E77" s="335">
        <v>71627626.803541675</v>
      </c>
    </row>
    <row r="78" spans="1:6">
      <c r="A78" s="1282" t="s">
        <v>66</v>
      </c>
      <c r="B78" s="1282" t="s">
        <v>772</v>
      </c>
      <c r="C78" s="1282" t="s">
        <v>770</v>
      </c>
      <c r="D78" s="1282">
        <v>13346995</v>
      </c>
      <c r="E78" s="1282">
        <v>15134425.162467716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357267.07497488247</v>
      </c>
      <c r="C83" s="335">
        <v>337854.73681775545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2687.1416454052824</v>
      </c>
    </row>
    <row r="92" spans="1:6">
      <c r="A92" s="1282" t="s">
        <v>69</v>
      </c>
      <c r="B92" s="338">
        <v>1335.8682381576311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469</v>
      </c>
    </row>
    <row r="98" spans="1:6">
      <c r="A98" s="1286" t="s">
        <v>72</v>
      </c>
      <c r="B98" s="335">
        <v>0</v>
      </c>
    </row>
    <row r="99" spans="1:6">
      <c r="A99" s="1286" t="s">
        <v>73</v>
      </c>
      <c r="B99" s="335">
        <v>28</v>
      </c>
    </row>
    <row r="100" spans="1:6">
      <c r="A100" s="1286" t="s">
        <v>74</v>
      </c>
      <c r="B100" s="335">
        <v>116</v>
      </c>
    </row>
    <row r="101" spans="1:6">
      <c r="A101" s="1286" t="s">
        <v>75</v>
      </c>
      <c r="B101" s="335">
        <v>37</v>
      </c>
    </row>
    <row r="102" spans="1:6">
      <c r="A102" s="1286" t="s">
        <v>76</v>
      </c>
      <c r="B102" s="335">
        <v>30</v>
      </c>
    </row>
    <row r="103" spans="1:6">
      <c r="A103" s="1286" t="s">
        <v>77</v>
      </c>
      <c r="B103" s="335">
        <v>115</v>
      </c>
    </row>
    <row r="104" spans="1:6">
      <c r="A104" s="1286" t="s">
        <v>78</v>
      </c>
      <c r="B104" s="335">
        <v>2773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14</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47</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80828.243261033364</v>
      </c>
      <c r="C3" s="44" t="s">
        <v>170</v>
      </c>
      <c r="D3" s="44"/>
      <c r="E3" s="157"/>
      <c r="F3" s="44"/>
      <c r="G3" s="44"/>
      <c r="H3" s="44"/>
      <c r="I3" s="44"/>
      <c r="J3" s="44"/>
      <c r="K3" s="97"/>
    </row>
    <row r="4" spans="1:11">
      <c r="A4" s="365" t="s">
        <v>171</v>
      </c>
      <c r="B4" s="50">
        <f>IF(ISERROR('SEAP template'!B78),0,'SEAP template'!B78)</f>
        <v>48213.009883562911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8.9176335963939868E-2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533.55499999999995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533.55499999999995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8.9176335963939868E-2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47.580479935239929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15938.764999999999</v>
      </c>
      <c r="C5" s="18">
        <f>IF(ISERROR('Eigen informatie GS &amp; warmtenet'!B57),0,'Eigen informatie GS &amp; warmtenet'!B57)</f>
        <v>0</v>
      </c>
      <c r="D5" s="31">
        <f>(SUM(HH_hh_gas_kWh,HH_rest_gas_kWh)/1000)*0.902</f>
        <v>25746.339828000004</v>
      </c>
      <c r="E5" s="18">
        <f>B46*B57</f>
        <v>2716.9335470452688</v>
      </c>
      <c r="F5" s="18">
        <f>B51*B62</f>
        <v>30577.080764647839</v>
      </c>
      <c r="G5" s="19"/>
      <c r="H5" s="18"/>
      <c r="I5" s="18"/>
      <c r="J5" s="18">
        <f>B50*B61+C50*C61</f>
        <v>0</v>
      </c>
      <c r="K5" s="18"/>
      <c r="L5" s="18"/>
      <c r="M5" s="18"/>
      <c r="N5" s="18">
        <f>B48*B59+C48*C59</f>
        <v>11659.436015452527</v>
      </c>
      <c r="O5" s="18">
        <f>B69*B70*B71</f>
        <v>96.926666666666677</v>
      </c>
      <c r="P5" s="18">
        <f>B77*B78*B79/1000-B77*B78*B79/1000/B80</f>
        <v>343.2</v>
      </c>
    </row>
    <row r="6" spans="1:16">
      <c r="A6" s="17" t="s">
        <v>639</v>
      </c>
      <c r="B6" s="780">
        <f>kWh_PV_kleiner_dan_10kW</f>
        <v>2687.1416454052824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18625.906645405281</v>
      </c>
      <c r="C8" s="22">
        <f>C5</f>
        <v>0</v>
      </c>
      <c r="D8" s="22">
        <f>D5</f>
        <v>25746.339828000004</v>
      </c>
      <c r="E8" s="22">
        <f>E5</f>
        <v>2716.9335470452688</v>
      </c>
      <c r="F8" s="22">
        <f>F5</f>
        <v>30577.080764647839</v>
      </c>
      <c r="G8" s="22"/>
      <c r="H8" s="22"/>
      <c r="I8" s="22"/>
      <c r="J8" s="22">
        <f>J5</f>
        <v>0</v>
      </c>
      <c r="K8" s="22"/>
      <c r="L8" s="22">
        <f>L5</f>
        <v>0</v>
      </c>
      <c r="M8" s="22">
        <f>M5</f>
        <v>0</v>
      </c>
      <c r="N8" s="22">
        <f>N5</f>
        <v>11659.436015452527</v>
      </c>
      <c r="O8" s="22">
        <f>O5</f>
        <v>96.926666666666677</v>
      </c>
      <c r="P8" s="22">
        <f>P5</f>
        <v>343.2</v>
      </c>
    </row>
    <row r="9" spans="1:16">
      <c r="B9" s="20"/>
      <c r="C9" s="20"/>
      <c r="D9" s="262"/>
      <c r="E9" s="20"/>
      <c r="F9" s="20"/>
      <c r="G9" s="20"/>
      <c r="H9" s="20"/>
      <c r="I9" s="20"/>
      <c r="J9" s="20"/>
      <c r="K9" s="20"/>
      <c r="L9" s="20"/>
      <c r="M9" s="20"/>
      <c r="N9" s="20"/>
      <c r="O9" s="20"/>
      <c r="P9" s="20"/>
    </row>
    <row r="10" spans="1:16">
      <c r="A10" s="25" t="s">
        <v>214</v>
      </c>
      <c r="B10" s="26">
        <f ca="1">'EF ele_warmte'!B12</f>
        <v>8.9176335963939868E-2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1660.9901086436416</v>
      </c>
      <c r="C12" s="24">
        <f ca="1">C10*C8</f>
        <v>0</v>
      </c>
      <c r="D12" s="24">
        <f>D8*D10</f>
        <v>5200.7606452560012</v>
      </c>
      <c r="E12" s="24">
        <f>E10*E8</f>
        <v>616.74391517927609</v>
      </c>
      <c r="F12" s="24">
        <f>F10*F8</f>
        <v>8164.0805641609732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469</v>
      </c>
      <c r="C18" s="169" t="s">
        <v>111</v>
      </c>
      <c r="D18" s="231"/>
      <c r="E18" s="16"/>
    </row>
    <row r="19" spans="1:7">
      <c r="A19" s="174" t="s">
        <v>72</v>
      </c>
      <c r="B19" s="38">
        <f>aantalw2001_ander</f>
        <v>0</v>
      </c>
      <c r="C19" s="169" t="s">
        <v>111</v>
      </c>
      <c r="D19" s="232"/>
      <c r="E19" s="16"/>
    </row>
    <row r="20" spans="1:7">
      <c r="A20" s="174" t="s">
        <v>73</v>
      </c>
      <c r="B20" s="38">
        <f>aantalw2001_propaan</f>
        <v>28</v>
      </c>
      <c r="C20" s="170">
        <f>IF(ISERROR(B20/SUM($B$20,$B$21,$B$22)*100),0,B20/SUM($B$20,$B$21,$B$22)*100)</f>
        <v>15.469613259668508</v>
      </c>
      <c r="D20" s="232"/>
      <c r="E20" s="16"/>
    </row>
    <row r="21" spans="1:7">
      <c r="A21" s="174" t="s">
        <v>74</v>
      </c>
      <c r="B21" s="38">
        <f>aantalw2001_elektriciteit</f>
        <v>116</v>
      </c>
      <c r="C21" s="170">
        <f>IF(ISERROR(B21/SUM($B$20,$B$21,$B$22)*100),0,B21/SUM($B$20,$B$21,$B$22)*100)</f>
        <v>64.088397790055254</v>
      </c>
      <c r="D21" s="232"/>
      <c r="E21" s="16"/>
    </row>
    <row r="22" spans="1:7">
      <c r="A22" s="174" t="s">
        <v>75</v>
      </c>
      <c r="B22" s="38">
        <f>aantalw2001_hout</f>
        <v>37</v>
      </c>
      <c r="C22" s="170">
        <f>IF(ISERROR(B22/SUM($B$20,$B$21,$B$22)*100),0,B22/SUM($B$20,$B$21,$B$22)*100)</f>
        <v>20.441988950276244</v>
      </c>
      <c r="D22" s="232"/>
      <c r="E22" s="16"/>
    </row>
    <row r="23" spans="1:7">
      <c r="A23" s="174" t="s">
        <v>76</v>
      </c>
      <c r="B23" s="38">
        <f>aantalw2001_niet_gespec</f>
        <v>30</v>
      </c>
      <c r="C23" s="169" t="s">
        <v>111</v>
      </c>
      <c r="D23" s="231"/>
      <c r="E23" s="16"/>
    </row>
    <row r="24" spans="1:7">
      <c r="A24" s="174" t="s">
        <v>77</v>
      </c>
      <c r="B24" s="38">
        <f>aantalw2001_steenkool</f>
        <v>115</v>
      </c>
      <c r="C24" s="169" t="s">
        <v>111</v>
      </c>
      <c r="D24" s="232"/>
      <c r="E24" s="16"/>
    </row>
    <row r="25" spans="1:7">
      <c r="A25" s="174" t="s">
        <v>78</v>
      </c>
      <c r="B25" s="38">
        <f>aantalw2001_stookolie</f>
        <v>2773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4193</v>
      </c>
      <c r="C28" s="37"/>
      <c r="D28" s="231"/>
    </row>
    <row r="29" spans="1:7" s="16" customFormat="1">
      <c r="A29" s="233" t="s">
        <v>666</v>
      </c>
      <c r="B29" s="38">
        <f>SUM(HH_hh_gas_aantal,HH_rest_gas_aantal)</f>
        <v>1829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1829</v>
      </c>
      <c r="C32" s="170">
        <f>IF(ISERROR(B32/SUM($B$32,$B$34,$B$35,$B$36,$B$38,$B$39)*100),0,B32/SUM($B$32,$B$34,$B$35,$B$36,$B$38,$B$39)*100)</f>
        <v>43.808383233532936</v>
      </c>
      <c r="D32" s="236"/>
      <c r="G32" s="16"/>
    </row>
    <row r="33" spans="1:7">
      <c r="A33" s="174" t="s">
        <v>72</v>
      </c>
      <c r="B33" s="35" t="s">
        <v>111</v>
      </c>
      <c r="C33" s="170"/>
      <c r="D33" s="236"/>
      <c r="G33" s="16"/>
    </row>
    <row r="34" spans="1:7">
      <c r="A34" s="174" t="s">
        <v>73</v>
      </c>
      <c r="B34" s="34">
        <f>IF((($B$28-$B$32-$B$39-$B$77-$B$38)*C20/100)&lt;0,0,($B$28-$B$32-$B$39-$B$77-$B$38)*C20/100)</f>
        <v>123.29281767955801</v>
      </c>
      <c r="C34" s="170">
        <f>IF(ISERROR(B34/SUM($B$32,$B$34,$B$35,$B$36,$B$38,$B$39)*100),0,B34/SUM($B$32,$B$34,$B$35,$B$36,$B$38,$B$39)*100)</f>
        <v>2.9531213815462998</v>
      </c>
      <c r="D34" s="236"/>
      <c r="G34" s="16"/>
    </row>
    <row r="35" spans="1:7">
      <c r="A35" s="174" t="s">
        <v>74</v>
      </c>
      <c r="B35" s="34">
        <f>IF((($B$28-$B$32-$B$39-$B$77-$B$38)*C21/100)&lt;0,0,($B$28-$B$32-$B$39-$B$77-$B$38)*C21/100)</f>
        <v>510.78453038674036</v>
      </c>
      <c r="C35" s="170">
        <f>IF(ISERROR(B35/SUM($B$32,$B$34,$B$35,$B$36,$B$38,$B$39)*100),0,B35/SUM($B$32,$B$34,$B$35,$B$36,$B$38,$B$39)*100)</f>
        <v>12.234360009263243</v>
      </c>
      <c r="D35" s="236"/>
      <c r="G35" s="16"/>
    </row>
    <row r="36" spans="1:7">
      <c r="A36" s="174" t="s">
        <v>75</v>
      </c>
      <c r="B36" s="34">
        <f>IF((($B$28-$B$32-$B$39-$B$77-$B$38)*C22/100)&lt;0,0,($B$28-$B$32-$B$39-$B$77-$B$38)*C22/100)</f>
        <v>162.92265193370164</v>
      </c>
      <c r="C36" s="170">
        <f>IF(ISERROR(B36/SUM($B$32,$B$34,$B$35,$B$36,$B$38,$B$39)*100),0,B36/SUM($B$32,$B$34,$B$35,$B$36,$B$38,$B$39)*100)</f>
        <v>3.9023389684718954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1549</v>
      </c>
      <c r="C39" s="170">
        <f>IF(ISERROR(B39/SUM($B$32,$B$34,$B$35,$B$36,$B$38,$B$39)*100),0,B39/SUM($B$32,$B$34,$B$35,$B$36,$B$38,$B$39)*100)</f>
        <v>37.101796407185631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1829</v>
      </c>
      <c r="C44" s="35" t="s">
        <v>111</v>
      </c>
      <c r="D44" s="177"/>
    </row>
    <row r="45" spans="1:7">
      <c r="A45" s="174" t="s">
        <v>72</v>
      </c>
      <c r="B45" s="34" t="str">
        <f t="shared" si="0"/>
        <v>-</v>
      </c>
      <c r="C45" s="35" t="s">
        <v>111</v>
      </c>
      <c r="D45" s="177"/>
    </row>
    <row r="46" spans="1:7">
      <c r="A46" s="174" t="s">
        <v>73</v>
      </c>
      <c r="B46" s="34">
        <f t="shared" si="0"/>
        <v>123.29281767955801</v>
      </c>
      <c r="C46" s="35" t="s">
        <v>111</v>
      </c>
      <c r="D46" s="177"/>
    </row>
    <row r="47" spans="1:7">
      <c r="A47" s="174" t="s">
        <v>74</v>
      </c>
      <c r="B47" s="34">
        <f t="shared" si="0"/>
        <v>510.78453038674036</v>
      </c>
      <c r="C47" s="35" t="s">
        <v>111</v>
      </c>
      <c r="D47" s="177"/>
    </row>
    <row r="48" spans="1:7">
      <c r="A48" s="174" t="s">
        <v>75</v>
      </c>
      <c r="B48" s="34">
        <f t="shared" si="0"/>
        <v>162.92265193370164</v>
      </c>
      <c r="C48" s="34">
        <f>B48*10</f>
        <v>1629.2265193370165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1549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10471.576000000001</v>
      </c>
      <c r="C5" s="18">
        <f>IF(ISERROR('Eigen informatie GS &amp; warmtenet'!B58),0,'Eigen informatie GS &amp; warmtenet'!B58)</f>
        <v>0</v>
      </c>
      <c r="D5" s="31">
        <f>SUM(D6:D12)</f>
        <v>4341.5668340000002</v>
      </c>
      <c r="E5" s="18">
        <f>SUM(E6:E12)</f>
        <v>80.832542540821478</v>
      </c>
      <c r="F5" s="18">
        <f>SUM(F6:F12)</f>
        <v>1986.7593455037925</v>
      </c>
      <c r="G5" s="19"/>
      <c r="H5" s="18"/>
      <c r="I5" s="18"/>
      <c r="J5" s="18">
        <f>SUM(J6:J12)</f>
        <v>0</v>
      </c>
      <c r="K5" s="18"/>
      <c r="L5" s="18"/>
      <c r="M5" s="18"/>
      <c r="N5" s="18">
        <f>SUM(N6:N12)</f>
        <v>415.43801936292203</v>
      </c>
      <c r="O5" s="18">
        <f>B38*B39*B40</f>
        <v>0</v>
      </c>
      <c r="P5" s="18">
        <f>B46*B47*B48/1000-B46*B47*B48/1000/B49</f>
        <v>0</v>
      </c>
      <c r="R5" s="33"/>
    </row>
    <row r="6" spans="1:18">
      <c r="A6" s="33" t="s">
        <v>54</v>
      </c>
      <c r="B6" s="38">
        <f>B26</f>
        <v>3277.393</v>
      </c>
      <c r="C6" s="34"/>
      <c r="D6" s="38">
        <f>IF(ISERROR(TER_kantoor_gas_kWh/1000),0,TER_kantoor_gas_kWh/1000)*0.902</f>
        <v>768.09088400000007</v>
      </c>
      <c r="E6" s="34">
        <f>$C$26*'E Balans VL '!I12/100/3.6*1000000</f>
        <v>5.3788661614087143</v>
      </c>
      <c r="F6" s="34">
        <f>$C$26*('E Balans VL '!L12+'E Balans VL '!N12)/100/3.6*1000000</f>
        <v>386.32752183028924</v>
      </c>
      <c r="G6" s="35"/>
      <c r="H6" s="34"/>
      <c r="I6" s="34"/>
      <c r="J6" s="34">
        <f>$C$26*('E Balans VL '!D12+'E Balans VL '!E12)/100/3.6*1000000</f>
        <v>0</v>
      </c>
      <c r="K6" s="34"/>
      <c r="L6" s="34"/>
      <c r="M6" s="34"/>
      <c r="N6" s="34">
        <f>$C$26*'E Balans VL '!Y12/100/3.6*1000000</f>
        <v>0.66218173592358553</v>
      </c>
      <c r="O6" s="34"/>
      <c r="P6" s="34"/>
      <c r="R6" s="33"/>
    </row>
    <row r="7" spans="1:18">
      <c r="A7" s="33" t="s">
        <v>53</v>
      </c>
      <c r="B7" s="38">
        <f t="shared" ref="B7:B12" si="0">B27</f>
        <v>784.024</v>
      </c>
      <c r="C7" s="34"/>
      <c r="D7" s="38">
        <f>IF(ISERROR(TER_horeca_gas_kWh/1000),0,TER_horeca_gas_kWh/1000)*0.902</f>
        <v>785.12605600000006</v>
      </c>
      <c r="E7" s="34">
        <f>$C$27*'E Balans VL '!I9/100/3.6*1000000</f>
        <v>40.685172280931496</v>
      </c>
      <c r="F7" s="34">
        <f>$C$27*('E Balans VL '!L9+'E Balans VL '!N9)/100/3.6*1000000</f>
        <v>178.91484569063397</v>
      </c>
      <c r="G7" s="35"/>
      <c r="H7" s="34"/>
      <c r="I7" s="34"/>
      <c r="J7" s="34">
        <f>$C$27*('E Balans VL '!D9+'E Balans VL '!E9)/100/3.6*1000000</f>
        <v>0</v>
      </c>
      <c r="K7" s="34"/>
      <c r="L7" s="34"/>
      <c r="M7" s="34"/>
      <c r="N7" s="34">
        <f>$C$27*'E Balans VL '!Y9/100/3.6*1000000</f>
        <v>8.2792575105326921E-2</v>
      </c>
      <c r="O7" s="34"/>
      <c r="P7" s="34"/>
      <c r="R7" s="33"/>
    </row>
    <row r="8" spans="1:18">
      <c r="A8" s="6" t="s">
        <v>52</v>
      </c>
      <c r="B8" s="38">
        <f t="shared" si="0"/>
        <v>5381.7579999999998</v>
      </c>
      <c r="C8" s="34"/>
      <c r="D8" s="38">
        <f>IF(ISERROR(TER_handel_gas_kWh/1000),0,TER_handel_gas_kWh/1000)*0.902</f>
        <v>1614.615178</v>
      </c>
      <c r="E8" s="34">
        <f>$C$28*'E Balans VL '!I13/100/3.6*1000000</f>
        <v>28.981428160160313</v>
      </c>
      <c r="F8" s="34">
        <f>$C$28*('E Balans VL '!L13+'E Balans VL '!N13)/100/3.6*1000000</f>
        <v>1097.5003876432527</v>
      </c>
      <c r="G8" s="35"/>
      <c r="H8" s="34"/>
      <c r="I8" s="34"/>
      <c r="J8" s="34">
        <f>$C$28*('E Balans VL '!D13+'E Balans VL '!E13)/100/3.6*1000000</f>
        <v>0</v>
      </c>
      <c r="K8" s="34"/>
      <c r="L8" s="34"/>
      <c r="M8" s="34"/>
      <c r="N8" s="34">
        <f>$C$28*'E Balans VL '!Y13/100/3.6*1000000</f>
        <v>26.760640509025865</v>
      </c>
      <c r="O8" s="34"/>
      <c r="P8" s="34"/>
      <c r="R8" s="33"/>
    </row>
    <row r="9" spans="1:18">
      <c r="A9" s="33" t="s">
        <v>51</v>
      </c>
      <c r="B9" s="38">
        <f t="shared" si="0"/>
        <v>267.88799999999998</v>
      </c>
      <c r="C9" s="34"/>
      <c r="D9" s="38">
        <f>IF(ISERROR(TER_gezond_gas_kWh/1000),0,TER_gezond_gas_kWh/1000)*0.902</f>
        <v>633.92108999999994</v>
      </c>
      <c r="E9" s="34">
        <f>$C$29*'E Balans VL '!I10/100/3.6*1000000</f>
        <v>0.26548005440972811</v>
      </c>
      <c r="F9" s="34">
        <f>$C$29*('E Balans VL '!L10+'E Balans VL '!N10)/100/3.6*1000000</f>
        <v>92.949414424633275</v>
      </c>
      <c r="G9" s="35"/>
      <c r="H9" s="34"/>
      <c r="I9" s="34"/>
      <c r="J9" s="34">
        <f>$C$29*('E Balans VL '!D10+'E Balans VL '!E10)/100/3.6*1000000</f>
        <v>0</v>
      </c>
      <c r="K9" s="34"/>
      <c r="L9" s="34"/>
      <c r="M9" s="34"/>
      <c r="N9" s="34">
        <f>$C$29*'E Balans VL '!Y10/100/3.6*1000000</f>
        <v>2.3083676889738216</v>
      </c>
      <c r="O9" s="34"/>
      <c r="P9" s="34"/>
      <c r="R9" s="33"/>
    </row>
    <row r="10" spans="1:18">
      <c r="A10" s="33" t="s">
        <v>50</v>
      </c>
      <c r="B10" s="38">
        <f t="shared" si="0"/>
        <v>667.95600000000002</v>
      </c>
      <c r="C10" s="34"/>
      <c r="D10" s="38">
        <f>IF(ISERROR(TER_ander_gas_kWh/1000),0,TER_ander_gas_kWh/1000)*0.902</f>
        <v>220.528176</v>
      </c>
      <c r="E10" s="34">
        <f>$C$30*'E Balans VL '!I14/100/3.6*1000000</f>
        <v>5.4645476544787899</v>
      </c>
      <c r="F10" s="34">
        <f>$C$30*('E Balans VL '!L14+'E Balans VL '!N14)/100/3.6*1000000</f>
        <v>195.28314078497564</v>
      </c>
      <c r="G10" s="35"/>
      <c r="H10" s="34"/>
      <c r="I10" s="34"/>
      <c r="J10" s="34">
        <f>$C$30*('E Balans VL '!D14+'E Balans VL '!E14)/100/3.6*1000000</f>
        <v>0</v>
      </c>
      <c r="K10" s="34"/>
      <c r="L10" s="34"/>
      <c r="M10" s="34"/>
      <c r="N10" s="34">
        <f>$C$30*'E Balans VL '!Y14/100/3.6*1000000</f>
        <v>385.32296876743504</v>
      </c>
      <c r="O10" s="34"/>
      <c r="P10" s="34"/>
      <c r="R10" s="33"/>
    </row>
    <row r="11" spans="1:18">
      <c r="A11" s="33" t="s">
        <v>55</v>
      </c>
      <c r="B11" s="38">
        <f t="shared" si="0"/>
        <v>92.557000000000002</v>
      </c>
      <c r="C11" s="34"/>
      <c r="D11" s="38">
        <f>IF(ISERROR(TER_onderwijs_gas_kWh/1000),0,TER_onderwijs_gas_kWh/1000)*0.902</f>
        <v>319.28545000000003</v>
      </c>
      <c r="E11" s="34">
        <f>$C$31*'E Balans VL '!I11/100/3.6*1000000</f>
        <v>5.7048229432438008E-2</v>
      </c>
      <c r="F11" s="34">
        <f>$C$31*('E Balans VL '!L11+'E Balans VL '!N11)/100/3.6*1000000</f>
        <v>35.784035130007766</v>
      </c>
      <c r="G11" s="35"/>
      <c r="H11" s="34"/>
      <c r="I11" s="34"/>
      <c r="J11" s="34">
        <f>$C$31*('E Balans VL '!D11+'E Balans VL '!E11)/100/3.6*1000000</f>
        <v>0</v>
      </c>
      <c r="K11" s="34"/>
      <c r="L11" s="34"/>
      <c r="M11" s="34"/>
      <c r="N11" s="34">
        <f>$C$31*'E Balans VL '!Y11/100/3.6*1000000</f>
        <v>0.30106808645839606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10471.576000000001</v>
      </c>
      <c r="C16" s="22">
        <f t="shared" ca="1" si="1"/>
        <v>0</v>
      </c>
      <c r="D16" s="22">
        <f t="shared" ca="1" si="1"/>
        <v>4341.5668340000002</v>
      </c>
      <c r="E16" s="22">
        <f t="shared" si="1"/>
        <v>80.832542540821478</v>
      </c>
      <c r="F16" s="22">
        <f t="shared" ca="1" si="1"/>
        <v>1986.7593455037925</v>
      </c>
      <c r="G16" s="22">
        <f t="shared" si="1"/>
        <v>0</v>
      </c>
      <c r="H16" s="22">
        <f t="shared" si="1"/>
        <v>0</v>
      </c>
      <c r="I16" s="22">
        <f t="shared" si="1"/>
        <v>0</v>
      </c>
      <c r="J16" s="22">
        <f t="shared" si="1"/>
        <v>0</v>
      </c>
      <c r="K16" s="22">
        <f t="shared" si="1"/>
        <v>0</v>
      </c>
      <c r="L16" s="22">
        <f t="shared" ca="1" si="1"/>
        <v>0</v>
      </c>
      <c r="M16" s="22">
        <f t="shared" si="1"/>
        <v>0</v>
      </c>
      <c r="N16" s="22">
        <f t="shared" ca="1" si="1"/>
        <v>415.43801936292203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8.9176335963939868E-2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933.81677944792966</v>
      </c>
      <c r="C20" s="24">
        <f t="shared" ref="C20:P20" ca="1" si="2">C16*C18</f>
        <v>0</v>
      </c>
      <c r="D20" s="24">
        <f t="shared" ca="1" si="2"/>
        <v>876.99650046800014</v>
      </c>
      <c r="E20" s="24">
        <f t="shared" si="2"/>
        <v>18.348987156766476</v>
      </c>
      <c r="F20" s="24">
        <f t="shared" ca="1" si="2"/>
        <v>530.46474524951259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3277.393</v>
      </c>
      <c r="C26" s="40">
        <f>IF(ISERROR(B26*3.6/1000000/'E Balans VL '!Z12*100),0,B26*3.6/1000000/'E Balans VL '!Z12*100)</f>
        <v>6.9642250929737304E-2</v>
      </c>
      <c r="D26" s="240" t="s">
        <v>707</v>
      </c>
      <c r="F26" s="6"/>
    </row>
    <row r="27" spans="1:18">
      <c r="A27" s="234" t="s">
        <v>53</v>
      </c>
      <c r="B27" s="34">
        <f>IF(ISERROR(TER_horeca_ele_kWh/1000),0,TER_horeca_ele_kWh/1000)</f>
        <v>784.024</v>
      </c>
      <c r="C27" s="40">
        <f>IF(ISERROR(B27*3.6/1000000/'E Balans VL '!Z9*100),0,B27*3.6/1000000/'E Balans VL '!Z9*100)</f>
        <v>6.1708751631299574E-2</v>
      </c>
      <c r="D27" s="240" t="s">
        <v>707</v>
      </c>
      <c r="F27" s="6"/>
    </row>
    <row r="28" spans="1:18">
      <c r="A28" s="174" t="s">
        <v>52</v>
      </c>
      <c r="B28" s="34">
        <f>IF(ISERROR(TER_handel_ele_kWh/1000),0,TER_handel_ele_kWh/1000)</f>
        <v>5381.7579999999998</v>
      </c>
      <c r="C28" s="40">
        <f>IF(ISERROR(B28*3.6/1000000/'E Balans VL '!Z13*100),0,B28*3.6/1000000/'E Balans VL '!Z13*100)</f>
        <v>0.150745921783172</v>
      </c>
      <c r="D28" s="240" t="s">
        <v>707</v>
      </c>
      <c r="F28" s="6"/>
    </row>
    <row r="29" spans="1:18">
      <c r="A29" s="234" t="s">
        <v>51</v>
      </c>
      <c r="B29" s="34">
        <f>IF(ISERROR(TER_gezond_ele_kWh/1000),0,TER_gezond_ele_kWh/1000)</f>
        <v>267.88799999999998</v>
      </c>
      <c r="C29" s="40">
        <f>IF(ISERROR(B29*3.6/1000000/'E Balans VL '!Z10*100),0,B29*3.6/1000000/'E Balans VL '!Z10*100)</f>
        <v>3.4270975806872987E-2</v>
      </c>
      <c r="D29" s="240" t="s">
        <v>707</v>
      </c>
      <c r="F29" s="6"/>
    </row>
    <row r="30" spans="1:18">
      <c r="A30" s="234" t="s">
        <v>50</v>
      </c>
      <c r="B30" s="34">
        <f>IF(ISERROR(TER_ander_ele_kWh/1000),0,TER_ander_ele_kWh/1000)</f>
        <v>667.95600000000002</v>
      </c>
      <c r="C30" s="40">
        <f>IF(ISERROR(B30*3.6/1000000/'E Balans VL '!Z14*100),0,B30*3.6/1000000/'E Balans VL '!Z14*100)</f>
        <v>4.9957480504423862E-2</v>
      </c>
      <c r="D30" s="240" t="s">
        <v>707</v>
      </c>
      <c r="F30" s="6"/>
    </row>
    <row r="31" spans="1:18">
      <c r="A31" s="234" t="s">
        <v>55</v>
      </c>
      <c r="B31" s="34">
        <f>IF(ISERROR(TER_onderwijs_ele_kWh/1000),0,TER_onderwijs_ele_kWh/1000)</f>
        <v>92.557000000000002</v>
      </c>
      <c r="C31" s="40">
        <f>IF(ISERROR(B31*3.6/1000000/'E Balans VL '!Z11*100),0,B31*3.6/1000000/'E Balans VL '!Z11*100)</f>
        <v>1.9543530441960145E-2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6488.491</v>
      </c>
      <c r="C5" s="18">
        <f>IF(ISERROR('Eigen informatie GS &amp; warmtenet'!B59),0,'Eigen informatie GS &amp; warmtenet'!B59)</f>
        <v>0</v>
      </c>
      <c r="D5" s="31">
        <f>SUM(D6:D15)</f>
        <v>897.98429600000009</v>
      </c>
      <c r="E5" s="18">
        <f>SUM(E6:E15)</f>
        <v>145.10863933737463</v>
      </c>
      <c r="F5" s="18">
        <f>SUM(F6:F15)</f>
        <v>2042.7747246910776</v>
      </c>
      <c r="G5" s="19"/>
      <c r="H5" s="18"/>
      <c r="I5" s="18"/>
      <c r="J5" s="18">
        <f>SUM(J6:J15)</f>
        <v>38.67085466506613</v>
      </c>
      <c r="K5" s="18"/>
      <c r="L5" s="18"/>
      <c r="M5" s="18"/>
      <c r="N5" s="18">
        <f>SUM(N6:N15)</f>
        <v>52.135552254089255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162.934</v>
      </c>
      <c r="C8" s="34"/>
      <c r="D8" s="38">
        <f>IF( ISERROR(IND_metaal_Gas_kWH/1000),0,IND_metaal_Gas_kWH/1000)*0.902</f>
        <v>0</v>
      </c>
      <c r="E8" s="34">
        <f>C30*'E Balans VL '!I18/100/3.6*1000000</f>
        <v>1.4838105752802431</v>
      </c>
      <c r="F8" s="34">
        <f>C30*'E Balans VL '!L18/100/3.6*1000000+C30*'E Balans VL '!N18/100/3.6*1000000</f>
        <v>21.489757257951982</v>
      </c>
      <c r="G8" s="35"/>
      <c r="H8" s="34"/>
      <c r="I8" s="34"/>
      <c r="J8" s="41">
        <f>C30*'E Balans VL '!D18/100/3.6*1000000+C30*'E Balans VL '!E18/100/3.6*1000000</f>
        <v>2.6718810283506902</v>
      </c>
      <c r="K8" s="34"/>
      <c r="L8" s="34"/>
      <c r="M8" s="34"/>
      <c r="N8" s="34">
        <f>C30*'E Balans VL '!Y18/100/3.6*1000000</f>
        <v>0.55993943263453316</v>
      </c>
      <c r="O8" s="34"/>
      <c r="P8" s="34"/>
      <c r="R8" s="33"/>
    </row>
    <row r="9" spans="1:18">
      <c r="A9" s="6" t="s">
        <v>33</v>
      </c>
      <c r="B9" s="38">
        <f t="shared" si="0"/>
        <v>612.24300000000005</v>
      </c>
      <c r="C9" s="34"/>
      <c r="D9" s="38">
        <f>IF( ISERROR(IND_andere_gas_kWh/1000),0,IND_andere_gas_kWh/1000)*0.902</f>
        <v>528.38528600000006</v>
      </c>
      <c r="E9" s="34">
        <f>C31*'E Balans VL '!I19/100/3.6*1000000</f>
        <v>3.5388560321487619</v>
      </c>
      <c r="F9" s="34">
        <f>C31*'E Balans VL '!L19/100/3.6*1000000+C31*'E Balans VL '!N19/100/3.6*1000000</f>
        <v>487.06876646738624</v>
      </c>
      <c r="G9" s="35"/>
      <c r="H9" s="34"/>
      <c r="I9" s="34"/>
      <c r="J9" s="41">
        <f>C31*'E Balans VL '!D19/100/3.6*1000000+C31*'E Balans VL '!E19/100/3.6*1000000</f>
        <v>5.7911387197374896E-2</v>
      </c>
      <c r="K9" s="34"/>
      <c r="L9" s="34"/>
      <c r="M9" s="34"/>
      <c r="N9" s="34">
        <f>C31*'E Balans VL '!Y19/100/3.6*1000000</f>
        <v>46.386672511430966</v>
      </c>
      <c r="O9" s="34"/>
      <c r="P9" s="34"/>
      <c r="R9" s="33"/>
    </row>
    <row r="10" spans="1:18">
      <c r="A10" s="6" t="s">
        <v>41</v>
      </c>
      <c r="B10" s="38">
        <f t="shared" si="0"/>
        <v>261.03199999999998</v>
      </c>
      <c r="C10" s="34"/>
      <c r="D10" s="38">
        <f>IF( ISERROR(IND_voed_gas_kWh/1000),0,IND_voed_gas_kWh/1000)*0.902</f>
        <v>311.95489600000002</v>
      </c>
      <c r="E10" s="34">
        <f>C32*'E Balans VL '!I20/100/3.6*1000000</f>
        <v>2.5666274592099807</v>
      </c>
      <c r="F10" s="34">
        <f>C32*'E Balans VL '!L20/100/3.6*1000000+C32*'E Balans VL '!N20/100/3.6*1000000</f>
        <v>28.991010757870825</v>
      </c>
      <c r="G10" s="35"/>
      <c r="H10" s="34"/>
      <c r="I10" s="34"/>
      <c r="J10" s="41">
        <f>C32*'E Balans VL '!D20/100/3.6*1000000+C32*'E Balans VL '!E20/100/3.6*1000000</f>
        <v>1.028845613397498E-3</v>
      </c>
      <c r="K10" s="34"/>
      <c r="L10" s="34"/>
      <c r="M10" s="34"/>
      <c r="N10" s="34">
        <f>C32*'E Balans VL '!Y20/100/3.6*1000000</f>
        <v>3.8652699080143917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5409.1620000000003</v>
      </c>
      <c r="C12" s="34"/>
      <c r="D12" s="38">
        <f>IF( ISERROR(IND_min_gas_kWh/1000),0,IND_min_gas_kWh/1000)*0.902</f>
        <v>0</v>
      </c>
      <c r="E12" s="34">
        <f>C34*'E Balans VL '!I22/100/3.6*1000000</f>
        <v>137.13188227715443</v>
      </c>
      <c r="F12" s="34">
        <f>C34*'E Balans VL '!L22/100/3.6*1000000+C34*'E Balans VL '!N22/100/3.6*1000000</f>
        <v>1496.7339795224725</v>
      </c>
      <c r="G12" s="35"/>
      <c r="H12" s="34"/>
      <c r="I12" s="34"/>
      <c r="J12" s="41">
        <f>C34*'E Balans VL '!D22/100/3.6*1000000+C34*'E Balans VL '!E22/100/3.6*1000000</f>
        <v>35.723192824122712</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43.12</v>
      </c>
      <c r="C15" s="34"/>
      <c r="D15" s="38">
        <f>IF( ISERROR(IND_rest_gas_kWh/1000),0,IND_rest_gas_kWh/1000)*0.902</f>
        <v>57.644114000000002</v>
      </c>
      <c r="E15" s="34">
        <f>C37*'E Balans VL '!I15/100/3.6*1000000</f>
        <v>0.38746299358121583</v>
      </c>
      <c r="F15" s="34">
        <f>C37*'E Balans VL '!L15/100/3.6*1000000+C37*'E Balans VL '!N15/100/3.6*1000000</f>
        <v>8.491210685396041</v>
      </c>
      <c r="G15" s="35"/>
      <c r="H15" s="34"/>
      <c r="I15" s="34"/>
      <c r="J15" s="41">
        <f>C37*'E Balans VL '!D15/100/3.6*1000000+C37*'E Balans VL '!E15/100/3.6*1000000</f>
        <v>0.21684057978195662</v>
      </c>
      <c r="K15" s="34"/>
      <c r="L15" s="34"/>
      <c r="M15" s="34"/>
      <c r="N15" s="34">
        <f>C37*'E Balans VL '!Y15/100/3.6*1000000</f>
        <v>1.3236704020093593</v>
      </c>
      <c r="O15" s="34"/>
      <c r="P15" s="34"/>
      <c r="R15" s="33"/>
    </row>
    <row r="16" spans="1:18">
      <c r="A16" s="17" t="s">
        <v>502</v>
      </c>
      <c r="B16" s="250">
        <f>'lokale energieproductie'!N90+'lokale energieproductie'!N59</f>
        <v>44190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-110475</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50678.491000000002</v>
      </c>
      <c r="C18" s="22">
        <f>C5+C16</f>
        <v>0</v>
      </c>
      <c r="D18" s="22">
        <f>MAX((D5+D16),0)</f>
        <v>897.98429600000009</v>
      </c>
      <c r="E18" s="22">
        <f>MAX((E5+E16),0)</f>
        <v>145.10863933737463</v>
      </c>
      <c r="F18" s="22">
        <f>MAX((F5+F16),0)</f>
        <v>2042.7747246910776</v>
      </c>
      <c r="G18" s="22"/>
      <c r="H18" s="22"/>
      <c r="I18" s="22"/>
      <c r="J18" s="22">
        <f>MAX((J5+J16),0)</f>
        <v>38.67085466506613</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8.9176335963939868E-2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4519.3221395615028</v>
      </c>
      <c r="C22" s="24">
        <f ca="1">C18*C20</f>
        <v>0</v>
      </c>
      <c r="D22" s="24">
        <f>D18*D20</f>
        <v>181.39282779200002</v>
      </c>
      <c r="E22" s="24">
        <f>E18*E20</f>
        <v>32.939661129584039</v>
      </c>
      <c r="F22" s="24">
        <f>F18*F20</f>
        <v>545.42085149251773</v>
      </c>
      <c r="G22" s="24"/>
      <c r="H22" s="24"/>
      <c r="I22" s="24"/>
      <c r="J22" s="24">
        <f>J18*J20</f>
        <v>13.689482551433409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162.934</v>
      </c>
      <c r="C30" s="40">
        <f>IF(ISERROR(B30*3.6/1000000/'E Balans VL '!Z18*100),0,B30*3.6/1000000/'E Balans VL '!Z18*100)</f>
        <v>9.0661875696898871E-3</v>
      </c>
      <c r="D30" s="240" t="s">
        <v>707</v>
      </c>
    </row>
    <row r="31" spans="1:18">
      <c r="A31" s="6" t="s">
        <v>33</v>
      </c>
      <c r="B31" s="38">
        <f>IF( ISERROR(IND_ander_ele_kWh/1000),0,IND_ander_ele_kWh/1000)</f>
        <v>612.24300000000005</v>
      </c>
      <c r="C31" s="40">
        <f>IF(ISERROR(B31*3.6/1000000/'E Balans VL '!Z19*100),0,B31*3.6/1000000/'E Balans VL '!Z19*100)</f>
        <v>2.8461569134546026E-2</v>
      </c>
      <c r="D31" s="240" t="s">
        <v>707</v>
      </c>
    </row>
    <row r="32" spans="1:18">
      <c r="A32" s="174" t="s">
        <v>41</v>
      </c>
      <c r="B32" s="38">
        <f>IF( ISERROR(IND_voed_ele_kWh/1000),0,IND_voed_ele_kWh/1000)</f>
        <v>261.03199999999998</v>
      </c>
      <c r="C32" s="40">
        <f>IF(ISERROR(B32*3.6/1000000/'E Balans VL '!Z20*100),0,B32*3.6/1000000/'E Balans VL '!Z20*100)</f>
        <v>9.2269540235498469E-3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5409.1620000000003</v>
      </c>
      <c r="C34" s="40">
        <f>IF(ISERROR(B34*3.6/1000000/'E Balans VL '!Z22*100),0,B34*3.6/1000000/'E Balans VL '!Z22*100)</f>
        <v>1.0870890287847976</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43.12</v>
      </c>
      <c r="C37" s="40">
        <f>IF(ISERROR(B37*3.6/1000000/'E Balans VL '!Z15*100),0,B37*3.6/1000000/'E Balans VL '!Z15*100)</f>
        <v>3.2561969787207168E-4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271.31400000000002</v>
      </c>
      <c r="C5" s="18">
        <f>'Eigen informatie GS &amp; warmtenet'!B60</f>
        <v>0</v>
      </c>
      <c r="D5" s="31">
        <f>IF(ISERROR(SUM(LB_lb_gas_kWh,LB_rest_gas_kWh)/1000),0,SUM(LB_lb_gas_kWh,LB_rest_gas_kWh)/1000)*0.902</f>
        <v>980.43521400000009</v>
      </c>
      <c r="E5" s="18">
        <f>B17*'E Balans VL '!I25/3.6*1000000/100</f>
        <v>2.555959666343155</v>
      </c>
      <c r="F5" s="18">
        <f>B17*('E Balans VL '!L25/3.6*1000000+'E Balans VL '!N25/3.6*1000000)/100</f>
        <v>885.38762320888725</v>
      </c>
      <c r="G5" s="19"/>
      <c r="H5" s="18"/>
      <c r="I5" s="18"/>
      <c r="J5" s="18">
        <f>('E Balans VL '!D25+'E Balans VL '!E25)/3.6*1000000*landbouw!B17/100</f>
        <v>33.562861471042503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271.31400000000002</v>
      </c>
      <c r="C8" s="22">
        <f>C5+C6</f>
        <v>0</v>
      </c>
      <c r="D8" s="22">
        <f>MAX((D5+D6),0)</f>
        <v>980.43521400000009</v>
      </c>
      <c r="E8" s="22">
        <f>MAX((E5+E6),0)</f>
        <v>2.555959666343155</v>
      </c>
      <c r="F8" s="22">
        <f>MAX((F5+F6),0)</f>
        <v>885.38762320888725</v>
      </c>
      <c r="G8" s="22"/>
      <c r="H8" s="22"/>
      <c r="I8" s="22"/>
      <c r="J8" s="22">
        <f>MAX((J5+J6),0)</f>
        <v>33.562861471042503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8.9176335963939868E-2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24.194788415720382</v>
      </c>
      <c r="C12" s="24">
        <f ca="1">C8*C10</f>
        <v>0</v>
      </c>
      <c r="D12" s="24">
        <f>D8*D10</f>
        <v>198.04791322800003</v>
      </c>
      <c r="E12" s="24">
        <f>E8*E10</f>
        <v>0.58020284425989621</v>
      </c>
      <c r="F12" s="24">
        <f>F8*F10</f>
        <v>236.39849539677292</v>
      </c>
      <c r="G12" s="24"/>
      <c r="H12" s="24"/>
      <c r="I12" s="24"/>
      <c r="J12" s="24">
        <f>J8*J10</f>
        <v>11.881252960749045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3.6731580140871488E-2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74.191759541073864</v>
      </c>
      <c r="C26" s="250">
        <f>B26*'GWP N2O_CH4'!B5</f>
        <v>1558.0269503625511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15.889354107889188</v>
      </c>
      <c r="C27" s="250">
        <f>B27*'GWP N2O_CH4'!B5</f>
        <v>333.67643626567298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0.80674553849652864</v>
      </c>
      <c r="C28" s="250">
        <f>B28*'GWP N2O_CH4'!B4</f>
        <v>250.09111693392387</v>
      </c>
      <c r="D28" s="51"/>
    </row>
    <row r="29" spans="1:4">
      <c r="A29" s="42" t="s">
        <v>277</v>
      </c>
      <c r="B29" s="250">
        <f>B34*'ha_N2O bodem landbouw'!B4</f>
        <v>5.1568661386213366</v>
      </c>
      <c r="C29" s="250">
        <f>B29*'GWP N2O_CH4'!B4</f>
        <v>1598.6285029726143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1.3921915179056674E-3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1.0190216261056098E-5</v>
      </c>
      <c r="C5" s="447" t="s">
        <v>211</v>
      </c>
      <c r="D5" s="432">
        <f>SUM(D6:D11)</f>
        <v>2.8783495505731531E-5</v>
      </c>
      <c r="E5" s="432">
        <f>SUM(E6:E11)</f>
        <v>1.8358778603159158E-3</v>
      </c>
      <c r="F5" s="445" t="s">
        <v>211</v>
      </c>
      <c r="G5" s="432">
        <f>SUM(G6:G11)</f>
        <v>0.39974586728695727</v>
      </c>
      <c r="H5" s="432">
        <f>SUM(H6:H11)</f>
        <v>6.5378714418902431E-2</v>
      </c>
      <c r="I5" s="447" t="s">
        <v>211</v>
      </c>
      <c r="J5" s="447" t="s">
        <v>211</v>
      </c>
      <c r="K5" s="447" t="s">
        <v>211</v>
      </c>
      <c r="L5" s="447" t="s">
        <v>211</v>
      </c>
      <c r="M5" s="432">
        <f>SUM(M6:M11)</f>
        <v>2.0791475336314383E-2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3.8967225744291139E-6</v>
      </c>
      <c r="C6" s="433"/>
      <c r="D6" s="433">
        <f>vkm_2011_GW_PW*SUMIFS(TableVerdeelsleutelVkm[CNG],TableVerdeelsleutelVkm[Voertuigtype],"Lichte voertuigen")*SUMIFS(TableECFTransport[EnergieConsumptieFactor (PJ per km)],TableECFTransport[Index],CONCATENATE($A6,"_CNG_CNG"))</f>
        <v>9.5158617855836493E-6</v>
      </c>
      <c r="E6" s="435">
        <f>vkm_2011_GW_PW*SUMIFS(TableVerdeelsleutelVkm[LPG],TableVerdeelsleutelVkm[Voertuigtype],"Lichte voertuigen")*SUMIFS(TableECFTransport[EnergieConsumptieFactor (PJ per km)],TableECFTransport[Index],CONCATENATE($A6,"_LPG_LPG"))</f>
        <v>5.6405110999818513E-4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8.1540223152151481E-2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2.1369349880962101E-2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4.6084802000255663E-3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1.9136155575711671E-2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7.720692718802859E-6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8.5250981021287627E-4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1.8132779280359714E-6</v>
      </c>
      <c r="C8" s="433"/>
      <c r="D8" s="435">
        <f>vkm_2011_NGW_PW*SUMIFS(TableVerdeelsleutelVkm[CNG],TableVerdeelsleutelVkm[Voertuigtype],"Lichte voertuigen")*SUMIFS(TableECFTransport[EnergieConsumptieFactor (PJ per km)],TableECFTransport[Index],CONCATENATE($A8,"_CNG_CNG"))</f>
        <v>7.9446831223588598E-6</v>
      </c>
      <c r="E8" s="435">
        <f>vkm_2011_NGW_PW*SUMIFS(TableVerdeelsleutelVkm[LPG],TableVerdeelsleutelVkm[Voertuigtype],"Lichte voertuigen")*SUMIFS(TableECFTransport[EnergieConsumptieFactor (PJ per km)],TableECFTransport[Index],CONCATENATE($A8,"_LPG_LPG"))</f>
        <v>4.3202165439156084E-4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5.8999176979216625E-2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1.7084513406845789E-2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3.4087193040512808E-3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9.0520823852795976E-3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3.1799216634552418E-6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4.0324587018458524E-4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4.4802157585910127E-6</v>
      </c>
      <c r="C10" s="433"/>
      <c r="D10" s="435">
        <f>vkm_2011_SW_PW*SUMIFS(TableVerdeelsleutelVkm[CNG],TableVerdeelsleutelVkm[Voertuigtype],"Lichte voertuigen")*SUMIFS(TableECFTransport[EnergieConsumptieFactor (PJ per km)],TableECFTransport[Index],CONCATENATE($A10,"_CNG_CNG"))</f>
        <v>1.132295059778902E-5</v>
      </c>
      <c r="E10" s="435">
        <f>vkm_2011_SW_PW*SUMIFS(TableVerdeelsleutelVkm[LPG],TableVerdeelsleutelVkm[Voertuigtype],"Lichte voertuigen")*SUMIFS(TableECFTransport[EnergieConsumptieFactor (PJ per km)],TableECFTransport[Index],CONCATENATE($A10,"_LPG_LPG"))</f>
        <v>8.3980509592616989E-4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0.11063962433032452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2.686242228701401E-2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6.1555551581514521E-3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0.12037860486427335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5.1528229698271104E-5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5.3629649936886214E-3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2.8306156280711381</v>
      </c>
      <c r="C14" s="22"/>
      <c r="D14" s="22">
        <f t="shared" ref="D14:M14" si="0">((D5)*10^9/3600)+D12</f>
        <v>7.9954154182587587</v>
      </c>
      <c r="E14" s="22">
        <f t="shared" si="0"/>
        <v>509.96607230997665</v>
      </c>
      <c r="F14" s="22"/>
      <c r="G14" s="22">
        <f t="shared" si="0"/>
        <v>111040.51869082147</v>
      </c>
      <c r="H14" s="22">
        <f t="shared" si="0"/>
        <v>18160.754005250677</v>
      </c>
      <c r="I14" s="22"/>
      <c r="J14" s="22"/>
      <c r="K14" s="22"/>
      <c r="L14" s="22"/>
      <c r="M14" s="22">
        <f t="shared" si="0"/>
        <v>5775.4098156428845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8.9176335963939868E-2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0.25242393023365045</v>
      </c>
      <c r="C18" s="24"/>
      <c r="D18" s="24">
        <f t="shared" ref="D18:M18" si="1">D14*D16</f>
        <v>1.6150739144882693</v>
      </c>
      <c r="E18" s="24">
        <f t="shared" si="1"/>
        <v>115.76229841436471</v>
      </c>
      <c r="F18" s="24"/>
      <c r="G18" s="24">
        <f t="shared" si="1"/>
        <v>29647.818490449332</v>
      </c>
      <c r="H18" s="24">
        <f t="shared" si="1"/>
        <v>4522.0277473074184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4.6827954387638256E-3</v>
      </c>
      <c r="H50" s="323">
        <f t="shared" si="2"/>
        <v>0</v>
      </c>
      <c r="I50" s="323">
        <f t="shared" si="2"/>
        <v>0</v>
      </c>
      <c r="J50" s="323">
        <f t="shared" si="2"/>
        <v>0</v>
      </c>
      <c r="K50" s="323">
        <f t="shared" si="2"/>
        <v>0</v>
      </c>
      <c r="L50" s="323">
        <f t="shared" si="2"/>
        <v>0</v>
      </c>
      <c r="M50" s="323">
        <f t="shared" si="2"/>
        <v>2.0562927247038765E-4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4.6827954387638256E-3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2.0562927247038765E-4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1300.7765107677292</v>
      </c>
      <c r="H54" s="22">
        <f t="shared" si="3"/>
        <v>0</v>
      </c>
      <c r="I54" s="22">
        <f t="shared" si="3"/>
        <v>0</v>
      </c>
      <c r="J54" s="22">
        <f t="shared" si="3"/>
        <v>0</v>
      </c>
      <c r="K54" s="22">
        <f t="shared" si="3"/>
        <v>0</v>
      </c>
      <c r="L54" s="22">
        <f t="shared" si="3"/>
        <v>0</v>
      </c>
      <c r="M54" s="22">
        <f t="shared" si="3"/>
        <v>57.119242352885458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8.9176335963939868E-2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347.30732837498368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11005.131000000001</v>
      </c>
      <c r="D10" s="688">
        <f ca="1">tertiair!C16</f>
        <v>0</v>
      </c>
      <c r="E10" s="688">
        <f ca="1">tertiair!D16</f>
        <v>4341.5668340000002</v>
      </c>
      <c r="F10" s="688">
        <f>tertiair!E16</f>
        <v>80.832542540821478</v>
      </c>
      <c r="G10" s="688">
        <f ca="1">tertiair!F16</f>
        <v>1986.7593455037925</v>
      </c>
      <c r="H10" s="688">
        <f>tertiair!G16</f>
        <v>0</v>
      </c>
      <c r="I10" s="688">
        <f>tertiair!H16</f>
        <v>0</v>
      </c>
      <c r="J10" s="688">
        <f>tertiair!I16</f>
        <v>0</v>
      </c>
      <c r="K10" s="688">
        <f>tertiair!J16</f>
        <v>0</v>
      </c>
      <c r="L10" s="688">
        <f>tertiair!K16</f>
        <v>0</v>
      </c>
      <c r="M10" s="688">
        <f ca="1">tertiair!L16</f>
        <v>0</v>
      </c>
      <c r="N10" s="688">
        <f>tertiair!M16</f>
        <v>0</v>
      </c>
      <c r="O10" s="688">
        <f ca="1">tertiair!N16</f>
        <v>415.43801936292203</v>
      </c>
      <c r="P10" s="688">
        <f>tertiair!O16</f>
        <v>0</v>
      </c>
      <c r="Q10" s="689">
        <f>tertiair!P16</f>
        <v>0</v>
      </c>
      <c r="R10" s="691">
        <f ca="1">SUM(C10:Q10)</f>
        <v>17829.72774140754</v>
      </c>
      <c r="S10" s="68"/>
    </row>
    <row r="11" spans="1:19" s="457" customFormat="1">
      <c r="A11" s="803" t="s">
        <v>225</v>
      </c>
      <c r="B11" s="808"/>
      <c r="C11" s="688">
        <f>huishoudens!B8</f>
        <v>18625.906645405281</v>
      </c>
      <c r="D11" s="688">
        <f>huishoudens!C8</f>
        <v>0</v>
      </c>
      <c r="E11" s="688">
        <f>huishoudens!D8</f>
        <v>25746.339828000004</v>
      </c>
      <c r="F11" s="688">
        <f>huishoudens!E8</f>
        <v>2716.9335470452688</v>
      </c>
      <c r="G11" s="688">
        <f>huishoudens!F8</f>
        <v>30577.080764647839</v>
      </c>
      <c r="H11" s="688">
        <f>huishoudens!G8</f>
        <v>0</v>
      </c>
      <c r="I11" s="688">
        <f>huishoudens!H8</f>
        <v>0</v>
      </c>
      <c r="J11" s="688">
        <f>huishoudens!I8</f>
        <v>0</v>
      </c>
      <c r="K11" s="688">
        <f>huishoudens!J8</f>
        <v>0</v>
      </c>
      <c r="L11" s="688">
        <f>huishoudens!K8</f>
        <v>0</v>
      </c>
      <c r="M11" s="688">
        <f>huishoudens!L8</f>
        <v>0</v>
      </c>
      <c r="N11" s="688">
        <f>huishoudens!M8</f>
        <v>0</v>
      </c>
      <c r="O11" s="688">
        <f>huishoudens!N8</f>
        <v>11659.436015452527</v>
      </c>
      <c r="P11" s="688">
        <f>huishoudens!O8</f>
        <v>96.926666666666677</v>
      </c>
      <c r="Q11" s="689">
        <f>huishoudens!P8</f>
        <v>343.2</v>
      </c>
      <c r="R11" s="691">
        <f>SUM(C11:Q11)</f>
        <v>89765.823467217575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50678.491000000002</v>
      </c>
      <c r="D13" s="688">
        <f>industrie!C18</f>
        <v>0</v>
      </c>
      <c r="E13" s="688">
        <f>industrie!D18</f>
        <v>897.98429600000009</v>
      </c>
      <c r="F13" s="688">
        <f>industrie!E18</f>
        <v>145.10863933737463</v>
      </c>
      <c r="G13" s="688">
        <f>industrie!F18</f>
        <v>2042.7747246910776</v>
      </c>
      <c r="H13" s="688">
        <f>industrie!G18</f>
        <v>0</v>
      </c>
      <c r="I13" s="688">
        <f>industrie!H18</f>
        <v>0</v>
      </c>
      <c r="J13" s="688">
        <f>industrie!I18</f>
        <v>0</v>
      </c>
      <c r="K13" s="688">
        <f>industrie!J18</f>
        <v>38.67085466506613</v>
      </c>
      <c r="L13" s="688">
        <f>industrie!K18</f>
        <v>0</v>
      </c>
      <c r="M13" s="688">
        <f>industrie!L18</f>
        <v>0</v>
      </c>
      <c r="N13" s="688">
        <f>industrie!M18</f>
        <v>0</v>
      </c>
      <c r="O13" s="688">
        <f>industrie!N18</f>
        <v>0</v>
      </c>
      <c r="P13" s="688">
        <f>industrie!O18</f>
        <v>0</v>
      </c>
      <c r="Q13" s="689">
        <f>industrie!P18</f>
        <v>0</v>
      </c>
      <c r="R13" s="691">
        <f>SUM(C13:Q13)</f>
        <v>53803.029514693524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80309.528645405284</v>
      </c>
      <c r="D16" s="721">
        <f t="shared" ref="D16:R16" ca="1" si="0">SUM(D9:D15)</f>
        <v>0</v>
      </c>
      <c r="E16" s="721">
        <f t="shared" ca="1" si="0"/>
        <v>30985.890958000004</v>
      </c>
      <c r="F16" s="721">
        <f t="shared" si="0"/>
        <v>2942.8747289234652</v>
      </c>
      <c r="G16" s="721">
        <f t="shared" ca="1" si="0"/>
        <v>34606.614834842709</v>
      </c>
      <c r="H16" s="721">
        <f t="shared" si="0"/>
        <v>0</v>
      </c>
      <c r="I16" s="721">
        <f t="shared" si="0"/>
        <v>0</v>
      </c>
      <c r="J16" s="721">
        <f t="shared" si="0"/>
        <v>0</v>
      </c>
      <c r="K16" s="721">
        <f t="shared" si="0"/>
        <v>38.67085466506613</v>
      </c>
      <c r="L16" s="721">
        <f t="shared" si="0"/>
        <v>0</v>
      </c>
      <c r="M16" s="721">
        <f t="shared" ca="1" si="0"/>
        <v>0</v>
      </c>
      <c r="N16" s="721">
        <f t="shared" si="0"/>
        <v>0</v>
      </c>
      <c r="O16" s="721">
        <f t="shared" ca="1" si="0"/>
        <v>12074.87403481545</v>
      </c>
      <c r="P16" s="721">
        <f t="shared" si="0"/>
        <v>96.926666666666677</v>
      </c>
      <c r="Q16" s="721">
        <f t="shared" si="0"/>
        <v>343.2</v>
      </c>
      <c r="R16" s="721">
        <f t="shared" ca="1" si="0"/>
        <v>161398.58072331862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1300.7765107677292</v>
      </c>
      <c r="I19" s="688">
        <f>transport!H54</f>
        <v>0</v>
      </c>
      <c r="J19" s="688">
        <f>transport!I54</f>
        <v>0</v>
      </c>
      <c r="K19" s="688">
        <f>transport!J54</f>
        <v>0</v>
      </c>
      <c r="L19" s="688">
        <f>transport!K54</f>
        <v>0</v>
      </c>
      <c r="M19" s="688">
        <f>transport!L54</f>
        <v>0</v>
      </c>
      <c r="N19" s="688">
        <f>transport!M54</f>
        <v>57.119242352885458</v>
      </c>
      <c r="O19" s="688">
        <f>transport!N54</f>
        <v>0</v>
      </c>
      <c r="P19" s="688">
        <f>transport!O54</f>
        <v>0</v>
      </c>
      <c r="Q19" s="689">
        <f>transport!P54</f>
        <v>0</v>
      </c>
      <c r="R19" s="691">
        <f>SUM(C19:Q19)</f>
        <v>1357.8957531206147</v>
      </c>
      <c r="S19" s="68"/>
    </row>
    <row r="20" spans="1:19" s="457" customFormat="1">
      <c r="A20" s="803" t="s">
        <v>307</v>
      </c>
      <c r="B20" s="808"/>
      <c r="C20" s="688">
        <f>transport!B14</f>
        <v>2.8306156280711381</v>
      </c>
      <c r="D20" s="688">
        <f>transport!C14</f>
        <v>0</v>
      </c>
      <c r="E20" s="688">
        <f>transport!D14</f>
        <v>7.9954154182587587</v>
      </c>
      <c r="F20" s="688">
        <f>transport!E14</f>
        <v>509.96607230997665</v>
      </c>
      <c r="G20" s="688">
        <f>transport!F14</f>
        <v>0</v>
      </c>
      <c r="H20" s="688">
        <f>transport!G14</f>
        <v>111040.51869082147</v>
      </c>
      <c r="I20" s="688">
        <f>transport!H14</f>
        <v>18160.754005250677</v>
      </c>
      <c r="J20" s="688">
        <f>transport!I14</f>
        <v>0</v>
      </c>
      <c r="K20" s="688">
        <f>transport!J14</f>
        <v>0</v>
      </c>
      <c r="L20" s="688">
        <f>transport!K14</f>
        <v>0</v>
      </c>
      <c r="M20" s="688">
        <f>transport!L14</f>
        <v>0</v>
      </c>
      <c r="N20" s="688">
        <f>transport!M14</f>
        <v>5775.4098156428845</v>
      </c>
      <c r="O20" s="688">
        <f>transport!N14</f>
        <v>0</v>
      </c>
      <c r="P20" s="688">
        <f>transport!O14</f>
        <v>0</v>
      </c>
      <c r="Q20" s="689">
        <f>transport!P14</f>
        <v>0</v>
      </c>
      <c r="R20" s="691">
        <f>SUM(C20:Q20)</f>
        <v>135497.47461507135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2.8306156280711381</v>
      </c>
      <c r="D22" s="806">
        <f t="shared" ref="D22:R22" si="1">SUM(D18:D21)</f>
        <v>0</v>
      </c>
      <c r="E22" s="806">
        <f t="shared" si="1"/>
        <v>7.9954154182587587</v>
      </c>
      <c r="F22" s="806">
        <f t="shared" si="1"/>
        <v>509.96607230997665</v>
      </c>
      <c r="G22" s="806">
        <f t="shared" si="1"/>
        <v>0</v>
      </c>
      <c r="H22" s="806">
        <f t="shared" si="1"/>
        <v>112341.29520158919</v>
      </c>
      <c r="I22" s="806">
        <f t="shared" si="1"/>
        <v>18160.754005250677</v>
      </c>
      <c r="J22" s="806">
        <f t="shared" si="1"/>
        <v>0</v>
      </c>
      <c r="K22" s="806">
        <f t="shared" si="1"/>
        <v>0</v>
      </c>
      <c r="L22" s="806">
        <f t="shared" si="1"/>
        <v>0</v>
      </c>
      <c r="M22" s="806">
        <f t="shared" si="1"/>
        <v>0</v>
      </c>
      <c r="N22" s="806">
        <f t="shared" si="1"/>
        <v>5832.52905799577</v>
      </c>
      <c r="O22" s="806">
        <f t="shared" si="1"/>
        <v>0</v>
      </c>
      <c r="P22" s="806">
        <f t="shared" si="1"/>
        <v>0</v>
      </c>
      <c r="Q22" s="806">
        <f t="shared" si="1"/>
        <v>0</v>
      </c>
      <c r="R22" s="806">
        <f t="shared" si="1"/>
        <v>136855.37036819197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271.31400000000002</v>
      </c>
      <c r="D24" s="688">
        <f>+landbouw!C8</f>
        <v>0</v>
      </c>
      <c r="E24" s="688">
        <f>+landbouw!D8</f>
        <v>980.43521400000009</v>
      </c>
      <c r="F24" s="688">
        <f>+landbouw!E8</f>
        <v>2.555959666343155</v>
      </c>
      <c r="G24" s="688">
        <f>+landbouw!F8</f>
        <v>885.38762320888725</v>
      </c>
      <c r="H24" s="688">
        <f>+landbouw!G8</f>
        <v>0</v>
      </c>
      <c r="I24" s="688">
        <f>+landbouw!H8</f>
        <v>0</v>
      </c>
      <c r="J24" s="688">
        <f>+landbouw!I8</f>
        <v>0</v>
      </c>
      <c r="K24" s="688">
        <f>+landbouw!J8</f>
        <v>33.562861471042503</v>
      </c>
      <c r="L24" s="688">
        <f>+landbouw!K8</f>
        <v>0</v>
      </c>
      <c r="M24" s="688">
        <f>+landbouw!L8</f>
        <v>0</v>
      </c>
      <c r="N24" s="688">
        <f>+landbouw!M8</f>
        <v>0</v>
      </c>
      <c r="O24" s="688">
        <f>+landbouw!N8</f>
        <v>0</v>
      </c>
      <c r="P24" s="688">
        <f>+landbouw!O8</f>
        <v>0</v>
      </c>
      <c r="Q24" s="689">
        <f>+landbouw!P8</f>
        <v>0</v>
      </c>
      <c r="R24" s="691">
        <f>SUM(C24:Q24)</f>
        <v>2173.2556583462733</v>
      </c>
      <c r="S24" s="68"/>
    </row>
    <row r="25" spans="1:19" s="457" customFormat="1" ht="15" thickBot="1">
      <c r="A25" s="825" t="s">
        <v>912</v>
      </c>
      <c r="B25" s="1001"/>
      <c r="C25" s="1002">
        <f>IF(Onbekend_ele_kWh="---",0,Onbekend_ele_kWh)/1000+IF(REST_rest_ele_kWh="---",0,REST_rest_ele_kWh)/1000</f>
        <v>244.57</v>
      </c>
      <c r="D25" s="1002"/>
      <c r="E25" s="1002">
        <f>IF(onbekend_gas_kWh="---",0,onbekend_gas_kWh)/1000+IF(REST_rest_gas_kWh="---",0,REST_rest_gas_kWh)/1000</f>
        <v>1356.16</v>
      </c>
      <c r="F25" s="1002"/>
      <c r="G25" s="1002"/>
      <c r="H25" s="1002"/>
      <c r="I25" s="1002"/>
      <c r="J25" s="1002"/>
      <c r="K25" s="1002"/>
      <c r="L25" s="1002"/>
      <c r="M25" s="1002"/>
      <c r="N25" s="1002"/>
      <c r="O25" s="1002"/>
      <c r="P25" s="1002"/>
      <c r="Q25" s="1003"/>
      <c r="R25" s="691">
        <f>SUM(C25:Q25)</f>
        <v>1600.73</v>
      </c>
      <c r="S25" s="68"/>
    </row>
    <row r="26" spans="1:19" s="457" customFormat="1" ht="15.75" thickBot="1">
      <c r="A26" s="694" t="s">
        <v>913</v>
      </c>
      <c r="B26" s="811"/>
      <c r="C26" s="806">
        <f>SUM(C24:C25)</f>
        <v>515.88400000000001</v>
      </c>
      <c r="D26" s="806">
        <f t="shared" ref="D26:R26" si="2">SUM(D24:D25)</f>
        <v>0</v>
      </c>
      <c r="E26" s="806">
        <f t="shared" si="2"/>
        <v>2336.5952139999999</v>
      </c>
      <c r="F26" s="806">
        <f t="shared" si="2"/>
        <v>2.555959666343155</v>
      </c>
      <c r="G26" s="806">
        <f t="shared" si="2"/>
        <v>885.38762320888725</v>
      </c>
      <c r="H26" s="806">
        <f t="shared" si="2"/>
        <v>0</v>
      </c>
      <c r="I26" s="806">
        <f t="shared" si="2"/>
        <v>0</v>
      </c>
      <c r="J26" s="806">
        <f t="shared" si="2"/>
        <v>0</v>
      </c>
      <c r="K26" s="806">
        <f t="shared" si="2"/>
        <v>33.562861471042503</v>
      </c>
      <c r="L26" s="806">
        <f t="shared" si="2"/>
        <v>0</v>
      </c>
      <c r="M26" s="806">
        <f t="shared" si="2"/>
        <v>0</v>
      </c>
      <c r="N26" s="806">
        <f t="shared" si="2"/>
        <v>0</v>
      </c>
      <c r="O26" s="806">
        <f t="shared" si="2"/>
        <v>0</v>
      </c>
      <c r="P26" s="806">
        <f t="shared" si="2"/>
        <v>0</v>
      </c>
      <c r="Q26" s="806">
        <f t="shared" si="2"/>
        <v>0</v>
      </c>
      <c r="R26" s="806">
        <f t="shared" si="2"/>
        <v>3773.9856583462733</v>
      </c>
      <c r="S26" s="68"/>
    </row>
    <row r="27" spans="1:19" s="457" customFormat="1" ht="17.25" thickTop="1" thickBot="1">
      <c r="A27" s="695" t="s">
        <v>116</v>
      </c>
      <c r="B27" s="798"/>
      <c r="C27" s="696">
        <f ca="1">C22+C16+C26</f>
        <v>80828.243261033364</v>
      </c>
      <c r="D27" s="696">
        <f t="shared" ref="D27:R27" ca="1" si="3">D22+D16+D26</f>
        <v>0</v>
      </c>
      <c r="E27" s="696">
        <f t="shared" ca="1" si="3"/>
        <v>33330.48158741826</v>
      </c>
      <c r="F27" s="696">
        <f t="shared" si="3"/>
        <v>3455.3967608997855</v>
      </c>
      <c r="G27" s="696">
        <f t="shared" ca="1" si="3"/>
        <v>35492.002458051596</v>
      </c>
      <c r="H27" s="696">
        <f t="shared" si="3"/>
        <v>112341.29520158919</v>
      </c>
      <c r="I27" s="696">
        <f t="shared" si="3"/>
        <v>18160.754005250677</v>
      </c>
      <c r="J27" s="696">
        <f t="shared" si="3"/>
        <v>0</v>
      </c>
      <c r="K27" s="696">
        <f t="shared" si="3"/>
        <v>72.233716136108626</v>
      </c>
      <c r="L27" s="696">
        <f t="shared" si="3"/>
        <v>0</v>
      </c>
      <c r="M27" s="696">
        <f t="shared" ca="1" si="3"/>
        <v>0</v>
      </c>
      <c r="N27" s="696">
        <f t="shared" si="3"/>
        <v>5832.52905799577</v>
      </c>
      <c r="O27" s="696">
        <f t="shared" ca="1" si="3"/>
        <v>12074.87403481545</v>
      </c>
      <c r="P27" s="696">
        <f t="shared" si="3"/>
        <v>96.926666666666677</v>
      </c>
      <c r="Q27" s="696">
        <f t="shared" si="3"/>
        <v>343.2</v>
      </c>
      <c r="R27" s="696">
        <f t="shared" ca="1" si="3"/>
        <v>302027.93674985686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981.39725938316963</v>
      </c>
      <c r="D40" s="688">
        <f ca="1">tertiair!C20</f>
        <v>0</v>
      </c>
      <c r="E40" s="688">
        <f ca="1">tertiair!D20</f>
        <v>876.99650046800014</v>
      </c>
      <c r="F40" s="688">
        <f>tertiair!E20</f>
        <v>18.348987156766476</v>
      </c>
      <c r="G40" s="688">
        <f ca="1">tertiair!F20</f>
        <v>530.46474524951259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2407.2074922574488</v>
      </c>
    </row>
    <row r="41" spans="1:18">
      <c r="A41" s="816" t="s">
        <v>225</v>
      </c>
      <c r="B41" s="823"/>
      <c r="C41" s="688">
        <f ca="1">huishoudens!B12</f>
        <v>1660.9901086436416</v>
      </c>
      <c r="D41" s="688">
        <f ca="1">huishoudens!C12</f>
        <v>0</v>
      </c>
      <c r="E41" s="688">
        <f>huishoudens!D12</f>
        <v>5200.7606452560012</v>
      </c>
      <c r="F41" s="688">
        <f>huishoudens!E12</f>
        <v>616.74391517927609</v>
      </c>
      <c r="G41" s="688">
        <f>huishoudens!F12</f>
        <v>8164.0805641609732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15642.575233239892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4519.3221395615028</v>
      </c>
      <c r="D43" s="688">
        <f ca="1">industrie!C22</f>
        <v>0</v>
      </c>
      <c r="E43" s="688">
        <f>industrie!D22</f>
        <v>181.39282779200002</v>
      </c>
      <c r="F43" s="688">
        <f>industrie!E22</f>
        <v>32.939661129584039</v>
      </c>
      <c r="G43" s="688">
        <f>industrie!F22</f>
        <v>545.42085149251773</v>
      </c>
      <c r="H43" s="688">
        <f>industrie!G22</f>
        <v>0</v>
      </c>
      <c r="I43" s="688">
        <f>industrie!H22</f>
        <v>0</v>
      </c>
      <c r="J43" s="688">
        <f>industrie!I22</f>
        <v>0</v>
      </c>
      <c r="K43" s="688">
        <f>industrie!J22</f>
        <v>13.689482551433409</v>
      </c>
      <c r="L43" s="688">
        <f>industrie!K22</f>
        <v>0</v>
      </c>
      <c r="M43" s="688">
        <f>industrie!L22</f>
        <v>0</v>
      </c>
      <c r="N43" s="688">
        <f>industrie!M22</f>
        <v>0</v>
      </c>
      <c r="O43" s="688">
        <f>industrie!N22</f>
        <v>0</v>
      </c>
      <c r="P43" s="688">
        <f>industrie!O22</f>
        <v>0</v>
      </c>
      <c r="Q43" s="763">
        <f>industrie!P22</f>
        <v>0</v>
      </c>
      <c r="R43" s="843">
        <f t="shared" ca="1" si="4"/>
        <v>5292.7649625270387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7161.7095075883135</v>
      </c>
      <c r="D46" s="721">
        <f t="shared" ref="D46:Q46" ca="1" si="5">SUM(D39:D45)</f>
        <v>0</v>
      </c>
      <c r="E46" s="721">
        <f t="shared" ca="1" si="5"/>
        <v>6259.1499735160014</v>
      </c>
      <c r="F46" s="721">
        <f t="shared" si="5"/>
        <v>668.03256346562659</v>
      </c>
      <c r="G46" s="721">
        <f t="shared" ca="1" si="5"/>
        <v>9239.9661609030027</v>
      </c>
      <c r="H46" s="721">
        <f t="shared" si="5"/>
        <v>0</v>
      </c>
      <c r="I46" s="721">
        <f t="shared" si="5"/>
        <v>0</v>
      </c>
      <c r="J46" s="721">
        <f t="shared" si="5"/>
        <v>0</v>
      </c>
      <c r="K46" s="721">
        <f t="shared" si="5"/>
        <v>13.689482551433409</v>
      </c>
      <c r="L46" s="721">
        <f t="shared" si="5"/>
        <v>0</v>
      </c>
      <c r="M46" s="721">
        <f t="shared" ca="1" si="5"/>
        <v>0</v>
      </c>
      <c r="N46" s="721">
        <f t="shared" si="5"/>
        <v>0</v>
      </c>
      <c r="O46" s="721">
        <f t="shared" ca="1" si="5"/>
        <v>0</v>
      </c>
      <c r="P46" s="721">
        <f t="shared" si="5"/>
        <v>0</v>
      </c>
      <c r="Q46" s="721">
        <f t="shared" si="5"/>
        <v>0</v>
      </c>
      <c r="R46" s="721">
        <f ca="1">SUM(R39:R45)</f>
        <v>23342.54768802438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347.30732837498368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347.30732837498368</v>
      </c>
    </row>
    <row r="50" spans="1:18">
      <c r="A50" s="819" t="s">
        <v>307</v>
      </c>
      <c r="B50" s="829"/>
      <c r="C50" s="1008">
        <f ca="1">transport!B18</f>
        <v>0.25242393023365045</v>
      </c>
      <c r="D50" s="1008">
        <f>transport!C18</f>
        <v>0</v>
      </c>
      <c r="E50" s="1008">
        <f>transport!D18</f>
        <v>1.6150739144882693</v>
      </c>
      <c r="F50" s="1008">
        <f>transport!E18</f>
        <v>115.76229841436471</v>
      </c>
      <c r="G50" s="1008">
        <f>transport!F18</f>
        <v>0</v>
      </c>
      <c r="H50" s="1008">
        <f>transport!G18</f>
        <v>29647.818490449332</v>
      </c>
      <c r="I50" s="1008">
        <f>transport!H18</f>
        <v>4522.0277473074184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34287.476034015839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0.25242393023365045</v>
      </c>
      <c r="D52" s="721">
        <f t="shared" ref="D52:Q52" ca="1" si="6">SUM(D48:D51)</f>
        <v>0</v>
      </c>
      <c r="E52" s="721">
        <f t="shared" si="6"/>
        <v>1.6150739144882693</v>
      </c>
      <c r="F52" s="721">
        <f t="shared" si="6"/>
        <v>115.76229841436471</v>
      </c>
      <c r="G52" s="721">
        <f t="shared" si="6"/>
        <v>0</v>
      </c>
      <c r="H52" s="721">
        <f t="shared" si="6"/>
        <v>29995.125818824316</v>
      </c>
      <c r="I52" s="721">
        <f t="shared" si="6"/>
        <v>4522.0277473074184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34634.783362390823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24.194788415720382</v>
      </c>
      <c r="D54" s="1008">
        <f ca="1">+landbouw!C12</f>
        <v>0</v>
      </c>
      <c r="E54" s="1008">
        <f>+landbouw!D12</f>
        <v>198.04791322800003</v>
      </c>
      <c r="F54" s="1008">
        <f>+landbouw!E12</f>
        <v>0.58020284425989621</v>
      </c>
      <c r="G54" s="1008">
        <f>+landbouw!F12</f>
        <v>236.39849539677292</v>
      </c>
      <c r="H54" s="1008">
        <f>+landbouw!G12</f>
        <v>0</v>
      </c>
      <c r="I54" s="1008">
        <f>+landbouw!H12</f>
        <v>0</v>
      </c>
      <c r="J54" s="1008">
        <f>+landbouw!I12</f>
        <v>0</v>
      </c>
      <c r="K54" s="1008">
        <f>+landbouw!J12</f>
        <v>11.881252960749045</v>
      </c>
      <c r="L54" s="1008">
        <f>+landbouw!K12</f>
        <v>0</v>
      </c>
      <c r="M54" s="1008">
        <f>+landbouw!L12</f>
        <v>0</v>
      </c>
      <c r="N54" s="1008">
        <f>+landbouw!M12</f>
        <v>0</v>
      </c>
      <c r="O54" s="1008">
        <f>+landbouw!N12</f>
        <v>0</v>
      </c>
      <c r="P54" s="1008">
        <f>+landbouw!O12</f>
        <v>0</v>
      </c>
      <c r="Q54" s="1009">
        <f>+landbouw!P12</f>
        <v>0</v>
      </c>
      <c r="R54" s="720">
        <f ca="1">SUM(C54:Q54)</f>
        <v>471.10265284550229</v>
      </c>
    </row>
    <row r="55" spans="1:18" ht="15" thickBot="1">
      <c r="A55" s="819" t="s">
        <v>912</v>
      </c>
      <c r="B55" s="829"/>
      <c r="C55" s="1008">
        <f ca="1">C25*'EF ele_warmte'!B12</f>
        <v>21.809856486700774</v>
      </c>
      <c r="D55" s="1008"/>
      <c r="E55" s="1008">
        <f>E25*EF_CO2_aardgas</f>
        <v>273.94432000000006</v>
      </c>
      <c r="F55" s="1008"/>
      <c r="G55" s="1008"/>
      <c r="H55" s="1008"/>
      <c r="I55" s="1008"/>
      <c r="J55" s="1008"/>
      <c r="K55" s="1008"/>
      <c r="L55" s="1008"/>
      <c r="M55" s="1008"/>
      <c r="N55" s="1008"/>
      <c r="O55" s="1008"/>
      <c r="P55" s="1008"/>
      <c r="Q55" s="1009"/>
      <c r="R55" s="720">
        <f ca="1">SUM(C55:Q55)</f>
        <v>295.75417648670083</v>
      </c>
    </row>
    <row r="56" spans="1:18" ht="15.75" thickBot="1">
      <c r="A56" s="817" t="s">
        <v>913</v>
      </c>
      <c r="B56" s="830"/>
      <c r="C56" s="721">
        <f ca="1">SUM(C54:C55)</f>
        <v>46.004644902421155</v>
      </c>
      <c r="D56" s="721">
        <f t="shared" ref="D56:Q56" ca="1" si="7">SUM(D54:D55)</f>
        <v>0</v>
      </c>
      <c r="E56" s="721">
        <f t="shared" si="7"/>
        <v>471.99223322800009</v>
      </c>
      <c r="F56" s="721">
        <f t="shared" si="7"/>
        <v>0.58020284425989621</v>
      </c>
      <c r="G56" s="721">
        <f t="shared" si="7"/>
        <v>236.39849539677292</v>
      </c>
      <c r="H56" s="721">
        <f t="shared" si="7"/>
        <v>0</v>
      </c>
      <c r="I56" s="721">
        <f t="shared" si="7"/>
        <v>0</v>
      </c>
      <c r="J56" s="721">
        <f t="shared" si="7"/>
        <v>0</v>
      </c>
      <c r="K56" s="721">
        <f t="shared" si="7"/>
        <v>11.881252960749045</v>
      </c>
      <c r="L56" s="721">
        <f t="shared" si="7"/>
        <v>0</v>
      </c>
      <c r="M56" s="721">
        <f t="shared" si="7"/>
        <v>0</v>
      </c>
      <c r="N56" s="721">
        <f t="shared" si="7"/>
        <v>0</v>
      </c>
      <c r="O56" s="721">
        <f t="shared" si="7"/>
        <v>0</v>
      </c>
      <c r="P56" s="721">
        <f t="shared" si="7"/>
        <v>0</v>
      </c>
      <c r="Q56" s="722">
        <f t="shared" si="7"/>
        <v>0</v>
      </c>
      <c r="R56" s="723">
        <f ca="1">SUM(R54:R55)</f>
        <v>766.85682933220312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7207.9665764209685</v>
      </c>
      <c r="D61" s="729">
        <f t="shared" ref="D61:Q61" ca="1" si="8">D46+D52+D56</f>
        <v>0</v>
      </c>
      <c r="E61" s="729">
        <f t="shared" ca="1" si="8"/>
        <v>6732.7572806584903</v>
      </c>
      <c r="F61" s="729">
        <f t="shared" si="8"/>
        <v>784.37506472425127</v>
      </c>
      <c r="G61" s="729">
        <f t="shared" ca="1" si="8"/>
        <v>9476.3646562997765</v>
      </c>
      <c r="H61" s="729">
        <f t="shared" si="8"/>
        <v>29995.125818824316</v>
      </c>
      <c r="I61" s="729">
        <f t="shared" si="8"/>
        <v>4522.0277473074184</v>
      </c>
      <c r="J61" s="729">
        <f t="shared" si="8"/>
        <v>0</v>
      </c>
      <c r="K61" s="729">
        <f t="shared" si="8"/>
        <v>25.570735512182452</v>
      </c>
      <c r="L61" s="729">
        <f t="shared" si="8"/>
        <v>0</v>
      </c>
      <c r="M61" s="729">
        <f t="shared" ca="1" si="8"/>
        <v>0</v>
      </c>
      <c r="N61" s="729">
        <f t="shared" si="8"/>
        <v>0</v>
      </c>
      <c r="O61" s="729">
        <f t="shared" ca="1" si="8"/>
        <v>0</v>
      </c>
      <c r="P61" s="729">
        <f t="shared" si="8"/>
        <v>0</v>
      </c>
      <c r="Q61" s="729">
        <f t="shared" si="8"/>
        <v>0</v>
      </c>
      <c r="R61" s="729">
        <f ca="1">R46+R52+R56</f>
        <v>58744.187879747406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8.9176335963939854E-2</v>
      </c>
      <c r="D63" s="773">
        <f t="shared" ca="1" si="9"/>
        <v>0</v>
      </c>
      <c r="E63" s="1010">
        <f t="shared" ca="1" si="9"/>
        <v>0.20200000000000004</v>
      </c>
      <c r="F63" s="773">
        <f t="shared" si="9"/>
        <v>0.22699999999999998</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4023.0098835629133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44190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110475</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48213.009883562911</v>
      </c>
      <c r="C78" s="744">
        <f>SUM(C72:C77)</f>
        <v>0</v>
      </c>
      <c r="D78" s="745">
        <f t="shared" ref="D78:H78" si="10">SUM(D76:D77)</f>
        <v>0</v>
      </c>
      <c r="E78" s="745">
        <f t="shared" si="10"/>
        <v>0</v>
      </c>
      <c r="F78" s="745">
        <f t="shared" si="10"/>
        <v>0</v>
      </c>
      <c r="G78" s="745">
        <f t="shared" si="10"/>
        <v>0</v>
      </c>
      <c r="H78" s="745">
        <f t="shared" si="10"/>
        <v>0</v>
      </c>
      <c r="I78" s="745">
        <f>SUM(I76:I77)</f>
        <v>0</v>
      </c>
      <c r="J78" s="745">
        <f>SUM(J76:J77)</f>
        <v>110475</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4023.0098835629133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44190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48213.009883562911</v>
      </c>
      <c r="C10" s="570">
        <f t="shared" ref="C10:L10" si="0">SUM(C8:C9)</f>
        <v>0</v>
      </c>
      <c r="D10" s="570">
        <f t="shared" si="0"/>
        <v>0</v>
      </c>
      <c r="E10" s="570">
        <f t="shared" si="0"/>
        <v>0</v>
      </c>
      <c r="F10" s="570">
        <f t="shared" si="0"/>
        <v>0</v>
      </c>
      <c r="G10" s="570">
        <f t="shared" si="0"/>
        <v>0</v>
      </c>
      <c r="H10" s="570">
        <f t="shared" si="0"/>
        <v>0</v>
      </c>
      <c r="I10" s="570">
        <f t="shared" si="0"/>
        <v>0</v>
      </c>
      <c r="J10" s="570">
        <f t="shared" si="0"/>
        <v>110475</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38.25">
      <c r="A64" s="596"/>
      <c r="B64" s="789">
        <v>71069</v>
      </c>
      <c r="C64" s="789">
        <v>3945</v>
      </c>
      <c r="D64" s="644" t="s">
        <v>946</v>
      </c>
      <c r="E64" s="644" t="s">
        <v>947</v>
      </c>
      <c r="F64" s="644" t="s">
        <v>948</v>
      </c>
      <c r="G64" s="644" t="s">
        <v>949</v>
      </c>
      <c r="H64" s="644" t="s">
        <v>950</v>
      </c>
      <c r="I64" s="644" t="s">
        <v>951</v>
      </c>
      <c r="J64" s="788">
        <v>40742</v>
      </c>
      <c r="K64" s="788">
        <v>40774</v>
      </c>
      <c r="L64" s="644" t="s">
        <v>952</v>
      </c>
      <c r="M64" s="644">
        <v>9820</v>
      </c>
      <c r="N64" s="644">
        <v>44190</v>
      </c>
      <c r="O64" s="644">
        <v>0</v>
      </c>
      <c r="P64" s="644">
        <v>0</v>
      </c>
      <c r="Q64" s="644">
        <v>0</v>
      </c>
      <c r="R64" s="644">
        <v>0</v>
      </c>
      <c r="S64" s="644">
        <v>0</v>
      </c>
      <c r="T64" s="644">
        <v>0</v>
      </c>
      <c r="U64" s="644">
        <v>0</v>
      </c>
      <c r="V64" s="644">
        <v>110475</v>
      </c>
      <c r="W64" s="644"/>
      <c r="X64" s="644">
        <v>16000</v>
      </c>
      <c r="Y64" s="644" t="s">
        <v>33</v>
      </c>
      <c r="Z64" s="645" t="s">
        <v>391</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9820</v>
      </c>
      <c r="N89" s="599">
        <f t="shared" ref="N89:W89" si="5">SUM(N64:N88)</f>
        <v>44190</v>
      </c>
      <c r="O89" s="599">
        <f t="shared" si="5"/>
        <v>0</v>
      </c>
      <c r="P89" s="599">
        <f t="shared" si="5"/>
        <v>0</v>
      </c>
      <c r="Q89" s="599">
        <f t="shared" si="5"/>
        <v>0</v>
      </c>
      <c r="R89" s="599">
        <f t="shared" si="5"/>
        <v>0</v>
      </c>
      <c r="S89" s="599">
        <f t="shared" si="5"/>
        <v>0</v>
      </c>
      <c r="T89" s="599">
        <f t="shared" si="5"/>
        <v>0</v>
      </c>
      <c r="U89" s="599">
        <f t="shared" si="5"/>
        <v>0</v>
      </c>
      <c r="V89" s="599">
        <f t="shared" si="5"/>
        <v>110475</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9820</v>
      </c>
      <c r="N90" s="599">
        <f t="shared" si="6"/>
        <v>44190</v>
      </c>
      <c r="O90" s="599">
        <f t="shared" si="6"/>
        <v>0</v>
      </c>
      <c r="P90" s="599">
        <f t="shared" si="6"/>
        <v>0</v>
      </c>
      <c r="Q90" s="599">
        <f t="shared" si="6"/>
        <v>0</v>
      </c>
      <c r="R90" s="599">
        <f t="shared" si="6"/>
        <v>0</v>
      </c>
      <c r="S90" s="599">
        <f t="shared" si="6"/>
        <v>0</v>
      </c>
      <c r="T90" s="599">
        <f t="shared" si="6"/>
        <v>0</v>
      </c>
      <c r="U90" s="599">
        <f t="shared" si="6"/>
        <v>0</v>
      </c>
      <c r="V90" s="599">
        <f t="shared" si="6"/>
        <v>110475</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18625.906645405281</v>
      </c>
      <c r="C4" s="461">
        <f>huishoudens!C8</f>
        <v>0</v>
      </c>
      <c r="D4" s="461">
        <f>huishoudens!D8</f>
        <v>25746.339828000004</v>
      </c>
      <c r="E4" s="461">
        <f>huishoudens!E8</f>
        <v>2716.9335470452688</v>
      </c>
      <c r="F4" s="461">
        <f>huishoudens!F8</f>
        <v>30577.080764647839</v>
      </c>
      <c r="G4" s="461">
        <f>huishoudens!G8</f>
        <v>0</v>
      </c>
      <c r="H4" s="461">
        <f>huishoudens!H8</f>
        <v>0</v>
      </c>
      <c r="I4" s="461">
        <f>huishoudens!I8</f>
        <v>0</v>
      </c>
      <c r="J4" s="461">
        <f>huishoudens!J8</f>
        <v>0</v>
      </c>
      <c r="K4" s="461">
        <f>huishoudens!K8</f>
        <v>0</v>
      </c>
      <c r="L4" s="461">
        <f>huishoudens!L8</f>
        <v>0</v>
      </c>
      <c r="M4" s="461">
        <f>huishoudens!M8</f>
        <v>0</v>
      </c>
      <c r="N4" s="461">
        <f>huishoudens!N8</f>
        <v>11659.436015452527</v>
      </c>
      <c r="O4" s="461">
        <f>huishoudens!O8</f>
        <v>96.926666666666677</v>
      </c>
      <c r="P4" s="462">
        <f>huishoudens!P8</f>
        <v>343.2</v>
      </c>
      <c r="Q4" s="463">
        <f>SUM(B4:P4)</f>
        <v>89765.823467217575</v>
      </c>
    </row>
    <row r="5" spans="1:17">
      <c r="A5" s="460" t="s">
        <v>156</v>
      </c>
      <c r="B5" s="461">
        <f ca="1">tertiair!B16</f>
        <v>10471.576000000001</v>
      </c>
      <c r="C5" s="461">
        <f ca="1">tertiair!C16</f>
        <v>0</v>
      </c>
      <c r="D5" s="461">
        <f ca="1">tertiair!D16</f>
        <v>4341.5668340000002</v>
      </c>
      <c r="E5" s="461">
        <f>tertiair!E16</f>
        <v>80.832542540821478</v>
      </c>
      <c r="F5" s="461">
        <f ca="1">tertiair!F16</f>
        <v>1986.7593455037925</v>
      </c>
      <c r="G5" s="461">
        <f>tertiair!G16</f>
        <v>0</v>
      </c>
      <c r="H5" s="461">
        <f>tertiair!H16</f>
        <v>0</v>
      </c>
      <c r="I5" s="461">
        <f>tertiair!I16</f>
        <v>0</v>
      </c>
      <c r="J5" s="461">
        <f>tertiair!J16</f>
        <v>0</v>
      </c>
      <c r="K5" s="461">
        <f>tertiair!K16</f>
        <v>0</v>
      </c>
      <c r="L5" s="461">
        <f ca="1">tertiair!L16</f>
        <v>0</v>
      </c>
      <c r="M5" s="461">
        <f>tertiair!M16</f>
        <v>0</v>
      </c>
      <c r="N5" s="461">
        <f ca="1">tertiair!N16</f>
        <v>415.43801936292203</v>
      </c>
      <c r="O5" s="461">
        <f>tertiair!O16</f>
        <v>0</v>
      </c>
      <c r="P5" s="462">
        <f>tertiair!P16</f>
        <v>0</v>
      </c>
      <c r="Q5" s="460">
        <f t="shared" ref="Q5:Q14" ca="1" si="0">SUM(B5:P5)</f>
        <v>17296.172741407539</v>
      </c>
    </row>
    <row r="6" spans="1:17">
      <c r="A6" s="460" t="s">
        <v>194</v>
      </c>
      <c r="B6" s="461">
        <f>'openbare verlichting'!B8</f>
        <v>533.55499999999995</v>
      </c>
      <c r="C6" s="461"/>
      <c r="D6" s="461"/>
      <c r="E6" s="461"/>
      <c r="F6" s="461"/>
      <c r="G6" s="461"/>
      <c r="H6" s="461"/>
      <c r="I6" s="461"/>
      <c r="J6" s="461"/>
      <c r="K6" s="461"/>
      <c r="L6" s="461"/>
      <c r="M6" s="461"/>
      <c r="N6" s="461"/>
      <c r="O6" s="461"/>
      <c r="P6" s="462"/>
      <c r="Q6" s="460">
        <f t="shared" si="0"/>
        <v>533.55499999999995</v>
      </c>
    </row>
    <row r="7" spans="1:17">
      <c r="A7" s="460" t="s">
        <v>112</v>
      </c>
      <c r="B7" s="461">
        <f>landbouw!B8</f>
        <v>271.31400000000002</v>
      </c>
      <c r="C7" s="461">
        <f>landbouw!C8</f>
        <v>0</v>
      </c>
      <c r="D7" s="461">
        <f>landbouw!D8</f>
        <v>980.43521400000009</v>
      </c>
      <c r="E7" s="461">
        <f>landbouw!E8</f>
        <v>2.555959666343155</v>
      </c>
      <c r="F7" s="461">
        <f>landbouw!F8</f>
        <v>885.38762320888725</v>
      </c>
      <c r="G7" s="461">
        <f>landbouw!G8</f>
        <v>0</v>
      </c>
      <c r="H7" s="461">
        <f>landbouw!H8</f>
        <v>0</v>
      </c>
      <c r="I7" s="461">
        <f>landbouw!I8</f>
        <v>0</v>
      </c>
      <c r="J7" s="461">
        <f>landbouw!J8</f>
        <v>33.562861471042503</v>
      </c>
      <c r="K7" s="461">
        <f>landbouw!K8</f>
        <v>0</v>
      </c>
      <c r="L7" s="461">
        <f>landbouw!L8</f>
        <v>0</v>
      </c>
      <c r="M7" s="461">
        <f>landbouw!M8</f>
        <v>0</v>
      </c>
      <c r="N7" s="461">
        <f>landbouw!N8</f>
        <v>0</v>
      </c>
      <c r="O7" s="461">
        <f>landbouw!O8</f>
        <v>0</v>
      </c>
      <c r="P7" s="462">
        <f>landbouw!P8</f>
        <v>0</v>
      </c>
      <c r="Q7" s="460">
        <f t="shared" si="0"/>
        <v>2173.2556583462733</v>
      </c>
    </row>
    <row r="8" spans="1:17">
      <c r="A8" s="460" t="s">
        <v>685</v>
      </c>
      <c r="B8" s="461">
        <f>industrie!B18</f>
        <v>50678.491000000002</v>
      </c>
      <c r="C8" s="461">
        <f>industrie!C18</f>
        <v>0</v>
      </c>
      <c r="D8" s="461">
        <f>industrie!D18</f>
        <v>897.98429600000009</v>
      </c>
      <c r="E8" s="461">
        <f>industrie!E18</f>
        <v>145.10863933737463</v>
      </c>
      <c r="F8" s="461">
        <f>industrie!F18</f>
        <v>2042.7747246910776</v>
      </c>
      <c r="G8" s="461">
        <f>industrie!G18</f>
        <v>0</v>
      </c>
      <c r="H8" s="461">
        <f>industrie!H18</f>
        <v>0</v>
      </c>
      <c r="I8" s="461">
        <f>industrie!I18</f>
        <v>0</v>
      </c>
      <c r="J8" s="461">
        <f>industrie!J18</f>
        <v>38.67085466506613</v>
      </c>
      <c r="K8" s="461">
        <f>industrie!K18</f>
        <v>0</v>
      </c>
      <c r="L8" s="461">
        <f>industrie!L18</f>
        <v>0</v>
      </c>
      <c r="M8" s="461">
        <f>industrie!M18</f>
        <v>0</v>
      </c>
      <c r="N8" s="461">
        <f>industrie!N18</f>
        <v>0</v>
      </c>
      <c r="O8" s="461">
        <f>industrie!O18</f>
        <v>0</v>
      </c>
      <c r="P8" s="462">
        <f>industrie!P18</f>
        <v>0</v>
      </c>
      <c r="Q8" s="460">
        <f t="shared" si="0"/>
        <v>53803.029514693524</v>
      </c>
    </row>
    <row r="9" spans="1:17" s="466" customFormat="1">
      <c r="A9" s="464" t="s">
        <v>579</v>
      </c>
      <c r="B9" s="465">
        <f>transport!B14</f>
        <v>2.8306156280711381</v>
      </c>
      <c r="C9" s="465">
        <f>transport!C14</f>
        <v>0</v>
      </c>
      <c r="D9" s="465">
        <f>transport!D14</f>
        <v>7.9954154182587587</v>
      </c>
      <c r="E9" s="465">
        <f>transport!E14</f>
        <v>509.96607230997665</v>
      </c>
      <c r="F9" s="465">
        <f>transport!F14</f>
        <v>0</v>
      </c>
      <c r="G9" s="465">
        <f>transport!G14</f>
        <v>111040.51869082147</v>
      </c>
      <c r="H9" s="465">
        <f>transport!H14</f>
        <v>18160.754005250677</v>
      </c>
      <c r="I9" s="465">
        <f>transport!I14</f>
        <v>0</v>
      </c>
      <c r="J9" s="465">
        <f>transport!J14</f>
        <v>0</v>
      </c>
      <c r="K9" s="465">
        <f>transport!K14</f>
        <v>0</v>
      </c>
      <c r="L9" s="465">
        <f>transport!L14</f>
        <v>0</v>
      </c>
      <c r="M9" s="465">
        <f>transport!M14</f>
        <v>5775.4098156428845</v>
      </c>
      <c r="N9" s="465">
        <f>transport!N14</f>
        <v>0</v>
      </c>
      <c r="O9" s="465">
        <f>transport!O14</f>
        <v>0</v>
      </c>
      <c r="P9" s="465">
        <f>transport!P14</f>
        <v>0</v>
      </c>
      <c r="Q9" s="464">
        <f>SUM(B9:P9)</f>
        <v>135497.47461507135</v>
      </c>
    </row>
    <row r="10" spans="1:17">
      <c r="A10" s="460" t="s">
        <v>569</v>
      </c>
      <c r="B10" s="461">
        <f>transport!B54</f>
        <v>0</v>
      </c>
      <c r="C10" s="461">
        <f>transport!C54</f>
        <v>0</v>
      </c>
      <c r="D10" s="461">
        <f>transport!D54</f>
        <v>0</v>
      </c>
      <c r="E10" s="461">
        <f>transport!E54</f>
        <v>0</v>
      </c>
      <c r="F10" s="461">
        <f>transport!F54</f>
        <v>0</v>
      </c>
      <c r="G10" s="461">
        <f>transport!G54</f>
        <v>1300.7765107677292</v>
      </c>
      <c r="H10" s="461">
        <f>transport!H54</f>
        <v>0</v>
      </c>
      <c r="I10" s="461">
        <f>transport!I54</f>
        <v>0</v>
      </c>
      <c r="J10" s="461">
        <f>transport!J54</f>
        <v>0</v>
      </c>
      <c r="K10" s="461">
        <f>transport!K54</f>
        <v>0</v>
      </c>
      <c r="L10" s="461">
        <f>transport!L54</f>
        <v>0</v>
      </c>
      <c r="M10" s="461">
        <f>transport!M54</f>
        <v>57.119242352885458</v>
      </c>
      <c r="N10" s="461">
        <f>transport!N54</f>
        <v>0</v>
      </c>
      <c r="O10" s="461">
        <f>transport!O54</f>
        <v>0</v>
      </c>
      <c r="P10" s="462">
        <f>transport!P54</f>
        <v>0</v>
      </c>
      <c r="Q10" s="460">
        <f t="shared" si="0"/>
        <v>1357.8957531206147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244.57</v>
      </c>
      <c r="C14" s="468"/>
      <c r="D14" s="468">
        <f>'SEAP template'!E25</f>
        <v>1356.16</v>
      </c>
      <c r="E14" s="468"/>
      <c r="F14" s="468"/>
      <c r="G14" s="468"/>
      <c r="H14" s="468"/>
      <c r="I14" s="468"/>
      <c r="J14" s="468"/>
      <c r="K14" s="468"/>
      <c r="L14" s="468"/>
      <c r="M14" s="468"/>
      <c r="N14" s="468"/>
      <c r="O14" s="468"/>
      <c r="P14" s="469"/>
      <c r="Q14" s="460">
        <f t="shared" si="0"/>
        <v>1600.73</v>
      </c>
    </row>
    <row r="15" spans="1:17" s="473" customFormat="1">
      <c r="A15" s="470" t="s">
        <v>573</v>
      </c>
      <c r="B15" s="471">
        <f ca="1">SUM(B4:B14)</f>
        <v>80828.243261033364</v>
      </c>
      <c r="C15" s="471">
        <f t="shared" ref="C15:Q15" ca="1" si="1">SUM(C4:C14)</f>
        <v>0</v>
      </c>
      <c r="D15" s="471">
        <f t="shared" ca="1" si="1"/>
        <v>33330.481587418268</v>
      </c>
      <c r="E15" s="471">
        <f t="shared" si="1"/>
        <v>3455.3967608997855</v>
      </c>
      <c r="F15" s="471">
        <f t="shared" ca="1" si="1"/>
        <v>35492.002458051596</v>
      </c>
      <c r="G15" s="471">
        <f t="shared" si="1"/>
        <v>112341.29520158919</v>
      </c>
      <c r="H15" s="471">
        <f t="shared" si="1"/>
        <v>18160.754005250677</v>
      </c>
      <c r="I15" s="471">
        <f t="shared" si="1"/>
        <v>0</v>
      </c>
      <c r="J15" s="471">
        <f t="shared" si="1"/>
        <v>72.233716136108626</v>
      </c>
      <c r="K15" s="471">
        <f t="shared" si="1"/>
        <v>0</v>
      </c>
      <c r="L15" s="471">
        <f t="shared" ca="1" si="1"/>
        <v>0</v>
      </c>
      <c r="M15" s="471">
        <f t="shared" si="1"/>
        <v>5832.52905799577</v>
      </c>
      <c r="N15" s="471">
        <f t="shared" ca="1" si="1"/>
        <v>12074.87403481545</v>
      </c>
      <c r="O15" s="471">
        <f t="shared" si="1"/>
        <v>96.926666666666677</v>
      </c>
      <c r="P15" s="471">
        <f t="shared" si="1"/>
        <v>343.2</v>
      </c>
      <c r="Q15" s="471">
        <f t="shared" ca="1" si="1"/>
        <v>302027.93674985686</v>
      </c>
    </row>
    <row r="17" spans="1:17">
      <c r="A17" s="474" t="s">
        <v>574</v>
      </c>
      <c r="B17" s="778">
        <f ca="1">huishoudens!B10</f>
        <v>8.9176335963939868E-2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1660.9901086436416</v>
      </c>
      <c r="C22" s="461">
        <f t="shared" ref="C22:C32" ca="1" si="3">C4*$C$17</f>
        <v>0</v>
      </c>
      <c r="D22" s="461">
        <f t="shared" ref="D22:D32" si="4">D4*$D$17</f>
        <v>5200.7606452560012</v>
      </c>
      <c r="E22" s="461">
        <f t="shared" ref="E22:E32" si="5">E4*$E$17</f>
        <v>616.74391517927609</v>
      </c>
      <c r="F22" s="461">
        <f t="shared" ref="F22:F32" si="6">F4*$F$17</f>
        <v>8164.0805641609732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15642.575233239892</v>
      </c>
    </row>
    <row r="23" spans="1:17">
      <c r="A23" s="460" t="s">
        <v>156</v>
      </c>
      <c r="B23" s="461">
        <f t="shared" ca="1" si="2"/>
        <v>933.81677944792966</v>
      </c>
      <c r="C23" s="461">
        <f t="shared" ca="1" si="3"/>
        <v>0</v>
      </c>
      <c r="D23" s="461">
        <f t="shared" ca="1" si="4"/>
        <v>876.99650046800014</v>
      </c>
      <c r="E23" s="461">
        <f t="shared" si="5"/>
        <v>18.348987156766476</v>
      </c>
      <c r="F23" s="461">
        <f t="shared" ca="1" si="6"/>
        <v>530.46474524951259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2359.6270123222089</v>
      </c>
    </row>
    <row r="24" spans="1:17">
      <c r="A24" s="460" t="s">
        <v>194</v>
      </c>
      <c r="B24" s="461">
        <f t="shared" ca="1" si="2"/>
        <v>47.580479935239929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47.580479935239929</v>
      </c>
    </row>
    <row r="25" spans="1:17">
      <c r="A25" s="460" t="s">
        <v>112</v>
      </c>
      <c r="B25" s="461">
        <f t="shared" ca="1" si="2"/>
        <v>24.194788415720382</v>
      </c>
      <c r="C25" s="461">
        <f t="shared" ca="1" si="3"/>
        <v>0</v>
      </c>
      <c r="D25" s="461">
        <f t="shared" si="4"/>
        <v>198.04791322800003</v>
      </c>
      <c r="E25" s="461">
        <f t="shared" si="5"/>
        <v>0.58020284425989621</v>
      </c>
      <c r="F25" s="461">
        <f t="shared" si="6"/>
        <v>236.39849539677292</v>
      </c>
      <c r="G25" s="461">
        <f t="shared" si="7"/>
        <v>0</v>
      </c>
      <c r="H25" s="461">
        <f t="shared" si="8"/>
        <v>0</v>
      </c>
      <c r="I25" s="461">
        <f t="shared" si="9"/>
        <v>0</v>
      </c>
      <c r="J25" s="461">
        <f t="shared" si="10"/>
        <v>11.881252960749045</v>
      </c>
      <c r="K25" s="461">
        <f t="shared" si="11"/>
        <v>0</v>
      </c>
      <c r="L25" s="461">
        <f t="shared" si="12"/>
        <v>0</v>
      </c>
      <c r="M25" s="461">
        <f t="shared" si="13"/>
        <v>0</v>
      </c>
      <c r="N25" s="461">
        <f t="shared" si="14"/>
        <v>0</v>
      </c>
      <c r="O25" s="461">
        <f t="shared" si="15"/>
        <v>0</v>
      </c>
      <c r="P25" s="462">
        <f t="shared" si="16"/>
        <v>0</v>
      </c>
      <c r="Q25" s="460">
        <f t="shared" ca="1" si="17"/>
        <v>471.10265284550229</v>
      </c>
    </row>
    <row r="26" spans="1:17">
      <c r="A26" s="460" t="s">
        <v>685</v>
      </c>
      <c r="B26" s="461">
        <f t="shared" ca="1" si="2"/>
        <v>4519.3221395615028</v>
      </c>
      <c r="C26" s="461">
        <f t="shared" ca="1" si="3"/>
        <v>0</v>
      </c>
      <c r="D26" s="461">
        <f t="shared" si="4"/>
        <v>181.39282779200002</v>
      </c>
      <c r="E26" s="461">
        <f t="shared" si="5"/>
        <v>32.939661129584039</v>
      </c>
      <c r="F26" s="461">
        <f t="shared" si="6"/>
        <v>545.42085149251773</v>
      </c>
      <c r="G26" s="461">
        <f t="shared" si="7"/>
        <v>0</v>
      </c>
      <c r="H26" s="461">
        <f t="shared" si="8"/>
        <v>0</v>
      </c>
      <c r="I26" s="461">
        <f t="shared" si="9"/>
        <v>0</v>
      </c>
      <c r="J26" s="461">
        <f t="shared" si="10"/>
        <v>13.689482551433409</v>
      </c>
      <c r="K26" s="461">
        <f t="shared" si="11"/>
        <v>0</v>
      </c>
      <c r="L26" s="461">
        <f t="shared" si="12"/>
        <v>0</v>
      </c>
      <c r="M26" s="461">
        <f t="shared" si="13"/>
        <v>0</v>
      </c>
      <c r="N26" s="461">
        <f t="shared" si="14"/>
        <v>0</v>
      </c>
      <c r="O26" s="461">
        <f t="shared" si="15"/>
        <v>0</v>
      </c>
      <c r="P26" s="462">
        <f t="shared" si="16"/>
        <v>0</v>
      </c>
      <c r="Q26" s="460">
        <f t="shared" ca="1" si="17"/>
        <v>5292.7649625270387</v>
      </c>
    </row>
    <row r="27" spans="1:17" s="466" customFormat="1">
      <c r="A27" s="464" t="s">
        <v>579</v>
      </c>
      <c r="B27" s="772">
        <f t="shared" ca="1" si="2"/>
        <v>0.25242393023365045</v>
      </c>
      <c r="C27" s="465">
        <f t="shared" ca="1" si="3"/>
        <v>0</v>
      </c>
      <c r="D27" s="465">
        <f t="shared" si="4"/>
        <v>1.6150739144882693</v>
      </c>
      <c r="E27" s="465">
        <f t="shared" si="5"/>
        <v>115.76229841436471</v>
      </c>
      <c r="F27" s="465">
        <f t="shared" si="6"/>
        <v>0</v>
      </c>
      <c r="G27" s="465">
        <f t="shared" si="7"/>
        <v>29647.818490449332</v>
      </c>
      <c r="H27" s="465">
        <f t="shared" si="8"/>
        <v>4522.0277473074184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34287.476034015839</v>
      </c>
    </row>
    <row r="28" spans="1:17">
      <c r="A28" s="460" t="s">
        <v>569</v>
      </c>
      <c r="B28" s="461">
        <f t="shared" ca="1" si="2"/>
        <v>0</v>
      </c>
      <c r="C28" s="461">
        <f t="shared" ca="1" si="3"/>
        <v>0</v>
      </c>
      <c r="D28" s="461">
        <f t="shared" si="4"/>
        <v>0</v>
      </c>
      <c r="E28" s="461">
        <f t="shared" si="5"/>
        <v>0</v>
      </c>
      <c r="F28" s="461">
        <f t="shared" si="6"/>
        <v>0</v>
      </c>
      <c r="G28" s="461">
        <f t="shared" si="7"/>
        <v>347.30732837498368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347.30732837498368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21.809856486700774</v>
      </c>
      <c r="C32" s="461">
        <f t="shared" ca="1" si="3"/>
        <v>0</v>
      </c>
      <c r="D32" s="461">
        <f t="shared" si="4"/>
        <v>273.94432000000006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295.75417648670083</v>
      </c>
    </row>
    <row r="33" spans="1:17" s="473" customFormat="1">
      <c r="A33" s="470" t="s">
        <v>573</v>
      </c>
      <c r="B33" s="471">
        <f ca="1">SUM(B22:B32)</f>
        <v>7207.9665764209685</v>
      </c>
      <c r="C33" s="471">
        <f t="shared" ref="C33:Q33" ca="1" si="18">SUM(C22:C32)</f>
        <v>0</v>
      </c>
      <c r="D33" s="471">
        <f t="shared" ca="1" si="18"/>
        <v>6732.7572806584903</v>
      </c>
      <c r="E33" s="471">
        <f t="shared" si="18"/>
        <v>784.37506472425127</v>
      </c>
      <c r="F33" s="471">
        <f t="shared" ca="1" si="18"/>
        <v>9476.3646562997765</v>
      </c>
      <c r="G33" s="471">
        <f t="shared" si="18"/>
        <v>29995.125818824316</v>
      </c>
      <c r="H33" s="471">
        <f t="shared" si="18"/>
        <v>4522.0277473074184</v>
      </c>
      <c r="I33" s="471">
        <f t="shared" si="18"/>
        <v>0</v>
      </c>
      <c r="J33" s="471">
        <f t="shared" si="18"/>
        <v>25.570735512182452</v>
      </c>
      <c r="K33" s="471">
        <f t="shared" si="18"/>
        <v>0</v>
      </c>
      <c r="L33" s="471">
        <f t="shared" ca="1" si="18"/>
        <v>0</v>
      </c>
      <c r="M33" s="471">
        <f t="shared" si="18"/>
        <v>0</v>
      </c>
      <c r="N33" s="471">
        <f t="shared" ca="1" si="18"/>
        <v>0</v>
      </c>
      <c r="O33" s="471">
        <f t="shared" si="18"/>
        <v>0</v>
      </c>
      <c r="P33" s="471">
        <f t="shared" si="18"/>
        <v>0</v>
      </c>
      <c r="Q33" s="471">
        <f t="shared" ca="1" si="18"/>
        <v>58744.187879747406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4023.0098835629133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44190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110475</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48213.009883562911</v>
      </c>
      <c r="C10" s="1041">
        <f>SUM(C4:C9)</f>
        <v>0</v>
      </c>
      <c r="D10" s="1041">
        <f t="shared" ref="D10:H10" si="0">SUM(D8:D9)</f>
        <v>0</v>
      </c>
      <c r="E10" s="1041">
        <f t="shared" si="0"/>
        <v>0</v>
      </c>
      <c r="F10" s="1041">
        <f t="shared" si="0"/>
        <v>0</v>
      </c>
      <c r="G10" s="1041">
        <f t="shared" si="0"/>
        <v>0</v>
      </c>
      <c r="H10" s="1041">
        <f t="shared" si="0"/>
        <v>0</v>
      </c>
      <c r="I10" s="1041">
        <f>SUM(I8:I9)</f>
        <v>0</v>
      </c>
      <c r="J10" s="1041">
        <f>SUM(J8:J9)</f>
        <v>110475</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8.9176335963939868E-2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8.9176335963939868E-2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2019-06-29T16:14:44Z</dcterms:modified>
</cp:coreProperties>
</file>