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C76" i="14"/>
  <c r="C8" i="56" s="1"/>
  <c r="E8"/>
  <c r="E10" s="1"/>
  <c r="H78" i="14"/>
  <c r="H9" i="56"/>
  <c r="H10" s="1"/>
  <c r="Q87" i="14"/>
  <c r="P17" i="56" s="1"/>
  <c r="P20" s="1"/>
  <c r="D17"/>
  <c r="D20" s="1"/>
  <c r="K78" i="14"/>
  <c r="K8" i="56"/>
  <c r="K10" s="1"/>
  <c r="O78" i="14"/>
  <c r="O9" i="56"/>
  <c r="G90" i="14"/>
  <c r="G18" i="56"/>
  <c r="O90" i="14"/>
  <c r="O18" i="56"/>
  <c r="O20" s="1"/>
  <c r="C77" i="14"/>
  <c r="C9" i="56" s="1"/>
  <c r="D9"/>
  <c r="D10" s="1"/>
  <c r="Q88" i="14"/>
  <c r="P18" i="56" s="1"/>
  <c r="D18"/>
  <c r="L78" i="14"/>
  <c r="P25" i="48"/>
  <c r="G78" i="14"/>
  <c r="Q89"/>
  <c r="P19" i="56" s="1"/>
  <c r="I10"/>
  <c r="I20"/>
  <c r="P31" i="48"/>
  <c r="J78" i="14"/>
  <c r="Q76"/>
  <c r="P8" i="56" s="1"/>
  <c r="L10"/>
  <c r="H20"/>
  <c r="M78" i="14"/>
  <c r="M8" i="56"/>
  <c r="M10" s="1"/>
  <c r="L90" i="14"/>
  <c r="L17" i="56"/>
  <c r="L20" s="1"/>
  <c r="K90" i="14"/>
  <c r="K18" i="56"/>
  <c r="K20" s="1"/>
  <c r="N78" i="14"/>
  <c r="N8" i="56"/>
  <c r="N10" s="1"/>
  <c r="M20"/>
  <c r="N20"/>
  <c r="F78" i="14"/>
  <c r="G10" i="56"/>
  <c r="O10"/>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C20"/>
  <c r="C10"/>
  <c r="J90" i="14"/>
  <c r="J17" i="56"/>
  <c r="J20" s="1"/>
  <c r="Q90" i="14"/>
  <c r="B17" i="6" s="1"/>
  <c r="C78" i="14"/>
  <c r="C90"/>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28"/>
  <c r="N32"/>
  <c r="N30"/>
  <c r="N31"/>
  <c r="N27"/>
  <c r="N29"/>
  <c r="D30"/>
  <c r="D28"/>
  <c r="D29"/>
  <c r="D24"/>
  <c r="D32"/>
  <c r="D31"/>
  <c r="Q11" i="14"/>
  <c r="P4" i="48"/>
  <c r="B7"/>
  <c r="C24" i="14"/>
  <c r="C26" s="1"/>
  <c r="O4" i="48"/>
  <c r="P11" i="14"/>
  <c r="I29" i="48"/>
  <c r="I32"/>
  <c r="I27"/>
  <c r="I22"/>
  <c r="I31"/>
  <c r="I25"/>
  <c r="I26"/>
  <c r="I30"/>
  <c r="I24"/>
  <c r="I28"/>
  <c r="B38" i="13"/>
  <c r="B50" s="1"/>
  <c r="F32" i="48"/>
  <c r="F24"/>
  <c r="F30"/>
  <c r="F28"/>
  <c r="F31"/>
  <c r="F27"/>
  <c r="F29"/>
  <c r="B10"/>
  <c r="C19" i="14"/>
  <c r="E32" i="48"/>
  <c r="E28"/>
  <c r="E31"/>
  <c r="E30"/>
  <c r="E29"/>
  <c r="E24"/>
  <c r="M12" i="13"/>
  <c r="N41" i="14" s="1"/>
  <c r="M17" i="48"/>
  <c r="K5"/>
  <c r="L10" i="14"/>
  <c r="L16" s="1"/>
  <c r="L27" s="1"/>
  <c r="L28" i="48"/>
  <c r="L32"/>
  <c r="L27"/>
  <c r="L24"/>
  <c r="L29"/>
  <c r="L30"/>
  <c r="L31"/>
  <c r="L22"/>
  <c r="Q10" i="14"/>
  <c r="P5" i="48"/>
  <c r="P23" s="1"/>
  <c r="K31"/>
  <c r="K28"/>
  <c r="K32"/>
  <c r="K27"/>
  <c r="K30"/>
  <c r="K24"/>
  <c r="K26"/>
  <c r="K29"/>
  <c r="K25"/>
  <c r="K22"/>
  <c r="I5"/>
  <c r="J10" i="14"/>
  <c r="J16" s="1"/>
  <c r="J27" s="1"/>
  <c r="J24" i="48"/>
  <c r="J32"/>
  <c r="J27"/>
  <c r="J31"/>
  <c r="J30"/>
  <c r="J28"/>
  <c r="J29"/>
  <c r="E11" i="14"/>
  <c r="D4" i="48"/>
  <c r="D22" s="1"/>
  <c r="H32"/>
  <c r="H25"/>
  <c r="H29"/>
  <c r="H26"/>
  <c r="H24"/>
  <c r="H22"/>
  <c r="H30"/>
  <c r="H28"/>
  <c r="H23"/>
  <c r="C4"/>
  <c r="D11" i="14"/>
  <c r="G25" i="48"/>
  <c r="G32"/>
  <c r="G29"/>
  <c r="G26"/>
  <c r="G30"/>
  <c r="G24"/>
  <c r="G22"/>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6"/>
  <c r="M24"/>
  <c r="M29"/>
  <c r="M30"/>
  <c r="M22"/>
  <c r="M25"/>
  <c r="M23"/>
  <c r="K23"/>
  <c r="K15"/>
  <c r="K33"/>
  <c r="J63" i="14"/>
  <c r="L46"/>
  <c r="L61" s="1"/>
  <c r="G13" i="48"/>
  <c r="H18" i="14"/>
  <c r="M13" i="48"/>
  <c r="M31" s="1"/>
  <c r="N18" i="14"/>
  <c r="J12" i="17"/>
  <c r="K54" i="14" s="1"/>
  <c r="K56" s="1"/>
  <c r="J7" i="48"/>
  <c r="J25" s="1"/>
  <c r="K24" i="14"/>
  <c r="K26" s="1"/>
  <c r="I23" i="48"/>
  <c r="I15"/>
  <c r="P22"/>
  <c r="P33" s="1"/>
  <c r="O5"/>
  <c r="O23" s="1"/>
  <c r="P10" i="14"/>
  <c r="F4" i="48"/>
  <c r="F22" s="1"/>
  <c r="G11" i="14"/>
  <c r="H13" i="48"/>
  <c r="H31" s="1"/>
  <c r="I18" i="14"/>
  <c r="O22" i="48"/>
  <c r="P8"/>
  <c r="P26" s="1"/>
  <c r="Q13" i="14"/>
  <c r="Q16" s="1"/>
  <c r="Q27" s="1"/>
  <c r="I33" i="48"/>
  <c r="J46" i="14"/>
  <c r="J61"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G31" i="48"/>
  <c r="Q13"/>
  <c r="B9"/>
  <c r="C20" i="14"/>
  <c r="E12" i="13"/>
  <c r="F41" i="14" s="1"/>
  <c r="F11"/>
  <c r="E4" i="48"/>
  <c r="G10"/>
  <c r="H19" i="14"/>
  <c r="J4" i="48"/>
  <c r="K11" i="14"/>
  <c r="E7" i="48"/>
  <c r="E25" s="1"/>
  <c r="F24" i="14"/>
  <c r="F26" s="1"/>
  <c r="F20"/>
  <c r="F22" s="1"/>
  <c r="E9" i="48"/>
  <c r="E27" s="1"/>
  <c r="Q63" i="14"/>
  <c r="O33" i="48"/>
  <c r="P16" i="14"/>
  <c r="P27" s="1"/>
  <c r="M14" i="22"/>
  <c r="E12" i="17"/>
  <c r="F54" i="14" s="1"/>
  <c r="F56" s="1"/>
  <c r="H14" i="22"/>
  <c r="H18" s="1"/>
  <c r="I50" i="14" s="1"/>
  <c r="I52" s="1"/>
  <c r="I61" s="1"/>
  <c r="N19"/>
  <c r="M10" i="48"/>
  <c r="M28" s="1"/>
  <c r="E20" i="14"/>
  <c r="E22" s="1"/>
  <c r="D9" i="48"/>
  <c r="D27" s="1"/>
  <c r="R18" i="14"/>
  <c r="O15" i="48"/>
  <c r="P15"/>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H20"/>
  <c r="H22" s="1"/>
  <c r="H27" s="1"/>
  <c r="G9" i="48"/>
  <c r="E22"/>
  <c r="Q4"/>
  <c r="R11" i="14"/>
  <c r="J22" i="48"/>
  <c r="H9"/>
  <c r="I20" i="14"/>
  <c r="I22" s="1"/>
  <c r="I27" s="1"/>
  <c r="I63" s="1"/>
  <c r="C22"/>
  <c r="K10"/>
  <c r="J5" i="48"/>
  <c r="J23" s="1"/>
  <c r="F10" i="14"/>
  <c r="E5" i="48"/>
  <c r="E23" s="1"/>
  <c r="G28"/>
  <c r="Q10"/>
  <c r="N20" i="14"/>
  <c r="N22" s="1"/>
  <c r="N27" s="1"/>
  <c r="N63" s="1"/>
  <c r="M9" i="48"/>
  <c r="E46" i="14"/>
  <c r="E61" s="1"/>
  <c r="R19"/>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R10" i="14"/>
  <c r="Q9" i="48"/>
  <c r="C27" i="14"/>
  <c r="B3" i="6" s="1"/>
  <c r="B12" s="1"/>
  <c r="C55" i="14" s="1"/>
  <c r="R55" s="1"/>
  <c r="F16"/>
  <c r="F27" s="1"/>
  <c r="E8" i="48"/>
  <c r="F13" i="14"/>
  <c r="J8" i="48"/>
  <c r="K13" i="14"/>
  <c r="K16" s="1"/>
  <c r="K27" s="1"/>
  <c r="H27" i="48"/>
  <c r="H33" s="1"/>
  <c r="H15"/>
  <c r="G27"/>
  <c r="G33" s="1"/>
  <c r="G15"/>
  <c r="R20" i="14"/>
  <c r="R22"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<sst xmlns="http://schemas.openxmlformats.org/spreadsheetml/2006/main" count="2492" uniqueCount="952">
  <si>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</si>
  <si>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</si>
  <si>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</si>
  <si>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</si>
  <si>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</si>
  <si>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</si>
  <si>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</si>
  <si>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</si>
  <si>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</si>
  <si>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</si>
  <si>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</si>
  <si>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</si>
  <si>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</si>
  <si>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</si>
  <si>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</si>
  <si>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</si>
  <si>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</si>
  <si>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</si>
  <si>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</si>
  <si>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</si>
  <si>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</si>
  <si>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</si>
  <si>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</si>
  <si>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</si>
  <si>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</si>
  <si>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</si>
  <si>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</si>
  <si>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</si>
  <si>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</si>
  <si>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</si>
  <si>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</si>
  <si>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</si>
  <si>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</si>
  <si>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</si>
  <si>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</si>
  <si>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</si>
  <si>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</si>
  <si>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</si>
  <si>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</si>
  <si>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</si>
  <si>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</si>
  <si>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</si>
  <si>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</si>
  <si>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</si>
  <si>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</si>
  <si>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</si>
  <si>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</si>
  <si>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</si>
  <si>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</si>
  <si>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</si>
  <si>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</si>
  <si>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</si>
  <si>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</si>
  <si>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</si>
  <si>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</si>
  <si>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</si>
  <si>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</si>
  <si>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</si>
  <si>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</si>
  <si>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</si>
  <si>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</si>
  <si>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</si>
  <si>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</si>
  <si>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</si>
  <si>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</si>
  <si>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</si>
  <si>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</si>
  <si>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</si>
  <si>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</si>
  <si>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</si>
  <si>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</si>
  <si>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</si>
  <si>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</si>
  <si>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</si>
  <si>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</si>
  <si>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</si>
  <si>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</si>
  <si>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</si>
  <si>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</si>
  <si>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</si>
  <si>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</si>
  <si>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</si>
  <si>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</si>
  <si>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</si>
  <si>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</si>
  <si>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</si>
  <si>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</si>
  <si>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</si>
  <si>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</si>
  <si>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</si>
  <si>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</si>
  <si>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</si>
  <si>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</si>
  <si>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</si>
  <si>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</si>
  <si>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</si>
  <si>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</si>
  <si>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</si>
  <si>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</si>
  <si>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</si>
  <si>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</si>
  <si>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</si>
  <si>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</si>
  <si>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</si>
  <si>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</si>
  <si>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</si>
  <si>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</si>
  <si>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</si>
  <si>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</si>
  <si>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</si>
  <si>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</si>
  <si>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</si>
  <si>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</si>
  <si>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</si>
  <si>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</si>
  <si>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</si>
  <si>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</si>
  <si>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</si>
  <si>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</si>
  <si>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</si>
  <si>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</si>
  <si>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</si>
  <si>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</si>
  <si>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</si>
  <si>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</si>
  <si>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</si>
  <si>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</si>
  <si>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</si>
  <si>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</si>
  <si>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</si>
  <si>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</si>
  <si>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</si>
  <si>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</si>
  <si>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</si>
  <si>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</si>
  <si>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</si>
  <si>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</si>
  <si>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</si>
  <si>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</si>
  <si>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</si>
  <si>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</si>
  <si>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</si>
  <si>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</si>
  <si>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</si>
  <si>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</si>
  <si>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</si>
  <si>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</si>
  <si>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</si>
  <si>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</si>
  <si>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</si>
  <si>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</si>
  <si>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</si>
  <si>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</si>
  <si>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</si>
  <si>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</si>
  <si>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</si>
  <si>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</si>
  <si>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</si>
  <si>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</si>
  <si>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</si>
  <si>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</si>
  <si>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</si>
  <si>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</si>
  <si>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</si>
  <si>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</si>
  <si>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</si>
  <si>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</si>
  <si>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</si>
  <si>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</si>
  <si>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</si>
  <si>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</si>
  <si>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</si>
  <si>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</si>
  <si>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</si>
  <si>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</si>
  <si>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</si>
  <si>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</si>
  <si>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</si>
  <si>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</si>
  <si>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</si>
  <si>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</si>
  <si>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</si>
  <si>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</si>
  <si>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</si>
  <si>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</si>
  <si>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</si>
  <si>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</si>
  <si>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</si>
  <si>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</si>
  <si>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</si>
  <si>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</si>
  <si>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</si>
  <si>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</si>
  <si>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</si>
  <si>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</si>
  <si>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</si>
  <si>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</si>
  <si>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</si>
  <si>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</si>
  <si>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</si>
  <si>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</si>
  <si>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</si>
  <si>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</si>
  <si>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</si>
  <si>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</si>
  <si>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</si>
  <si>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</si>
  <si>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</si>
  <si>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</si>
  <si>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</si>
  <si>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</si>
  <si>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</si>
  <si>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</si>
  <si>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</si>
  <si>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</si>
  <si>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</si>
  <si>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</si>
  <si>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</si>
  <si>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</si>
  <si>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</si>
  <si>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</si>
  <si>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</si>
  <si>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</si>
  <si>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</si>
  <si>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</si>
  <si>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</si>
  <si>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</si>
  <si>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</si>
  <si>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</si>
  <si>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</si>
  <si>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</si>
  <si>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</si>
  <si>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</si>
  <si>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</si>
  <si>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</si>
  <si>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</si>
  <si>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</si>
  <si>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</si>
  <si>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</si>
  <si>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</si>
  <si>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</si>
  <si>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</si>
  <si>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</si>
  <si>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</si>
  <si>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</si>
  <si>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</si>
  <si>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</si>
  <si>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</si>
  <si>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</si>
  <si>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</si>
  <si>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</si>
  <si>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</si>
  <si>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</si>
  <si>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</si>
  <si>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</si>
  <si>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</si>
  <si>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</si>
  <si>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</si>
  <si>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</si>
  <si>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</si>
  <si>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</si>
  <si>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</si>
  <si>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</si>
  <si>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</si>
  <si>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</si>
  <si>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</si>
  <si>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</si>
  <si>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</si>
  <si>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</si>
  <si>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</si>
  <si>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</si>
  <si>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</si>
  <si>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</si>
  <si>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</si>
  <si>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</si>
  <si>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</si>
  <si>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</si>
  <si>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</si>
  <si>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</si>
  <si>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</si>
  <si>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</si>
  <si>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</si>
  <si>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</si>
  <si>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</si>
  <si>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</si>
  <si>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</si>
  <si>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</si>
  <si>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</si>
  <si>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</si>
  <si>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</si>
  <si>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</si>
  <si>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</si>
  <si>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</si>
  <si>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</si>
  <si>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</si>
  <si>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</si>
  <si>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</si>
  <si>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</si>
  <si>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</si>
  <si>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</si>
  <si>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</si>
  <si>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</si>
  <si>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</si>
  <si>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</si>
  <si>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</si>
  <si>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</si>
  <si>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</si>
  <si>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</si>
  <si>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</si>
  <si>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</si>
  <si>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</si>
  <si>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</si>
  <si>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</si>
  <si>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</si>
  <si>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</si>
  <si>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</si>
  <si>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</si>
  <si>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</si>
  <si>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</si>
  <si>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</si>
  <si>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</si>
  <si>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</si>
  <si>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</si>
  <si>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</si>
  <si>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</si>
  <si>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</si>
  <si>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</si>
  <si>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</si>
  <si>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</si>
  <si>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</si>
  <si>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</si>
  <si>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</si>
  <si>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</si>
  <si>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</si>
  <si>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</si>
  <si>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</si>
  <si>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</si>
  <si>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</si>
  <si>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</si>
  <si>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</si>
  <si>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</si>
  <si>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</si>
  <si>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</si>
  <si>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</si>
  <si>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</si>
  <si>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</si>
  <si>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</si>
  <si>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</si>
  <si>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</si>
  <si>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</si>
  <si>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</si>
  <si>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</si>
  <si>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</si>
  <si>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</si>
  <si>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</si>
  <si>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</si>
  <si>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</si>
  <si>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</si>
  <si>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</si>
  <si>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</si>
  <si>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</si>
  <si>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</si>
  <si>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</si>
  <si>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</si>
  <si>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</si>
  <si>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</si>
  <si>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</si>
  <si>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</si>
  <si>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</si>
  <si>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</si>
  <si>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</si>
  <si>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</si>
  <si>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</si>
  <si>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</si>
  <si>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</si>
  <si>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</si>
  <si>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</si>
  <si>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</si>
  <si>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</si>
  <si>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</si>
  <si>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</si>
  <si>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</si>
  <si>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</si>
  <si>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</si>
  <si>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</si>
  <si>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</si>
  <si>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</si>
  <si>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</si>
  <si>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</si>
  <si>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</si>
  <si>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</si>
  <si>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</si>
  <si>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</si>
  <si>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</si>
  <si>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</si>
  <si>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</si>
  <si>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</si>
  <si>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</si>
  <si>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</si>
  <si>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</si>
  <si>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</si>
  <si>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</si>
  <si>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</si>
  <si>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</si>
  <si>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</si>
  <si>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</si>
  <si>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</si>
  <si>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</si>
  <si>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</si>
  <si>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</si>
  <si>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</si>
  <si>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</si>
  <si>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</si>
  <si>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</si>
  <si>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</si>
  <si>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</si>
  <si>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</si>
  <si>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</si>
  <si>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</si>
  <si>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</si>
  <si>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</si>
  <si>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</si>
  <si>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</si>
  <si>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</si>
  <si>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</si>
  <si>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</si>
  <si>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</si>
  <si>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</si>
  <si>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</si>
  <si>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</si>
  <si>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</si>
  <si>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</si>
  <si>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</si>
  <si>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</si>
  <si>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</si>
  <si>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</si>
  <si>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</si>
  <si>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</si>
  <si>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</si>
  <si>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</si>
  <si>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</si>
  <si>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</si>
  <si>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</si>
  <si>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</si>
  <si>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</si>
  <si>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</si>
  <si>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</si>
  <si>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</si>
  <si>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</si>
  <si>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</si>
  <si>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</si>
  <si>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</si>
  <si>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</si>
  <si>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</si>
  <si>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</si>
  <si>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</si>
  <si>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</si>
  <si>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</si>
  <si>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</si>
  <si>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</si>
  <si>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</si>
  <si>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</si>
  <si>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</si>
  <si>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</si>
  <si>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</si>
  <si>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</si>
  <si>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</si>
  <si>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</si>
  <si>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</si>
  <si>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</si>
  <si>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</si>
  <si>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</si>
  <si>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</si>
  <si>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</si>
  <si>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</si>
  <si>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</si>
  <si>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</si>
  <si>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</si>
  <si>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</si>
  <si>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</si>
  <si>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</si>
  <si>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</si>
  <si>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</si>
  <si>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</si>
  <si>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</si>
  <si>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</si>
  <si>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</si>
  <si>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</si>
  <si>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</si>
  <si>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</si>
  <si>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</si>
  <si>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</si>
  <si>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</si>
  <si>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</si>
  <si>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</si>
  <si>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</si>
  <si>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</si>
  <si>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</si>
  <si>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</si>
  <si>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</si>
  <si>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</si>
  <si>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</si>
  <si>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</si>
  <si>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</si>
  <si>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</si>
  <si>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</si>
  <si>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</si>
  <si>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</si>
  <si>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</si>
  <si>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</si>
  <si>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</si>
  <si>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</si>
  <si>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</si>
  <si>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</si>
  <si>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</si>
  <si>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</si>
  <si>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</si>
  <si>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</si>
  <si>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</si>
  <si>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</si>
  <si>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</si>
  <si>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</si>
  <si>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</si>
  <si>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</si>
  <si>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</si>
  <si>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</si>
  <si>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</si>
  <si>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</si>
  <si>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</si>
  <si>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</si>
  <si>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</si>
  <si>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</si>
  <si>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</si>
  <si>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</si>
  <si>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</si>
  <si>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</si>
  <si>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</si>
  <si>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</si>
  <si>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</si>
  <si>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</si>
  <si>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</si>
  <si>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</si>
  <si>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</si>
  <si>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</si>
  <si>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</si>
  <si>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</si>
  <si>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</si>
  <si>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</si>
  <si>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</si>
  <si>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</si>
  <si>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</si>
  <si>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</si>
  <si>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</si>
  <si>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</si>
  <si>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</si>
  <si>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</si>
  <si>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</si>
  <si>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</si>
  <si>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</si>
  <si>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</si>
  <si>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</si>
  <si>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</si>
  <si>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</si>
  <si>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</si>
  <si>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</si>
  <si>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</si>
  <si>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</si>
  <si>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</si>
  <si>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</si>
  <si>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</si>
  <si>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</si>
  <si>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</si>
  <si>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</si>
  <si>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</si>
  <si>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</si>
  <si>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</si>
  <si>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</si>
  <si>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</si>
  <si>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</si>
  <si>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</si>
  <si>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</si>
  <si>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</si>
  <si>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</si>
  <si>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</si>
  <si>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</si>
  <si>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</si>
  <si>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</si>
  <si>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</si>
  <si>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</si>
  <si>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</si>
  <si>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</si>
  <si>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</si>
  <si>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</si>
  <si>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</si>
  <si>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</si>
  <si>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</si>
  <si>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</si>
  <si>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</si>
  <si>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</si>
  <si>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</si>
  <si>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</si>
  <si>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</si>
  <si>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</si>
  <si>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</si>
  <si>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</si>
  <si>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</si>
  <si>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</si>
  <si>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</si>
  <si>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</si>
  <si>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</si>
  <si>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</si>
  <si>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</si>
  <si>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</si>
  <si>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</si>
  <si>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</si>
  <si>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</si>
  <si>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</si>
  <si>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</si>
  <si>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</si>
  <si>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</si>
  <si>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</si>
  <si>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</si>
  <si>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</si>
  <si>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</si>
  <si>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</si>
  <si>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</si>
  <si>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</si>
  <si>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</si>
  <si>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</si>
  <si>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</si>
  <si>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</si>
  <si>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</si>
  <si>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</si>
  <si>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</si>
  <si>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</si>
  <si>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</si>
  <si>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</si>
  <si>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</si>
  <si>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</si>
  <si>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</si>
  <si>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</si>
  <si>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</si>
  <si>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</si>
  <si>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</si>
  <si>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</si>
  <si>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</si>
  <si>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</si>
  <si>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</si>
  <si>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</si>
  <si>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</si>
  <si>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</si>
  <si>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</si>
  <si>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</si>
  <si>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</si>
  <si>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</si>
  <si>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</si>
  <si>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</si>
  <si>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</si>
  <si>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</si>
  <si>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</si>
  <si>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</si>
  <si>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</si>
  <si>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</si>
  <si>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</si>
  <si>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</si>
  <si>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</si>
  <si>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</si>
  <si>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</si>
  <si>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</si>
  <si>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</si>
  <si>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</si>
  <si>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</si>
  <si>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</si>
  <si>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</si>
  <si>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</si>
  <si>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</si>
  <si>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</si>
  <si>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</si>
  <si>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</si>
  <si>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</si>
  <si>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</si>
  <si>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</si>
  <si>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</si>
  <si>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</si>
  <si>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</si>
  <si>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</si>
  <si>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</si>
  <si>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</si>
  <si>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</si>
  <si>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</si>
  <si>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</si>
  <si>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</si>
  <si>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</si>
  <si>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</si>
  <si>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</si>
  <si>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</si>
  <si>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</si>
  <si>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</si>
  <si>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</si>
  <si>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</si>
  <si>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</si>
  <si>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</si>
  <si>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</si>
  <si>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</si>
  <si>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</si>
  <si>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</si>
  <si>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</si>
  <si>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</si>
  <si>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</si>
  <si>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</si>
  <si>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</si>
  <si>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</si>
  <si>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</si>
  <si>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</si>
  <si>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</si>
  <si>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</si>
  <si>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</si>
  <si>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</si>
  <si>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</si>
  <si>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</si>
  <si>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</si>
  <si>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</si>
  <si>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</si>
  <si>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</si>
  <si>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</si>
  <si>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</si>
  <si>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</si>
  <si>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</si>
  <si>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</si>
  <si>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</si>
  <si>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</si>
  <si>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</si>
  <si>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</si>
  <si>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</si>
  <si>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</si>
  <si>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</si>
  <si>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</si>
  <si>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</si>
  <si>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</si>
  <si>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</si>
  <si>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</si>
  <si>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</si>
  <si>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</si>
  <si>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</si>
  <si>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</si>
  <si>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</si>
  <si>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</si>
  <si>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</si>
  <si>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</si>
  <si>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</si>
  <si>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</si>
  <si>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</si>
  <si>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</si>
  <si>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</si>
  <si>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</si>
  <si>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</si>
  <si>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</si>
  <si>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</si>
  <si>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</si>
  <si>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</si>
  <si>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</si>
  <si>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</si>
  <si>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</si>
  <si>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</si>
  <si>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</si>
  <si>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</si>
  <si>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</si>
  <si>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</si>
  <si>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</si>
  <si>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</si>
  <si>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</si>
  <si>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</si>
  <si>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</si>
  <si>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</si>
  <si>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</si>
  <si>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</si>
  <si>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</si>
  <si>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</si>
  <si>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</si>
  <si>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</si>
  <si>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</si>
  <si>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</si>
  <si>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</si>
  <si>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</si>
  <si>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</si>
  <si>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</si>
  <si>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</si>
  <si>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</si>
  <si>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</si>
  <si>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</si>
  <si>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</si>
  <si>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</si>
  <si>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</si>
  <si>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</si>
  <si>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</si>
  <si>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</si>
  <si>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</si>
  <si>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</si>
  <si>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</si>
  <si>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</si>
  <si>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</si>
  <si>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</si>
  <si>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</si>
  <si>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</si>
  <si>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</si>
  <si>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</si>
  <si>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</si>
  <si>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</si>
  <si>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</si>
  <si>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</si>
  <si>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</si>
  <si>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</si>
  <si>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</si>
  <si>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</si>
  <si>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</si>
  <si>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</si>
  <si>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</si>
  <si>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</si>
  <si>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</si>
  <si>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</si>
  <si>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</si>
  <si>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</si>
  <si>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</si>
  <si>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</si>
  <si>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</si>
  <si>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</si>
  <si>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</si>
  <si>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</si>
  <si>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</si>
  <si>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</si>
  <si>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</si>
  <si>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</si>
  <si>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</si>
  <si>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</si>
  <si>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</si>
  <si>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</si>
  <si>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</si>
  <si>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</si>
  <si>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</si>
  <si>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</si>
  <si>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</si>
  <si>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</si>
  <si>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</si>
  <si>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</si>
  <si>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</si>
  <si>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</si>
  <si>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</si>
  <si>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</si>
  <si>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</si>
  <si>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</si>
  <si>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</si>
  <si>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</si>
  <si>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</si>
  <si>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</si>
  <si>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</si>
  <si>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</si>
  <si>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</si>
  <si>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</si>
  <si>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</si>
  <si>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</si>
  <si>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</si>
  <si>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</si>
  <si>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</si>
  <si>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</si>
  <si>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</si>
  <si>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</si>
  <si>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</si>
  <si>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</si>
  <si>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</si>
  <si>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</si>
  <si>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</si>
  <si>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</si>
  <si>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</si>
  <si>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</si>
  <si>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</si>
  <si>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</si>
  <si>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</si>
  <si>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</si>
  <si>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</si>
  <si>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</si>
  <si>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</si>
  <si>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</si>
  <si>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</si>
  <si>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</si>
  <si>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</si>
  <si>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</si>
  <si>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</si>
  <si>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</si>
  <si>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</si>
  <si>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</si>
  <si>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</si>
  <si>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</si>
  <si>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</si>
  <si>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</si>
  <si>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</si>
  <si>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</si>
  <si>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</si>
  <si>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</si>
  <si>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</si>
  <si>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</si>
  <si>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</si>
  <si>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</si>
  <si>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</si>
  <si>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</si>
  <si>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</si>
  <si>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</si>
  <si>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</si>
  <si>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</si>
  <si>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</si>
  <si>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</si>
  <si>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</si>
  <si>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</si>
  <si>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</si>
  <si>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</si>
  <si>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</si>
  <si>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</si>
  <si>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</si>
  <si>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</si>
  <si>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</si>
  <si>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</si>
  <si>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</si>
  <si>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</si>
  <si>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</si>
  <si>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</si>
  <si>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</si>
  <si>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</si>
  <si>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</si>
  <si>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</si>
  <si>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</si>
  <si>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</si>
  <si>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</si>
  <si>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</si>
  <si>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</si>
  <si>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</si>
  <si>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</si>
  <si>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</si>
  <si>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</si>
  <si>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</si>
  <si>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</si>
  <si>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</si>
  <si>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71024</t>
  </si>
  <si>
    <t>HERK-DE-STAD</t>
  </si>
  <si>
    <t>Paarden&amp;pony's 200 - 600 kg</t>
  </si>
  <si>
    <t>Paarden&amp;pony's &lt; 200 kg</t>
  </si>
  <si>
    <t>op basis van VEA (maart 2018) en Inventaris Hernieuwbare Energiebronnen (juni 2018)</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</si>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</sst>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71024</v>
      </c>
      <c r="B6" s="397"/>
      <c r="C6" s="398"/>
    </row>
    <row r="7" spans="1:7" s="395" customFormat="1" ht="15.75" customHeight="1">
      <c r="A7" s="399" t="str">
        <f>txtMunicipality</f>
        <v>HERK-DE-STAD</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14316.722</v>
      </c>
      <c r="D10" s="688">
        <f ca="1">tertiair!C16</f>
        <v>0</v>
      </c>
      <c r="E10" s="688">
        <f ca="1">tertiair!D16</f>
        <v>8228.1973400000006</v>
      </c>
      <c r="F10" s="688">
        <f>tertiair!E16</f>
        <v>91.44971789642797</v>
      </c>
      <c r="G10" s="688">
        <f ca="1">tertiair!F16</f>
        <v>2848.8419709951877</v>
      </c>
      <c r="H10" s="688">
        <f>tertiair!G16</f>
        <v>0</v>
      </c>
      <c r="I10" s="688">
        <f>tertiair!H16</f>
        <v>0</v>
      </c>
      <c r="J10" s="688">
        <f>tertiair!I16</f>
        <v>0</v>
      </c>
      <c r="K10" s="688">
        <f>tertiair!J16</f>
        <v>0</v>
      </c>
      <c r="L10" s="688">
        <f>tertiair!K16</f>
        <v>0</v>
      </c>
      <c r="M10" s="688">
        <f ca="1">tertiair!L16</f>
        <v>0</v>
      </c>
      <c r="N10" s="688">
        <f>tertiair!M16</f>
        <v>0</v>
      </c>
      <c r="O10" s="688">
        <f ca="1">tertiair!N16</f>
        <v>498.54907587921821</v>
      </c>
      <c r="P10" s="688">
        <f>tertiair!O16</f>
        <v>0</v>
      </c>
      <c r="Q10" s="689">
        <f>tertiair!P16</f>
        <v>0</v>
      </c>
      <c r="R10" s="691">
        <f ca="1">SUM(C10:Q10)</f>
        <v>25983.760104770834</v>
      </c>
      <c r="S10" s="68"/>
    </row>
    <row r="11" spans="1:19" s="457" customFormat="1">
      <c r="A11" s="803" t="s">
        <v>225</v>
      </c>
      <c r="B11" s="808"/>
      <c r="C11" s="688">
        <f>huishoudens!B8</f>
        <v>24161.828409135815</v>
      </c>
      <c r="D11" s="688">
        <f>huishoudens!C8</f>
        <v>0</v>
      </c>
      <c r="E11" s="688">
        <f>huishoudens!D8</f>
        <v>29320.283916</v>
      </c>
      <c r="F11" s="688">
        <f>huishoudens!E8</f>
        <v>943.85738818027278</v>
      </c>
      <c r="G11" s="688">
        <f>huishoudens!F8</f>
        <v>42342.05180127154</v>
      </c>
      <c r="H11" s="688">
        <f>huishoudens!G8</f>
        <v>0</v>
      </c>
      <c r="I11" s="688">
        <f>huishoudens!H8</f>
        <v>0</v>
      </c>
      <c r="J11" s="688">
        <f>huishoudens!I8</f>
        <v>0</v>
      </c>
      <c r="K11" s="688">
        <f>huishoudens!J8</f>
        <v>0</v>
      </c>
      <c r="L11" s="688">
        <f>huishoudens!K8</f>
        <v>0</v>
      </c>
      <c r="M11" s="688">
        <f>huishoudens!L8</f>
        <v>0</v>
      </c>
      <c r="N11" s="688">
        <f>huishoudens!M8</f>
        <v>0</v>
      </c>
      <c r="O11" s="688">
        <f>huishoudens!N8</f>
        <v>11822.979548019146</v>
      </c>
      <c r="P11" s="688">
        <f>huishoudens!O8</f>
        <v>82.856666666666683</v>
      </c>
      <c r="Q11" s="689">
        <f>huishoudens!P8</f>
        <v>400.4</v>
      </c>
      <c r="R11" s="691">
        <f>SUM(C11:Q11)</f>
        <v>109074.25772927345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5562.7180000000008</v>
      </c>
      <c r="D13" s="688">
        <f>industrie!C18</f>
        <v>0</v>
      </c>
      <c r="E13" s="688">
        <f>industrie!D18</f>
        <v>1250.8376760000001</v>
      </c>
      <c r="F13" s="688">
        <f>industrie!E18</f>
        <v>65.531834191456198</v>
      </c>
      <c r="G13" s="688">
        <f>industrie!F18</f>
        <v>1781.5302583266694</v>
      </c>
      <c r="H13" s="688">
        <f>industrie!G18</f>
        <v>0</v>
      </c>
      <c r="I13" s="688">
        <f>industrie!H18</f>
        <v>0</v>
      </c>
      <c r="J13" s="688">
        <f>industrie!I18</f>
        <v>0</v>
      </c>
      <c r="K13" s="688">
        <f>industrie!J18</f>
        <v>20.915873547593488</v>
      </c>
      <c r="L13" s="688">
        <f>industrie!K18</f>
        <v>0</v>
      </c>
      <c r="M13" s="688">
        <f>industrie!L18</f>
        <v>0</v>
      </c>
      <c r="N13" s="688">
        <f>industrie!M18</f>
        <v>0</v>
      </c>
      <c r="O13" s="688">
        <f>industrie!N18</f>
        <v>228.28689891938558</v>
      </c>
      <c r="P13" s="688">
        <f>industrie!O18</f>
        <v>0</v>
      </c>
      <c r="Q13" s="689">
        <f>industrie!P18</f>
        <v>0</v>
      </c>
      <c r="R13" s="691">
        <f>SUM(C13:Q13)</f>
        <v>8909.8205409851053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44041.268409135817</v>
      </c>
      <c r="D16" s="721">
        <f t="shared" ref="D16:R16" ca="1" si="0">SUM(D9:D15)</f>
        <v>0</v>
      </c>
      <c r="E16" s="721">
        <f t="shared" ca="1" si="0"/>
        <v>38799.318932000002</v>
      </c>
      <c r="F16" s="721">
        <f t="shared" si="0"/>
        <v>1100.8389402681571</v>
      </c>
      <c r="G16" s="721">
        <f t="shared" ca="1" si="0"/>
        <v>46972.424030593393</v>
      </c>
      <c r="H16" s="721">
        <f t="shared" si="0"/>
        <v>0</v>
      </c>
      <c r="I16" s="721">
        <f t="shared" si="0"/>
        <v>0</v>
      </c>
      <c r="J16" s="721">
        <f t="shared" si="0"/>
        <v>0</v>
      </c>
      <c r="K16" s="721">
        <f t="shared" si="0"/>
        <v>20.915873547593488</v>
      </c>
      <c r="L16" s="721">
        <f t="shared" si="0"/>
        <v>0</v>
      </c>
      <c r="M16" s="721">
        <f t="shared" ca="1" si="0"/>
        <v>0</v>
      </c>
      <c r="N16" s="721">
        <f t="shared" si="0"/>
        <v>0</v>
      </c>
      <c r="O16" s="721">
        <f t="shared" ca="1" si="0"/>
        <v>12549.815522817749</v>
      </c>
      <c r="P16" s="721">
        <f t="shared" si="0"/>
        <v>82.856666666666683</v>
      </c>
      <c r="Q16" s="721">
        <f t="shared" si="0"/>
        <v>400.4</v>
      </c>
      <c r="R16" s="721">
        <f t="shared" ca="1" si="0"/>
        <v>143967.83837502939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1161.0864846206882</v>
      </c>
      <c r="I19" s="688">
        <f>transport!H54</f>
        <v>0</v>
      </c>
      <c r="J19" s="688">
        <f>transport!I54</f>
        <v>0</v>
      </c>
      <c r="K19" s="688">
        <f>transport!J54</f>
        <v>0</v>
      </c>
      <c r="L19" s="688">
        <f>transport!K54</f>
        <v>0</v>
      </c>
      <c r="M19" s="688">
        <f>transport!L54</f>
        <v>0</v>
      </c>
      <c r="N19" s="688">
        <f>transport!M54</f>
        <v>50.985222871656909</v>
      </c>
      <c r="O19" s="688">
        <f>transport!N54</f>
        <v>0</v>
      </c>
      <c r="P19" s="688">
        <f>transport!O54</f>
        <v>0</v>
      </c>
      <c r="Q19" s="689">
        <f>transport!P54</f>
        <v>0</v>
      </c>
      <c r="R19" s="691">
        <f>SUM(C19:Q19)</f>
        <v>1212.0717074923452</v>
      </c>
      <c r="S19" s="68"/>
    </row>
    <row r="20" spans="1:19" s="457" customFormat="1">
      <c r="A20" s="803" t="s">
        <v>307</v>
      </c>
      <c r="B20" s="808"/>
      <c r="C20" s="688">
        <f>transport!B14</f>
        <v>1.5487277275076177</v>
      </c>
      <c r="D20" s="688">
        <f>transport!C14</f>
        <v>0</v>
      </c>
      <c r="E20" s="688">
        <f>transport!D14</f>
        <v>4.5608003672734574</v>
      </c>
      <c r="F20" s="688">
        <f>transport!E14</f>
        <v>261.72642515978936</v>
      </c>
      <c r="G20" s="688">
        <f>transport!F14</f>
        <v>0</v>
      </c>
      <c r="H20" s="688">
        <f>transport!G14</f>
        <v>53671.123547610579</v>
      </c>
      <c r="I20" s="688">
        <f>transport!H14</f>
        <v>10081.047273908242</v>
      </c>
      <c r="J20" s="688">
        <f>transport!I14</f>
        <v>0</v>
      </c>
      <c r="K20" s="688">
        <f>transport!J14</f>
        <v>0</v>
      </c>
      <c r="L20" s="688">
        <f>transport!K14</f>
        <v>0</v>
      </c>
      <c r="M20" s="688">
        <f>transport!L14</f>
        <v>0</v>
      </c>
      <c r="N20" s="688">
        <f>transport!M14</f>
        <v>2851.1293475574203</v>
      </c>
      <c r="O20" s="688">
        <f>transport!N14</f>
        <v>0</v>
      </c>
      <c r="P20" s="688">
        <f>transport!O14</f>
        <v>0</v>
      </c>
      <c r="Q20" s="689">
        <f>transport!P14</f>
        <v>0</v>
      </c>
      <c r="R20" s="691">
        <f>SUM(C20:Q20)</f>
        <v>66871.136122330819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1.5487277275076177</v>
      </c>
      <c r="D22" s="806">
        <f t="shared" ref="D22:R22" si="1">SUM(D18:D21)</f>
        <v>0</v>
      </c>
      <c r="E22" s="806">
        <f t="shared" si="1"/>
        <v>4.5608003672734574</v>
      </c>
      <c r="F22" s="806">
        <f t="shared" si="1"/>
        <v>261.72642515978936</v>
      </c>
      <c r="G22" s="806">
        <f t="shared" si="1"/>
        <v>0</v>
      </c>
      <c r="H22" s="806">
        <f t="shared" si="1"/>
        <v>54832.210032231269</v>
      </c>
      <c r="I22" s="806">
        <f t="shared" si="1"/>
        <v>10081.047273908242</v>
      </c>
      <c r="J22" s="806">
        <f t="shared" si="1"/>
        <v>0</v>
      </c>
      <c r="K22" s="806">
        <f t="shared" si="1"/>
        <v>0</v>
      </c>
      <c r="L22" s="806">
        <f t="shared" si="1"/>
        <v>0</v>
      </c>
      <c r="M22" s="806">
        <f t="shared" si="1"/>
        <v>0</v>
      </c>
      <c r="N22" s="806">
        <f t="shared" si="1"/>
        <v>2902.114570429077</v>
      </c>
      <c r="O22" s="806">
        <f t="shared" si="1"/>
        <v>0</v>
      </c>
      <c r="P22" s="806">
        <f t="shared" si="1"/>
        <v>0</v>
      </c>
      <c r="Q22" s="806">
        <f t="shared" si="1"/>
        <v>0</v>
      </c>
      <c r="R22" s="806">
        <f t="shared" si="1"/>
        <v>68083.207829823165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2776.9989999999998</v>
      </c>
      <c r="D24" s="688">
        <f>+landbouw!C8</f>
        <v>6428.5714285714284</v>
      </c>
      <c r="E24" s="688">
        <f>+landbouw!D8</f>
        <v>1552.6712300000002</v>
      </c>
      <c r="F24" s="688">
        <f>+landbouw!E8</f>
        <v>26.161191230365095</v>
      </c>
      <c r="G24" s="688">
        <f>+landbouw!F8</f>
        <v>9062.2693420297401</v>
      </c>
      <c r="H24" s="688">
        <f>+landbouw!G8</f>
        <v>0</v>
      </c>
      <c r="I24" s="688">
        <f>+landbouw!H8</f>
        <v>0</v>
      </c>
      <c r="J24" s="688">
        <f>+landbouw!I8</f>
        <v>0</v>
      </c>
      <c r="K24" s="688">
        <f>+landbouw!J8</f>
        <v>343.52828362054134</v>
      </c>
      <c r="L24" s="688">
        <f>+landbouw!K8</f>
        <v>0</v>
      </c>
      <c r="M24" s="688">
        <f>+landbouw!L8</f>
        <v>0</v>
      </c>
      <c r="N24" s="688">
        <f>+landbouw!M8</f>
        <v>0</v>
      </c>
      <c r="O24" s="688">
        <f>+landbouw!N8</f>
        <v>0</v>
      </c>
      <c r="P24" s="688">
        <f>+landbouw!O8</f>
        <v>0</v>
      </c>
      <c r="Q24" s="689">
        <f>+landbouw!P8</f>
        <v>0</v>
      </c>
      <c r="R24" s="691">
        <f>SUM(C24:Q24)</f>
        <v>20190.200475452071</v>
      </c>
      <c r="S24" s="68"/>
    </row>
    <row r="25" spans="1:19" s="457" customFormat="1" ht="15" thickBot="1">
      <c r="A25" s="825" t="s">
        <v>912</v>
      </c>
      <c r="B25" s="1001"/>
      <c r="C25" s="1002">
        <f>IF(Onbekend_ele_kWh="---",0,Onbekend_ele_kWh)/1000+IF(REST_rest_ele_kWh="---",0,REST_rest_ele_kWh)/1000</f>
        <v>290.84500000000003</v>
      </c>
      <c r="D25" s="1002"/>
      <c r="E25" s="1002">
        <f>IF(onbekend_gas_kWh="---",0,onbekend_gas_kWh)/1000+IF(REST_rest_gas_kWh="---",0,REST_rest_gas_kWh)/1000</f>
        <v>1979.115</v>
      </c>
      <c r="F25" s="1002"/>
      <c r="G25" s="1002"/>
      <c r="H25" s="1002"/>
      <c r="I25" s="1002"/>
      <c r="J25" s="1002"/>
      <c r="K25" s="1002"/>
      <c r="L25" s="1002"/>
      <c r="M25" s="1002"/>
      <c r="N25" s="1002"/>
      <c r="O25" s="1002"/>
      <c r="P25" s="1002"/>
      <c r="Q25" s="1003"/>
      <c r="R25" s="691">
        <f>SUM(C25:Q25)</f>
        <v>2269.96</v>
      </c>
      <c r="S25" s="68"/>
    </row>
    <row r="26" spans="1:19" s="457" customFormat="1" ht="15.75" thickBot="1">
      <c r="A26" s="694" t="s">
        <v>913</v>
      </c>
      <c r="B26" s="811"/>
      <c r="C26" s="806">
        <f>SUM(C24:C25)</f>
        <v>3067.8440000000001</v>
      </c>
      <c r="D26" s="806">
        <f t="shared" ref="D26:R26" si="2">SUM(D24:D25)</f>
        <v>6428.5714285714284</v>
      </c>
      <c r="E26" s="806">
        <f t="shared" si="2"/>
        <v>3531.7862300000002</v>
      </c>
      <c r="F26" s="806">
        <f t="shared" si="2"/>
        <v>26.161191230365095</v>
      </c>
      <c r="G26" s="806">
        <f t="shared" si="2"/>
        <v>9062.2693420297401</v>
      </c>
      <c r="H26" s="806">
        <f t="shared" si="2"/>
        <v>0</v>
      </c>
      <c r="I26" s="806">
        <f t="shared" si="2"/>
        <v>0</v>
      </c>
      <c r="J26" s="806">
        <f t="shared" si="2"/>
        <v>0</v>
      </c>
      <c r="K26" s="806">
        <f t="shared" si="2"/>
        <v>343.52828362054134</v>
      </c>
      <c r="L26" s="806">
        <f t="shared" si="2"/>
        <v>0</v>
      </c>
      <c r="M26" s="806">
        <f t="shared" si="2"/>
        <v>0</v>
      </c>
      <c r="N26" s="806">
        <f t="shared" si="2"/>
        <v>0</v>
      </c>
      <c r="O26" s="806">
        <f t="shared" si="2"/>
        <v>0</v>
      </c>
      <c r="P26" s="806">
        <f t="shared" si="2"/>
        <v>0</v>
      </c>
      <c r="Q26" s="806">
        <f t="shared" si="2"/>
        <v>0</v>
      </c>
      <c r="R26" s="806">
        <f t="shared" si="2"/>
        <v>22460.16047545207</v>
      </c>
      <c r="S26" s="68"/>
    </row>
    <row r="27" spans="1:19" s="457" customFormat="1" ht="17.25" thickTop="1" thickBot="1">
      <c r="A27" s="695" t="s">
        <v>116</v>
      </c>
      <c r="B27" s="798"/>
      <c r="C27" s="696">
        <f ca="1">C22+C16+C26</f>
        <v>47110.661136863324</v>
      </c>
      <c r="D27" s="696">
        <f t="shared" ref="D27:R27" ca="1" si="3">D22+D16+D26</f>
        <v>6428.5714285714284</v>
      </c>
      <c r="E27" s="696">
        <f t="shared" ca="1" si="3"/>
        <v>42335.665962367275</v>
      </c>
      <c r="F27" s="696">
        <f t="shared" si="3"/>
        <v>1388.7265566583117</v>
      </c>
      <c r="G27" s="696">
        <f t="shared" ca="1" si="3"/>
        <v>56034.693372623136</v>
      </c>
      <c r="H27" s="696">
        <f t="shared" si="3"/>
        <v>54832.210032231269</v>
      </c>
      <c r="I27" s="696">
        <f t="shared" si="3"/>
        <v>10081.047273908242</v>
      </c>
      <c r="J27" s="696">
        <f t="shared" si="3"/>
        <v>0</v>
      </c>
      <c r="K27" s="696">
        <f t="shared" si="3"/>
        <v>364.44415716813484</v>
      </c>
      <c r="L27" s="696">
        <f t="shared" si="3"/>
        <v>0</v>
      </c>
      <c r="M27" s="696">
        <f t="shared" ca="1" si="3"/>
        <v>0</v>
      </c>
      <c r="N27" s="696">
        <f t="shared" si="3"/>
        <v>2902.114570429077</v>
      </c>
      <c r="O27" s="696">
        <f t="shared" ca="1" si="3"/>
        <v>12549.815522817749</v>
      </c>
      <c r="P27" s="696">
        <f t="shared" si="3"/>
        <v>82.856666666666683</v>
      </c>
      <c r="Q27" s="696">
        <f t="shared" si="3"/>
        <v>400.4</v>
      </c>
      <c r="R27" s="696">
        <f t="shared" ca="1" si="3"/>
        <v>234511.20668030463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2470.0526934894037</v>
      </c>
      <c r="D40" s="688">
        <f ca="1">tertiair!C20</f>
        <v>0</v>
      </c>
      <c r="E40" s="688">
        <f ca="1">tertiair!D20</f>
        <v>1662.0958626800002</v>
      </c>
      <c r="F40" s="688">
        <f>tertiair!E20</f>
        <v>20.759085962489149</v>
      </c>
      <c r="G40" s="688">
        <f ca="1">tertiair!F20</f>
        <v>760.64080625571512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4913.548448387608</v>
      </c>
    </row>
    <row r="41" spans="1:18">
      <c r="A41" s="816" t="s">
        <v>225</v>
      </c>
      <c r="B41" s="823"/>
      <c r="C41" s="688">
        <f ca="1">huishoudens!B12</f>
        <v>4168.6210950813129</v>
      </c>
      <c r="D41" s="688">
        <f ca="1">huishoudens!C12</f>
        <v>0</v>
      </c>
      <c r="E41" s="688">
        <f>huishoudens!D12</f>
        <v>5922.6973510320004</v>
      </c>
      <c r="F41" s="688">
        <f>huishoudens!E12</f>
        <v>214.25562711692191</v>
      </c>
      <c r="G41" s="688">
        <f>huishoudens!F12</f>
        <v>11305.327830939503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21610.901904169739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959.73132530072121</v>
      </c>
      <c r="D43" s="688">
        <f ca="1">industrie!C22</f>
        <v>0</v>
      </c>
      <c r="E43" s="688">
        <f>industrie!D22</f>
        <v>252.66921055200004</v>
      </c>
      <c r="F43" s="688">
        <f>industrie!E22</f>
        <v>14.875726361460558</v>
      </c>
      <c r="G43" s="688">
        <f>industrie!F22</f>
        <v>475.66857897322075</v>
      </c>
      <c r="H43" s="688">
        <f>industrie!G22</f>
        <v>0</v>
      </c>
      <c r="I43" s="688">
        <f>industrie!H22</f>
        <v>0</v>
      </c>
      <c r="J43" s="688">
        <f>industrie!I22</f>
        <v>0</v>
      </c>
      <c r="K43" s="688">
        <f>industrie!J22</f>
        <v>7.4042192358480943</v>
      </c>
      <c r="L43" s="688">
        <f>industrie!K22</f>
        <v>0</v>
      </c>
      <c r="M43" s="688">
        <f>industrie!L22</f>
        <v>0</v>
      </c>
      <c r="N43" s="688">
        <f>industrie!M22</f>
        <v>0</v>
      </c>
      <c r="O43" s="688">
        <f>industrie!N22</f>
        <v>0</v>
      </c>
      <c r="P43" s="688">
        <f>industrie!O22</f>
        <v>0</v>
      </c>
      <c r="Q43" s="763">
        <f>industrie!P22</f>
        <v>0</v>
      </c>
      <c r="R43" s="843">
        <f t="shared" ca="1" si="4"/>
        <v>1710.3490604232506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7598.4051138714385</v>
      </c>
      <c r="D46" s="721">
        <f t="shared" ref="D46:Q46" ca="1" si="5">SUM(D39:D45)</f>
        <v>0</v>
      </c>
      <c r="E46" s="721">
        <f t="shared" ca="1" si="5"/>
        <v>7837.4624242640002</v>
      </c>
      <c r="F46" s="721">
        <f t="shared" si="5"/>
        <v>249.8904394408716</v>
      </c>
      <c r="G46" s="721">
        <f t="shared" ca="1" si="5"/>
        <v>12541.637216168438</v>
      </c>
      <c r="H46" s="721">
        <f t="shared" si="5"/>
        <v>0</v>
      </c>
      <c r="I46" s="721">
        <f t="shared" si="5"/>
        <v>0</v>
      </c>
      <c r="J46" s="721">
        <f t="shared" si="5"/>
        <v>0</v>
      </c>
      <c r="K46" s="721">
        <f t="shared" si="5"/>
        <v>7.4042192358480943</v>
      </c>
      <c r="L46" s="721">
        <f t="shared" si="5"/>
        <v>0</v>
      </c>
      <c r="M46" s="721">
        <f t="shared" ca="1" si="5"/>
        <v>0</v>
      </c>
      <c r="N46" s="721">
        <f t="shared" si="5"/>
        <v>0</v>
      </c>
      <c r="O46" s="721">
        <f t="shared" ca="1" si="5"/>
        <v>0</v>
      </c>
      <c r="P46" s="721">
        <f t="shared" si="5"/>
        <v>0</v>
      </c>
      <c r="Q46" s="721">
        <f t="shared" si="5"/>
        <v>0</v>
      </c>
      <c r="R46" s="721">
        <f ca="1">SUM(R39:R45)</f>
        <v>28234.799412980596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310.01009139372377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310.01009139372377</v>
      </c>
    </row>
    <row r="50" spans="1:18">
      <c r="A50" s="819" t="s">
        <v>307</v>
      </c>
      <c r="B50" s="829"/>
      <c r="C50" s="1008">
        <f ca="1">transport!B18</f>
        <v>0.26720076668471421</v>
      </c>
      <c r="D50" s="1008">
        <f>transport!C18</f>
        <v>0</v>
      </c>
      <c r="E50" s="1008">
        <f>transport!D18</f>
        <v>0.92128167418923845</v>
      </c>
      <c r="F50" s="1008">
        <f>transport!E18</f>
        <v>59.411898511272184</v>
      </c>
      <c r="G50" s="1008">
        <f>transport!F18</f>
        <v>0</v>
      </c>
      <c r="H50" s="1008">
        <f>transport!G18</f>
        <v>14330.189987212025</v>
      </c>
      <c r="I50" s="1008">
        <f>transport!H18</f>
        <v>2510.1807712031523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16900.971139367324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0.26720076668471421</v>
      </c>
      <c r="D52" s="721">
        <f t="shared" ref="D52:Q52" ca="1" si="6">SUM(D48:D51)</f>
        <v>0</v>
      </c>
      <c r="E52" s="721">
        <f t="shared" si="6"/>
        <v>0.92128167418923845</v>
      </c>
      <c r="F52" s="721">
        <f t="shared" si="6"/>
        <v>59.411898511272184</v>
      </c>
      <c r="G52" s="721">
        <f t="shared" si="6"/>
        <v>0</v>
      </c>
      <c r="H52" s="721">
        <f t="shared" si="6"/>
        <v>14640.200078605749</v>
      </c>
      <c r="I52" s="721">
        <f t="shared" si="6"/>
        <v>2510.1807712031523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17210.981230761048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479.11343530784359</v>
      </c>
      <c r="D54" s="1008">
        <f ca="1">+landbouw!C12</f>
        <v>0</v>
      </c>
      <c r="E54" s="1008">
        <f>+landbouw!D12</f>
        <v>313.63958846000003</v>
      </c>
      <c r="F54" s="1008">
        <f>+landbouw!E12</f>
        <v>5.9385904092928765</v>
      </c>
      <c r="G54" s="1008">
        <f>+landbouw!F12</f>
        <v>2419.6259143219409</v>
      </c>
      <c r="H54" s="1008">
        <f>+landbouw!G12</f>
        <v>0</v>
      </c>
      <c r="I54" s="1008">
        <f>+landbouw!H12</f>
        <v>0</v>
      </c>
      <c r="J54" s="1008">
        <f>+landbouw!I12</f>
        <v>0</v>
      </c>
      <c r="K54" s="1008">
        <f>+landbouw!J12</f>
        <v>121.60901240167163</v>
      </c>
      <c r="L54" s="1008">
        <f>+landbouw!K12</f>
        <v>0</v>
      </c>
      <c r="M54" s="1008">
        <f>+landbouw!L12</f>
        <v>0</v>
      </c>
      <c r="N54" s="1008">
        <f>+landbouw!M12</f>
        <v>0</v>
      </c>
      <c r="O54" s="1008">
        <f>+landbouw!N12</f>
        <v>0</v>
      </c>
      <c r="P54" s="1008">
        <f>+landbouw!O12</f>
        <v>0</v>
      </c>
      <c r="Q54" s="1009">
        <f>+landbouw!P12</f>
        <v>0</v>
      </c>
      <c r="R54" s="720">
        <f ca="1">SUM(C54:Q54)</f>
        <v>3339.9265409007494</v>
      </c>
    </row>
    <row r="55" spans="1:18" ht="15" thickBot="1">
      <c r="A55" s="819" t="s">
        <v>912</v>
      </c>
      <c r="B55" s="829"/>
      <c r="C55" s="1008">
        <f ca="1">C25*'EF ele_warmte'!B12</f>
        <v>50.17925720971084</v>
      </c>
      <c r="D55" s="1008"/>
      <c r="E55" s="1008">
        <f>E25*EF_CO2_aardgas</f>
        <v>399.78123000000005</v>
      </c>
      <c r="F55" s="1008"/>
      <c r="G55" s="1008"/>
      <c r="H55" s="1008"/>
      <c r="I55" s="1008"/>
      <c r="J55" s="1008"/>
      <c r="K55" s="1008"/>
      <c r="L55" s="1008"/>
      <c r="M55" s="1008"/>
      <c r="N55" s="1008"/>
      <c r="O55" s="1008"/>
      <c r="P55" s="1008"/>
      <c r="Q55" s="1009"/>
      <c r="R55" s="720">
        <f ca="1">SUM(C55:Q55)</f>
        <v>449.96048720971089</v>
      </c>
    </row>
    <row r="56" spans="1:18" ht="15.75" thickBot="1">
      <c r="A56" s="817" t="s">
        <v>913</v>
      </c>
      <c r="B56" s="830"/>
      <c r="C56" s="721">
        <f ca="1">SUM(C54:C55)</f>
        <v>529.29269251755443</v>
      </c>
      <c r="D56" s="721">
        <f t="shared" ref="D56:Q56" ca="1" si="7">SUM(D54:D55)</f>
        <v>0</v>
      </c>
      <c r="E56" s="721">
        <f t="shared" si="7"/>
        <v>713.42081846000008</v>
      </c>
      <c r="F56" s="721">
        <f t="shared" si="7"/>
        <v>5.9385904092928765</v>
      </c>
      <c r="G56" s="721">
        <f t="shared" si="7"/>
        <v>2419.6259143219409</v>
      </c>
      <c r="H56" s="721">
        <f t="shared" si="7"/>
        <v>0</v>
      </c>
      <c r="I56" s="721">
        <f t="shared" si="7"/>
        <v>0</v>
      </c>
      <c r="J56" s="721">
        <f t="shared" si="7"/>
        <v>0</v>
      </c>
      <c r="K56" s="721">
        <f t="shared" si="7"/>
        <v>121.60901240167163</v>
      </c>
      <c r="L56" s="721">
        <f t="shared" si="7"/>
        <v>0</v>
      </c>
      <c r="M56" s="721">
        <f t="shared" si="7"/>
        <v>0</v>
      </c>
      <c r="N56" s="721">
        <f t="shared" si="7"/>
        <v>0</v>
      </c>
      <c r="O56" s="721">
        <f t="shared" si="7"/>
        <v>0</v>
      </c>
      <c r="P56" s="721">
        <f t="shared" si="7"/>
        <v>0</v>
      </c>
      <c r="Q56" s="722">
        <f t="shared" si="7"/>
        <v>0</v>
      </c>
      <c r="R56" s="723">
        <f ca="1">SUM(R54:R55)</f>
        <v>3789.8870281104601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8127.965007155678</v>
      </c>
      <c r="D61" s="729">
        <f t="shared" ref="D61:Q61" ca="1" si="8">D46+D52+D56</f>
        <v>0</v>
      </c>
      <c r="E61" s="729">
        <f t="shared" ca="1" si="8"/>
        <v>8551.8045243981887</v>
      </c>
      <c r="F61" s="729">
        <f t="shared" si="8"/>
        <v>315.24092836143666</v>
      </c>
      <c r="G61" s="729">
        <f t="shared" ca="1" si="8"/>
        <v>14961.263130490379</v>
      </c>
      <c r="H61" s="729">
        <f t="shared" si="8"/>
        <v>14640.200078605749</v>
      </c>
      <c r="I61" s="729">
        <f t="shared" si="8"/>
        <v>2510.1807712031523</v>
      </c>
      <c r="J61" s="729">
        <f t="shared" si="8"/>
        <v>0</v>
      </c>
      <c r="K61" s="729">
        <f t="shared" si="8"/>
        <v>129.01323163751974</v>
      </c>
      <c r="L61" s="729">
        <f t="shared" si="8"/>
        <v>0</v>
      </c>
      <c r="M61" s="729">
        <f t="shared" ca="1" si="8"/>
        <v>0</v>
      </c>
      <c r="N61" s="729">
        <f t="shared" si="8"/>
        <v>0</v>
      </c>
      <c r="O61" s="729">
        <f t="shared" ca="1" si="8"/>
        <v>0</v>
      </c>
      <c r="P61" s="729">
        <f t="shared" si="8"/>
        <v>0</v>
      </c>
      <c r="Q61" s="729">
        <f t="shared" si="8"/>
        <v>0</v>
      </c>
      <c r="R61" s="729">
        <f ca="1">R46+R52+R56</f>
        <v>49235.667671852105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0.17252920699929805</v>
      </c>
      <c r="D63" s="773">
        <f t="shared" ca="1" si="9"/>
        <v>0</v>
      </c>
      <c r="E63" s="1010">
        <f t="shared" ca="1" si="9"/>
        <v>0.20199999999999999</v>
      </c>
      <c r="F63" s="773">
        <f t="shared" si="9"/>
        <v>0.22699999999999992</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5832.5389325389879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4500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5294.1176470588243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10332.538932538988</v>
      </c>
      <c r="C78" s="744">
        <f>SUM(C72:C77)</f>
        <v>0</v>
      </c>
      <c r="D78" s="745">
        <f t="shared" ref="D78:H78" si="10">SUM(D76:D77)</f>
        <v>0</v>
      </c>
      <c r="E78" s="745">
        <f t="shared" si="10"/>
        <v>0</v>
      </c>
      <c r="F78" s="745">
        <f t="shared" si="10"/>
        <v>0</v>
      </c>
      <c r="G78" s="745">
        <f t="shared" si="10"/>
        <v>0</v>
      </c>
      <c r="H78" s="745">
        <f t="shared" si="10"/>
        <v>0</v>
      </c>
      <c r="I78" s="745">
        <f>SUM(I76:I77)</f>
        <v>0</v>
      </c>
      <c r="J78" s="745">
        <f>SUM(J76:J77)</f>
        <v>5294.1176470588243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6428.5714285714284</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7563.0252100840344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6428.5714285714284</v>
      </c>
      <c r="C90" s="744">
        <f>SUM(C87:C89)</f>
        <v>0</v>
      </c>
      <c r="D90" s="744">
        <f t="shared" ref="D90:H90" si="12">SUM(D87:D89)</f>
        <v>0</v>
      </c>
      <c r="E90" s="744">
        <f t="shared" si="12"/>
        <v>0</v>
      </c>
      <c r="F90" s="744">
        <f t="shared" si="12"/>
        <v>0</v>
      </c>
      <c r="G90" s="744">
        <f t="shared" si="12"/>
        <v>0</v>
      </c>
      <c r="H90" s="744">
        <f t="shared" si="12"/>
        <v>0</v>
      </c>
      <c r="I90" s="744">
        <f>SUM(I87:I89)</f>
        <v>0</v>
      </c>
      <c r="J90" s="744">
        <f>SUM(J87:J89)</f>
        <v>7563.0252100840344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24161.828409135815</v>
      </c>
      <c r="C4" s="461">
        <f>huishoudens!C8</f>
        <v>0</v>
      </c>
      <c r="D4" s="461">
        <f>huishoudens!D8</f>
        <v>29320.283916</v>
      </c>
      <c r="E4" s="461">
        <f>huishoudens!E8</f>
        <v>943.85738818027278</v>
      </c>
      <c r="F4" s="461">
        <f>huishoudens!F8</f>
        <v>42342.05180127154</v>
      </c>
      <c r="G4" s="461">
        <f>huishoudens!G8</f>
        <v>0</v>
      </c>
      <c r="H4" s="461">
        <f>huishoudens!H8</f>
        <v>0</v>
      </c>
      <c r="I4" s="461">
        <f>huishoudens!I8</f>
        <v>0</v>
      </c>
      <c r="J4" s="461">
        <f>huishoudens!J8</f>
        <v>0</v>
      </c>
      <c r="K4" s="461">
        <f>huishoudens!K8</f>
        <v>0</v>
      </c>
      <c r="L4" s="461">
        <f>huishoudens!L8</f>
        <v>0</v>
      </c>
      <c r="M4" s="461">
        <f>huishoudens!M8</f>
        <v>0</v>
      </c>
      <c r="N4" s="461">
        <f>huishoudens!N8</f>
        <v>11822.979548019146</v>
      </c>
      <c r="O4" s="461">
        <f>huishoudens!O8</f>
        <v>82.856666666666683</v>
      </c>
      <c r="P4" s="462">
        <f>huishoudens!P8</f>
        <v>400.4</v>
      </c>
      <c r="Q4" s="463">
        <f>SUM(B4:P4)</f>
        <v>109074.25772927345</v>
      </c>
    </row>
    <row r="5" spans="1:17">
      <c r="A5" s="460" t="s">
        <v>156</v>
      </c>
      <c r="B5" s="461">
        <f ca="1">tertiair!B16</f>
        <v>13431.085999999999</v>
      </c>
      <c r="C5" s="461">
        <f ca="1">tertiair!C16</f>
        <v>0</v>
      </c>
      <c r="D5" s="461">
        <f ca="1">tertiair!D16</f>
        <v>8228.1973400000006</v>
      </c>
      <c r="E5" s="461">
        <f>tertiair!E16</f>
        <v>91.44971789642797</v>
      </c>
      <c r="F5" s="461">
        <f ca="1">tertiair!F16</f>
        <v>2848.8419709951877</v>
      </c>
      <c r="G5" s="461">
        <f>tertiair!G16</f>
        <v>0</v>
      </c>
      <c r="H5" s="461">
        <f>tertiair!H16</f>
        <v>0</v>
      </c>
      <c r="I5" s="461">
        <f>tertiair!I16</f>
        <v>0</v>
      </c>
      <c r="J5" s="461">
        <f>tertiair!J16</f>
        <v>0</v>
      </c>
      <c r="K5" s="461">
        <f>tertiair!K16</f>
        <v>0</v>
      </c>
      <c r="L5" s="461">
        <f ca="1">tertiair!L16</f>
        <v>0</v>
      </c>
      <c r="M5" s="461">
        <f>tertiair!M16</f>
        <v>0</v>
      </c>
      <c r="N5" s="461">
        <f ca="1">tertiair!N16</f>
        <v>498.54907587921821</v>
      </c>
      <c r="O5" s="461">
        <f>tertiair!O16</f>
        <v>0</v>
      </c>
      <c r="P5" s="462">
        <f>tertiair!P16</f>
        <v>0</v>
      </c>
      <c r="Q5" s="460">
        <f t="shared" ref="Q5:Q14" ca="1" si="0">SUM(B5:P5)</f>
        <v>25098.124104770835</v>
      </c>
    </row>
    <row r="6" spans="1:17">
      <c r="A6" s="460" t="s">
        <v>194</v>
      </c>
      <c r="B6" s="461">
        <f>'openbare verlichting'!B8</f>
        <v>885.63599999999997</v>
      </c>
      <c r="C6" s="461"/>
      <c r="D6" s="461"/>
      <c r="E6" s="461"/>
      <c r="F6" s="461"/>
      <c r="G6" s="461"/>
      <c r="H6" s="461"/>
      <c r="I6" s="461"/>
      <c r="J6" s="461"/>
      <c r="K6" s="461"/>
      <c r="L6" s="461"/>
      <c r="M6" s="461"/>
      <c r="N6" s="461"/>
      <c r="O6" s="461"/>
      <c r="P6" s="462"/>
      <c r="Q6" s="460">
        <f t="shared" si="0"/>
        <v>885.63599999999997</v>
      </c>
    </row>
    <row r="7" spans="1:17">
      <c r="A7" s="460" t="s">
        <v>112</v>
      </c>
      <c r="B7" s="461">
        <f>landbouw!B8</f>
        <v>2776.9989999999998</v>
      </c>
      <c r="C7" s="461">
        <f>landbouw!C8</f>
        <v>6428.5714285714284</v>
      </c>
      <c r="D7" s="461">
        <f>landbouw!D8</f>
        <v>1552.6712300000002</v>
      </c>
      <c r="E7" s="461">
        <f>landbouw!E8</f>
        <v>26.161191230365095</v>
      </c>
      <c r="F7" s="461">
        <f>landbouw!F8</f>
        <v>9062.2693420297401</v>
      </c>
      <c r="G7" s="461">
        <f>landbouw!G8</f>
        <v>0</v>
      </c>
      <c r="H7" s="461">
        <f>landbouw!H8</f>
        <v>0</v>
      </c>
      <c r="I7" s="461">
        <f>landbouw!I8</f>
        <v>0</v>
      </c>
      <c r="J7" s="461">
        <f>landbouw!J8</f>
        <v>343.52828362054134</v>
      </c>
      <c r="K7" s="461">
        <f>landbouw!K8</f>
        <v>0</v>
      </c>
      <c r="L7" s="461">
        <f>landbouw!L8</f>
        <v>0</v>
      </c>
      <c r="M7" s="461">
        <f>landbouw!M8</f>
        <v>0</v>
      </c>
      <c r="N7" s="461">
        <f>landbouw!N8</f>
        <v>0</v>
      </c>
      <c r="O7" s="461">
        <f>landbouw!O8</f>
        <v>0</v>
      </c>
      <c r="P7" s="462">
        <f>landbouw!P8</f>
        <v>0</v>
      </c>
      <c r="Q7" s="460">
        <f t="shared" si="0"/>
        <v>20190.200475452071</v>
      </c>
    </row>
    <row r="8" spans="1:17">
      <c r="A8" s="460" t="s">
        <v>685</v>
      </c>
      <c r="B8" s="461">
        <f>industrie!B18</f>
        <v>5562.7180000000008</v>
      </c>
      <c r="C8" s="461">
        <f>industrie!C18</f>
        <v>0</v>
      </c>
      <c r="D8" s="461">
        <f>industrie!D18</f>
        <v>1250.8376760000001</v>
      </c>
      <c r="E8" s="461">
        <f>industrie!E18</f>
        <v>65.531834191456198</v>
      </c>
      <c r="F8" s="461">
        <f>industrie!F18</f>
        <v>1781.5302583266694</v>
      </c>
      <c r="G8" s="461">
        <f>industrie!G18</f>
        <v>0</v>
      </c>
      <c r="H8" s="461">
        <f>industrie!H18</f>
        <v>0</v>
      </c>
      <c r="I8" s="461">
        <f>industrie!I18</f>
        <v>0</v>
      </c>
      <c r="J8" s="461">
        <f>industrie!J18</f>
        <v>20.915873547593488</v>
      </c>
      <c r="K8" s="461">
        <f>industrie!K18</f>
        <v>0</v>
      </c>
      <c r="L8" s="461">
        <f>industrie!L18</f>
        <v>0</v>
      </c>
      <c r="M8" s="461">
        <f>industrie!M18</f>
        <v>0</v>
      </c>
      <c r="N8" s="461">
        <f>industrie!N18</f>
        <v>228.28689891938558</v>
      </c>
      <c r="O8" s="461">
        <f>industrie!O18</f>
        <v>0</v>
      </c>
      <c r="P8" s="462">
        <f>industrie!P18</f>
        <v>0</v>
      </c>
      <c r="Q8" s="460">
        <f t="shared" si="0"/>
        <v>8909.8205409851053</v>
      </c>
    </row>
    <row r="9" spans="1:17" s="466" customFormat="1">
      <c r="A9" s="464" t="s">
        <v>579</v>
      </c>
      <c r="B9" s="465">
        <f>transport!B14</f>
        <v>1.5487277275076177</v>
      </c>
      <c r="C9" s="465">
        <f>transport!C14</f>
        <v>0</v>
      </c>
      <c r="D9" s="465">
        <f>transport!D14</f>
        <v>4.5608003672734574</v>
      </c>
      <c r="E9" s="465">
        <f>transport!E14</f>
        <v>261.72642515978936</v>
      </c>
      <c r="F9" s="465">
        <f>transport!F14</f>
        <v>0</v>
      </c>
      <c r="G9" s="465">
        <f>transport!G14</f>
        <v>53671.123547610579</v>
      </c>
      <c r="H9" s="465">
        <f>transport!H14</f>
        <v>10081.047273908242</v>
      </c>
      <c r="I9" s="465">
        <f>transport!I14</f>
        <v>0</v>
      </c>
      <c r="J9" s="465">
        <f>transport!J14</f>
        <v>0</v>
      </c>
      <c r="K9" s="465">
        <f>transport!K14</f>
        <v>0</v>
      </c>
      <c r="L9" s="465">
        <f>transport!L14</f>
        <v>0</v>
      </c>
      <c r="M9" s="465">
        <f>transport!M14</f>
        <v>2851.1293475574203</v>
      </c>
      <c r="N9" s="465">
        <f>transport!N14</f>
        <v>0</v>
      </c>
      <c r="O9" s="465">
        <f>transport!O14</f>
        <v>0</v>
      </c>
      <c r="P9" s="465">
        <f>transport!P14</f>
        <v>0</v>
      </c>
      <c r="Q9" s="464">
        <f>SUM(B9:P9)</f>
        <v>66871.136122330819</v>
      </c>
    </row>
    <row r="10" spans="1:17">
      <c r="A10" s="460" t="s">
        <v>569</v>
      </c>
      <c r="B10" s="461">
        <f>transport!B54</f>
        <v>0</v>
      </c>
      <c r="C10" s="461">
        <f>transport!C54</f>
        <v>0</v>
      </c>
      <c r="D10" s="461">
        <f>transport!D54</f>
        <v>0</v>
      </c>
      <c r="E10" s="461">
        <f>transport!E54</f>
        <v>0</v>
      </c>
      <c r="F10" s="461">
        <f>transport!F54</f>
        <v>0</v>
      </c>
      <c r="G10" s="461">
        <f>transport!G54</f>
        <v>1161.0864846206882</v>
      </c>
      <c r="H10" s="461">
        <f>transport!H54</f>
        <v>0</v>
      </c>
      <c r="I10" s="461">
        <f>transport!I54</f>
        <v>0</v>
      </c>
      <c r="J10" s="461">
        <f>transport!J54</f>
        <v>0</v>
      </c>
      <c r="K10" s="461">
        <f>transport!K54</f>
        <v>0</v>
      </c>
      <c r="L10" s="461">
        <f>transport!L54</f>
        <v>0</v>
      </c>
      <c r="M10" s="461">
        <f>transport!M54</f>
        <v>50.985222871656909</v>
      </c>
      <c r="N10" s="461">
        <f>transport!N54</f>
        <v>0</v>
      </c>
      <c r="O10" s="461">
        <f>transport!O54</f>
        <v>0</v>
      </c>
      <c r="P10" s="462">
        <f>transport!P54</f>
        <v>0</v>
      </c>
      <c r="Q10" s="460">
        <f t="shared" si="0"/>
        <v>1212.0717074923452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290.84500000000003</v>
      </c>
      <c r="C14" s="468"/>
      <c r="D14" s="468">
        <f>'SEAP template'!E25</f>
        <v>1979.115</v>
      </c>
      <c r="E14" s="468"/>
      <c r="F14" s="468"/>
      <c r="G14" s="468"/>
      <c r="H14" s="468"/>
      <c r="I14" s="468"/>
      <c r="J14" s="468"/>
      <c r="K14" s="468"/>
      <c r="L14" s="468"/>
      <c r="M14" s="468"/>
      <c r="N14" s="468"/>
      <c r="O14" s="468"/>
      <c r="P14" s="469"/>
      <c r="Q14" s="460">
        <f t="shared" si="0"/>
        <v>2269.96</v>
      </c>
    </row>
    <row r="15" spans="1:17" s="473" customFormat="1">
      <c r="A15" s="470" t="s">
        <v>573</v>
      </c>
      <c r="B15" s="471">
        <f ca="1">SUM(B4:B14)</f>
        <v>47110.661136863324</v>
      </c>
      <c r="C15" s="471">
        <f t="shared" ref="C15:Q15" ca="1" si="1">SUM(C4:C14)</f>
        <v>6428.5714285714284</v>
      </c>
      <c r="D15" s="471">
        <f t="shared" ca="1" si="1"/>
        <v>42335.665962367275</v>
      </c>
      <c r="E15" s="471">
        <f t="shared" si="1"/>
        <v>1388.7265566583117</v>
      </c>
      <c r="F15" s="471">
        <f t="shared" ca="1" si="1"/>
        <v>56034.693372623129</v>
      </c>
      <c r="G15" s="471">
        <f t="shared" si="1"/>
        <v>54832.210032231269</v>
      </c>
      <c r="H15" s="471">
        <f t="shared" si="1"/>
        <v>10081.047273908242</v>
      </c>
      <c r="I15" s="471">
        <f t="shared" si="1"/>
        <v>0</v>
      </c>
      <c r="J15" s="471">
        <f t="shared" si="1"/>
        <v>364.44415716813484</v>
      </c>
      <c r="K15" s="471">
        <f t="shared" si="1"/>
        <v>0</v>
      </c>
      <c r="L15" s="471">
        <f t="shared" ca="1" si="1"/>
        <v>0</v>
      </c>
      <c r="M15" s="471">
        <f t="shared" si="1"/>
        <v>2902.114570429077</v>
      </c>
      <c r="N15" s="471">
        <f t="shared" ca="1" si="1"/>
        <v>12549.815522817749</v>
      </c>
      <c r="O15" s="471">
        <f t="shared" si="1"/>
        <v>82.856666666666683</v>
      </c>
      <c r="P15" s="471">
        <f t="shared" si="1"/>
        <v>400.4</v>
      </c>
      <c r="Q15" s="471">
        <f t="shared" ca="1" si="1"/>
        <v>234511.2066803046</v>
      </c>
    </row>
    <row r="17" spans="1:17">
      <c r="A17" s="474" t="s">
        <v>574</v>
      </c>
      <c r="B17" s="778">
        <f ca="1">huishoudens!B10</f>
        <v>0.17252920699929802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4168.6210950813129</v>
      </c>
      <c r="C22" s="461">
        <f t="shared" ref="C22:C32" ca="1" si="3">C4*$C$17</f>
        <v>0</v>
      </c>
      <c r="D22" s="461">
        <f t="shared" ref="D22:D32" si="4">D4*$D$17</f>
        <v>5922.6973510320004</v>
      </c>
      <c r="E22" s="461">
        <f t="shared" ref="E22:E32" si="5">E4*$E$17</f>
        <v>214.25562711692191</v>
      </c>
      <c r="F22" s="461">
        <f t="shared" ref="F22:F32" si="6">F4*$F$17</f>
        <v>11305.327830939503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21610.901904169739</v>
      </c>
    </row>
    <row r="23" spans="1:17">
      <c r="A23" s="460" t="s">
        <v>156</v>
      </c>
      <c r="B23" s="461">
        <f t="shared" ca="1" si="2"/>
        <v>2317.2546167193736</v>
      </c>
      <c r="C23" s="461">
        <f t="shared" ca="1" si="3"/>
        <v>0</v>
      </c>
      <c r="D23" s="461">
        <f t="shared" ca="1" si="4"/>
        <v>1662.0958626800002</v>
      </c>
      <c r="E23" s="461">
        <f t="shared" si="5"/>
        <v>20.759085962489149</v>
      </c>
      <c r="F23" s="461">
        <f t="shared" ca="1" si="6"/>
        <v>760.64080625571512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4760.7503716175779</v>
      </c>
    </row>
    <row r="24" spans="1:17">
      <c r="A24" s="460" t="s">
        <v>194</v>
      </c>
      <c r="B24" s="461">
        <f t="shared" ca="1" si="2"/>
        <v>152.79807677003029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152.79807677003029</v>
      </c>
    </row>
    <row r="25" spans="1:17">
      <c r="A25" s="460" t="s">
        <v>112</v>
      </c>
      <c r="B25" s="461">
        <f t="shared" ca="1" si="2"/>
        <v>479.11343530784359</v>
      </c>
      <c r="C25" s="461">
        <f t="shared" ca="1" si="3"/>
        <v>0</v>
      </c>
      <c r="D25" s="461">
        <f t="shared" si="4"/>
        <v>313.63958846000003</v>
      </c>
      <c r="E25" s="461">
        <f t="shared" si="5"/>
        <v>5.9385904092928765</v>
      </c>
      <c r="F25" s="461">
        <f t="shared" si="6"/>
        <v>2419.6259143219409</v>
      </c>
      <c r="G25" s="461">
        <f t="shared" si="7"/>
        <v>0</v>
      </c>
      <c r="H25" s="461">
        <f t="shared" si="8"/>
        <v>0</v>
      </c>
      <c r="I25" s="461">
        <f t="shared" si="9"/>
        <v>0</v>
      </c>
      <c r="J25" s="461">
        <f t="shared" si="10"/>
        <v>121.60901240167163</v>
      </c>
      <c r="K25" s="461">
        <f t="shared" si="11"/>
        <v>0</v>
      </c>
      <c r="L25" s="461">
        <f t="shared" si="12"/>
        <v>0</v>
      </c>
      <c r="M25" s="461">
        <f t="shared" si="13"/>
        <v>0</v>
      </c>
      <c r="N25" s="461">
        <f t="shared" si="14"/>
        <v>0</v>
      </c>
      <c r="O25" s="461">
        <f t="shared" si="15"/>
        <v>0</v>
      </c>
      <c r="P25" s="462">
        <f t="shared" si="16"/>
        <v>0</v>
      </c>
      <c r="Q25" s="460">
        <f t="shared" ca="1" si="17"/>
        <v>3339.9265409007494</v>
      </c>
    </row>
    <row r="26" spans="1:17">
      <c r="A26" s="460" t="s">
        <v>685</v>
      </c>
      <c r="B26" s="461">
        <f t="shared" ca="1" si="2"/>
        <v>959.73132530072121</v>
      </c>
      <c r="C26" s="461">
        <f t="shared" ca="1" si="3"/>
        <v>0</v>
      </c>
      <c r="D26" s="461">
        <f t="shared" si="4"/>
        <v>252.66921055200004</v>
      </c>
      <c r="E26" s="461">
        <f t="shared" si="5"/>
        <v>14.875726361460558</v>
      </c>
      <c r="F26" s="461">
        <f t="shared" si="6"/>
        <v>475.66857897322075</v>
      </c>
      <c r="G26" s="461">
        <f t="shared" si="7"/>
        <v>0</v>
      </c>
      <c r="H26" s="461">
        <f t="shared" si="8"/>
        <v>0</v>
      </c>
      <c r="I26" s="461">
        <f t="shared" si="9"/>
        <v>0</v>
      </c>
      <c r="J26" s="461">
        <f t="shared" si="10"/>
        <v>7.4042192358480943</v>
      </c>
      <c r="K26" s="461">
        <f t="shared" si="11"/>
        <v>0</v>
      </c>
      <c r="L26" s="461">
        <f t="shared" si="12"/>
        <v>0</v>
      </c>
      <c r="M26" s="461">
        <f t="shared" si="13"/>
        <v>0</v>
      </c>
      <c r="N26" s="461">
        <f t="shared" si="14"/>
        <v>0</v>
      </c>
      <c r="O26" s="461">
        <f t="shared" si="15"/>
        <v>0</v>
      </c>
      <c r="P26" s="462">
        <f t="shared" si="16"/>
        <v>0</v>
      </c>
      <c r="Q26" s="460">
        <f t="shared" ca="1" si="17"/>
        <v>1710.3490604232506</v>
      </c>
    </row>
    <row r="27" spans="1:17" s="466" customFormat="1">
      <c r="A27" s="464" t="s">
        <v>579</v>
      </c>
      <c r="B27" s="772">
        <f t="shared" ca="1" si="2"/>
        <v>0.26720076668471421</v>
      </c>
      <c r="C27" s="465">
        <f t="shared" ca="1" si="3"/>
        <v>0</v>
      </c>
      <c r="D27" s="465">
        <f t="shared" si="4"/>
        <v>0.92128167418923845</v>
      </c>
      <c r="E27" s="465">
        <f t="shared" si="5"/>
        <v>59.411898511272184</v>
      </c>
      <c r="F27" s="465">
        <f t="shared" si="6"/>
        <v>0</v>
      </c>
      <c r="G27" s="465">
        <f t="shared" si="7"/>
        <v>14330.189987212025</v>
      </c>
      <c r="H27" s="465">
        <f t="shared" si="8"/>
        <v>2510.1807712031523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16900.971139367324</v>
      </c>
    </row>
    <row r="28" spans="1:17">
      <c r="A28" s="460" t="s">
        <v>569</v>
      </c>
      <c r="B28" s="461">
        <f t="shared" ca="1" si="2"/>
        <v>0</v>
      </c>
      <c r="C28" s="461">
        <f t="shared" ca="1" si="3"/>
        <v>0</v>
      </c>
      <c r="D28" s="461">
        <f t="shared" si="4"/>
        <v>0</v>
      </c>
      <c r="E28" s="461">
        <f t="shared" si="5"/>
        <v>0</v>
      </c>
      <c r="F28" s="461">
        <f t="shared" si="6"/>
        <v>0</v>
      </c>
      <c r="G28" s="461">
        <f t="shared" si="7"/>
        <v>310.01009139372377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310.01009139372377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50.17925720971084</v>
      </c>
      <c r="C32" s="461">
        <f t="shared" ca="1" si="3"/>
        <v>0</v>
      </c>
      <c r="D32" s="461">
        <f t="shared" si="4"/>
        <v>399.78123000000005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449.96048720971089</v>
      </c>
    </row>
    <row r="33" spans="1:17" s="473" customFormat="1">
      <c r="A33" s="470" t="s">
        <v>573</v>
      </c>
      <c r="B33" s="471">
        <f ca="1">SUM(B22:B32)</f>
        <v>8127.965007155678</v>
      </c>
      <c r="C33" s="471">
        <f t="shared" ref="C33:Q33" ca="1" si="18">SUM(C22:C32)</f>
        <v>0</v>
      </c>
      <c r="D33" s="471">
        <f t="shared" ca="1" si="18"/>
        <v>8551.8045243981887</v>
      </c>
      <c r="E33" s="471">
        <f t="shared" si="18"/>
        <v>315.24092836143666</v>
      </c>
      <c r="F33" s="471">
        <f t="shared" ca="1" si="18"/>
        <v>14961.263130490379</v>
      </c>
      <c r="G33" s="471">
        <f t="shared" si="18"/>
        <v>14640.200078605749</v>
      </c>
      <c r="H33" s="471">
        <f t="shared" si="18"/>
        <v>2510.1807712031523</v>
      </c>
      <c r="I33" s="471">
        <f t="shared" si="18"/>
        <v>0</v>
      </c>
      <c r="J33" s="471">
        <f t="shared" si="18"/>
        <v>129.01323163751974</v>
      </c>
      <c r="K33" s="471">
        <f t="shared" si="18"/>
        <v>0</v>
      </c>
      <c r="L33" s="471">
        <f t="shared" ca="1" si="18"/>
        <v>0</v>
      </c>
      <c r="M33" s="471">
        <f t="shared" si="18"/>
        <v>0</v>
      </c>
      <c r="N33" s="471">
        <f t="shared" ca="1" si="18"/>
        <v>0</v>
      </c>
      <c r="O33" s="471">
        <f t="shared" si="18"/>
        <v>0</v>
      </c>
      <c r="P33" s="471">
        <f t="shared" si="18"/>
        <v>0</v>
      </c>
      <c r="Q33" s="471">
        <f t="shared" ca="1" si="18"/>
        <v>49235.667671852105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5832.5389325389879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4500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5294.1176470588243</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10332.538932538988</v>
      </c>
      <c r="C10" s="1041">
        <f>SUM(C4:C9)</f>
        <v>0</v>
      </c>
      <c r="D10" s="1041">
        <f t="shared" ref="D10:H10" si="0">SUM(D8:D9)</f>
        <v>0</v>
      </c>
      <c r="E10" s="1041">
        <f t="shared" si="0"/>
        <v>0</v>
      </c>
      <c r="F10" s="1041">
        <f t="shared" si="0"/>
        <v>0</v>
      </c>
      <c r="G10" s="1041">
        <f t="shared" si="0"/>
        <v>0</v>
      </c>
      <c r="H10" s="1041">
        <f t="shared" si="0"/>
        <v>0</v>
      </c>
      <c r="I10" s="1041">
        <f>SUM(I8:I9)</f>
        <v>0</v>
      </c>
      <c r="J10" s="1041">
        <f>SUM(J8:J9)</f>
        <v>5294.1176470588243</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0.17252920699929802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6428.5714285714284</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7563.0252100840344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6428.5714285714284</v>
      </c>
      <c r="C20" s="1041">
        <f>SUM(C17:C19)</f>
        <v>0</v>
      </c>
      <c r="D20" s="1041">
        <f t="shared" ref="D20:H20" si="2">SUM(D17:D19)</f>
        <v>0</v>
      </c>
      <c r="E20" s="1041">
        <f t="shared" si="2"/>
        <v>0</v>
      </c>
      <c r="F20" s="1041">
        <f t="shared" si="2"/>
        <v>0</v>
      </c>
      <c r="G20" s="1041">
        <f t="shared" si="2"/>
        <v>0</v>
      </c>
      <c r="H20" s="1041">
        <f t="shared" si="2"/>
        <v>0</v>
      </c>
      <c r="I20" s="1041">
        <f>SUM(I17:I19)</f>
        <v>0</v>
      </c>
      <c r="J20" s="1041">
        <f>SUM(J17:J19)</f>
        <v>7563.0252100840344</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0.17252920699929802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0.17252920699929802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0.17252920699929802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71024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4956</v>
      </c>
      <c r="C9" s="338">
        <v>5229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2184</v>
      </c>
    </row>
    <row r="15" spans="1:6">
      <c r="A15" s="1286" t="s">
        <v>184</v>
      </c>
      <c r="B15" s="335">
        <v>609</v>
      </c>
    </row>
    <row r="16" spans="1:6">
      <c r="A16" s="1286" t="s">
        <v>6</v>
      </c>
      <c r="B16" s="335">
        <v>191</v>
      </c>
    </row>
    <row r="17" spans="1:6">
      <c r="A17" s="1286" t="s">
        <v>7</v>
      </c>
      <c r="B17" s="335">
        <v>556</v>
      </c>
    </row>
    <row r="18" spans="1:6">
      <c r="A18" s="1286" t="s">
        <v>8</v>
      </c>
      <c r="B18" s="335">
        <v>573</v>
      </c>
    </row>
    <row r="19" spans="1:6">
      <c r="A19" s="1286" t="s">
        <v>9</v>
      </c>
      <c r="B19" s="335">
        <v>494</v>
      </c>
    </row>
    <row r="20" spans="1:6">
      <c r="A20" s="1286" t="s">
        <v>10</v>
      </c>
      <c r="B20" s="335">
        <v>348</v>
      </c>
    </row>
    <row r="21" spans="1:6">
      <c r="A21" s="1286" t="s">
        <v>11</v>
      </c>
      <c r="B21" s="335">
        <v>159</v>
      </c>
    </row>
    <row r="22" spans="1:6">
      <c r="A22" s="1286" t="s">
        <v>12</v>
      </c>
      <c r="B22" s="335">
        <v>3951</v>
      </c>
    </row>
    <row r="23" spans="1:6">
      <c r="A23" s="1286" t="s">
        <v>13</v>
      </c>
      <c r="B23" s="335">
        <v>0</v>
      </c>
    </row>
    <row r="24" spans="1:6">
      <c r="A24" s="1286" t="s">
        <v>14</v>
      </c>
      <c r="B24" s="335">
        <v>0</v>
      </c>
    </row>
    <row r="25" spans="1:6">
      <c r="A25" s="1286" t="s">
        <v>15</v>
      </c>
      <c r="B25" s="335">
        <v>10</v>
      </c>
    </row>
    <row r="26" spans="1:6">
      <c r="A26" s="1286" t="s">
        <v>16</v>
      </c>
      <c r="B26" s="335">
        <v>559</v>
      </c>
    </row>
    <row r="27" spans="1:6">
      <c r="A27" s="1286" t="s">
        <v>17</v>
      </c>
      <c r="B27" s="335">
        <v>10</v>
      </c>
    </row>
    <row r="28" spans="1:6" s="341" customFormat="1">
      <c r="A28" s="1287" t="s">
        <v>18</v>
      </c>
      <c r="B28" s="1287">
        <v>75850</v>
      </c>
    </row>
    <row r="29" spans="1:6">
      <c r="A29" s="1287" t="s">
        <v>942</v>
      </c>
      <c r="B29" s="1287">
        <v>49</v>
      </c>
      <c r="C29" s="341"/>
      <c r="D29" s="341"/>
      <c r="E29" s="341"/>
      <c r="F29" s="341"/>
    </row>
    <row r="30" spans="1:6">
      <c r="A30" s="1282" t="s">
        <v>943</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16332</v>
      </c>
    </row>
    <row r="39" spans="1:6">
      <c r="A39" s="1286" t="s">
        <v>30</v>
      </c>
      <c r="B39" s="1286" t="s">
        <v>31</v>
      </c>
      <c r="C39" s="335">
        <v>1863</v>
      </c>
      <c r="D39" s="335">
        <v>32505858</v>
      </c>
      <c r="E39" s="335">
        <v>4969</v>
      </c>
      <c r="F39" s="335">
        <v>20757017</v>
      </c>
    </row>
    <row r="40" spans="1:6">
      <c r="A40" s="1286" t="s">
        <v>30</v>
      </c>
      <c r="B40" s="1286" t="s">
        <v>29</v>
      </c>
      <c r="C40" s="335">
        <v>0</v>
      </c>
      <c r="D40" s="335">
        <v>0</v>
      </c>
      <c r="E40" s="335">
        <v>0</v>
      </c>
      <c r="F40" s="335">
        <v>0</v>
      </c>
    </row>
    <row r="41" spans="1:6">
      <c r="A41" s="1286" t="s">
        <v>32</v>
      </c>
      <c r="B41" s="1286" t="s">
        <v>33</v>
      </c>
      <c r="C41" s="335">
        <v>27</v>
      </c>
      <c r="D41" s="335">
        <v>728709</v>
      </c>
      <c r="E41" s="335">
        <v>88</v>
      </c>
      <c r="F41" s="335">
        <v>1459251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9</v>
      </c>
      <c r="D44" s="335">
        <v>305386</v>
      </c>
      <c r="E44" s="335">
        <v>19</v>
      </c>
      <c r="F44" s="335">
        <v>937481</v>
      </c>
    </row>
    <row r="45" spans="1:6">
      <c r="A45" s="1286" t="s">
        <v>32</v>
      </c>
      <c r="B45" s="1286" t="s">
        <v>37</v>
      </c>
      <c r="C45" s="335">
        <v>0</v>
      </c>
      <c r="D45" s="335">
        <v>0</v>
      </c>
      <c r="E45" s="335">
        <v>6</v>
      </c>
      <c r="F45" s="335">
        <v>779341</v>
      </c>
    </row>
    <row r="46" spans="1:6">
      <c r="A46" s="1286" t="s">
        <v>32</v>
      </c>
      <c r="B46" s="1286" t="s">
        <v>38</v>
      </c>
      <c r="C46" s="335">
        <v>0</v>
      </c>
      <c r="D46" s="335">
        <v>0</v>
      </c>
      <c r="E46" s="335">
        <v>0</v>
      </c>
      <c r="F46" s="335">
        <v>0</v>
      </c>
    </row>
    <row r="47" spans="1:6">
      <c r="A47" s="1286" t="s">
        <v>32</v>
      </c>
      <c r="B47" s="1286" t="s">
        <v>39</v>
      </c>
      <c r="C47" s="335">
        <v>3</v>
      </c>
      <c r="D47" s="335">
        <v>100253</v>
      </c>
      <c r="E47" s="335">
        <v>7</v>
      </c>
      <c r="F47" s="335">
        <v>221926</v>
      </c>
    </row>
    <row r="48" spans="1:6">
      <c r="A48" s="1286" t="s">
        <v>32</v>
      </c>
      <c r="B48" s="1286" t="s">
        <v>29</v>
      </c>
      <c r="C48" s="335">
        <v>5</v>
      </c>
      <c r="D48" s="335">
        <v>174882</v>
      </c>
      <c r="E48" s="335">
        <v>2</v>
      </c>
      <c r="F48" s="335">
        <v>49566</v>
      </c>
    </row>
    <row r="49" spans="1:6">
      <c r="A49" s="1286" t="s">
        <v>32</v>
      </c>
      <c r="B49" s="1286" t="s">
        <v>40</v>
      </c>
      <c r="C49" s="335">
        <v>0</v>
      </c>
      <c r="D49" s="335">
        <v>0</v>
      </c>
      <c r="E49" s="335">
        <v>0</v>
      </c>
      <c r="F49" s="335">
        <v>0</v>
      </c>
    </row>
    <row r="50" spans="1:6">
      <c r="A50" s="1286" t="s">
        <v>32</v>
      </c>
      <c r="B50" s="1286" t="s">
        <v>41</v>
      </c>
      <c r="C50" s="335">
        <v>4</v>
      </c>
      <c r="D50" s="335">
        <v>77508</v>
      </c>
      <c r="E50" s="335">
        <v>12</v>
      </c>
      <c r="F50" s="335">
        <v>2115153</v>
      </c>
    </row>
    <row r="51" spans="1:6">
      <c r="A51" s="1286" t="s">
        <v>42</v>
      </c>
      <c r="B51" s="1286" t="s">
        <v>43</v>
      </c>
      <c r="C51" s="335">
        <v>13</v>
      </c>
      <c r="D51" s="335">
        <v>1721365</v>
      </c>
      <c r="E51" s="335">
        <v>89</v>
      </c>
      <c r="F51" s="335">
        <v>2776999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87</v>
      </c>
      <c r="F54" s="335">
        <v>885636</v>
      </c>
    </row>
    <row r="55" spans="1:6">
      <c r="A55" s="1286" t="s">
        <v>46</v>
      </c>
      <c r="B55" s="1286" t="s">
        <v>29</v>
      </c>
      <c r="C55" s="335">
        <v>0</v>
      </c>
      <c r="D55" s="335">
        <v>0</v>
      </c>
      <c r="E55" s="335">
        <v>0</v>
      </c>
      <c r="F55" s="335">
        <v>0</v>
      </c>
    </row>
    <row r="56" spans="1:6">
      <c r="A56" s="1286" t="s">
        <v>48</v>
      </c>
      <c r="B56" s="1286" t="s">
        <v>29</v>
      </c>
      <c r="C56" s="335">
        <v>32</v>
      </c>
      <c r="D56" s="335">
        <v>1979115</v>
      </c>
      <c r="E56" s="335">
        <v>74</v>
      </c>
      <c r="F56" s="335">
        <v>290845</v>
      </c>
    </row>
    <row r="57" spans="1:6">
      <c r="A57" s="1286" t="s">
        <v>49</v>
      </c>
      <c r="B57" s="1286" t="s">
        <v>50</v>
      </c>
      <c r="C57" s="335">
        <v>9</v>
      </c>
      <c r="D57" s="335">
        <v>237131</v>
      </c>
      <c r="E57" s="335">
        <v>55</v>
      </c>
      <c r="F57" s="335">
        <v>789806</v>
      </c>
    </row>
    <row r="58" spans="1:6">
      <c r="A58" s="1286" t="s">
        <v>49</v>
      </c>
      <c r="B58" s="1286" t="s">
        <v>51</v>
      </c>
      <c r="C58" s="335">
        <v>14</v>
      </c>
      <c r="D58" s="335">
        <v>1939091</v>
      </c>
      <c r="E58" s="335">
        <v>31</v>
      </c>
      <c r="F58" s="335">
        <v>1105526</v>
      </c>
    </row>
    <row r="59" spans="1:6">
      <c r="A59" s="1286" t="s">
        <v>49</v>
      </c>
      <c r="B59" s="1286" t="s">
        <v>52</v>
      </c>
      <c r="C59" s="335">
        <v>46</v>
      </c>
      <c r="D59" s="335">
        <v>2081215</v>
      </c>
      <c r="E59" s="335">
        <v>158</v>
      </c>
      <c r="F59" s="335">
        <v>5886212</v>
      </c>
    </row>
    <row r="60" spans="1:6">
      <c r="A60" s="1286" t="s">
        <v>49</v>
      </c>
      <c r="B60" s="1286" t="s">
        <v>53</v>
      </c>
      <c r="C60" s="335">
        <v>20</v>
      </c>
      <c r="D60" s="335">
        <v>976482</v>
      </c>
      <c r="E60" s="335">
        <v>40</v>
      </c>
      <c r="F60" s="335">
        <v>874762</v>
      </c>
    </row>
    <row r="61" spans="1:6">
      <c r="A61" s="1286" t="s">
        <v>49</v>
      </c>
      <c r="B61" s="1286" t="s">
        <v>54</v>
      </c>
      <c r="C61" s="335">
        <v>64</v>
      </c>
      <c r="D61" s="335">
        <v>2290521</v>
      </c>
      <c r="E61" s="335">
        <v>216</v>
      </c>
      <c r="F61" s="335">
        <v>3764434</v>
      </c>
    </row>
    <row r="62" spans="1:6">
      <c r="A62" s="1286" t="s">
        <v>49</v>
      </c>
      <c r="B62" s="1286" t="s">
        <v>55</v>
      </c>
      <c r="C62" s="335">
        <v>7</v>
      </c>
      <c r="D62" s="335">
        <v>1597730</v>
      </c>
      <c r="E62" s="335">
        <v>20</v>
      </c>
      <c r="F62" s="335">
        <v>1010346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1759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30661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54522974</v>
      </c>
      <c r="E73" s="335">
        <v>95900412.44961448</v>
      </c>
    </row>
    <row r="74" spans="1:6">
      <c r="A74" s="1286" t="s">
        <v>64</v>
      </c>
      <c r="B74" s="1286" t="s">
        <v>772</v>
      </c>
      <c r="C74" s="1297" t="s">
        <v>766</v>
      </c>
      <c r="D74" s="335">
        <v>5657942.8682058481</v>
      </c>
      <c r="E74" s="335">
        <v>9735977.8653685488</v>
      </c>
    </row>
    <row r="75" spans="1:6">
      <c r="A75" s="1286" t="s">
        <v>65</v>
      </c>
      <c r="B75" s="1286" t="s">
        <v>771</v>
      </c>
      <c r="C75" s="1297" t="s">
        <v>767</v>
      </c>
      <c r="D75" s="335">
        <v>19085658</v>
      </c>
      <c r="E75" s="335">
        <v>33647978.84314312</v>
      </c>
    </row>
    <row r="76" spans="1:6">
      <c r="A76" s="1286" t="s">
        <v>65</v>
      </c>
      <c r="B76" s="1286" t="s">
        <v>772</v>
      </c>
      <c r="C76" s="1297" t="s">
        <v>768</v>
      </c>
      <c r="D76" s="335">
        <v>555236.86820584838</v>
      </c>
      <c r="E76" s="335">
        <v>1042018.637706507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318900.26358830318</v>
      </c>
      <c r="C83" s="335">
        <v>301572.61100344546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3404.8114091358166</v>
      </c>
    </row>
    <row r="92" spans="1:6">
      <c r="A92" s="1282" t="s">
        <v>69</v>
      </c>
      <c r="B92" s="338">
        <v>2427.7275234031717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593</v>
      </c>
    </row>
    <row r="98" spans="1:6">
      <c r="A98" s="1286" t="s">
        <v>72</v>
      </c>
      <c r="B98" s="335">
        <v>3</v>
      </c>
    </row>
    <row r="99" spans="1:6">
      <c r="A99" s="1286" t="s">
        <v>73</v>
      </c>
      <c r="B99" s="335">
        <v>14</v>
      </c>
    </row>
    <row r="100" spans="1:6">
      <c r="A100" s="1286" t="s">
        <v>74</v>
      </c>
      <c r="B100" s="335">
        <v>235</v>
      </c>
    </row>
    <row r="101" spans="1:6">
      <c r="A101" s="1286" t="s">
        <v>75</v>
      </c>
      <c r="B101" s="335">
        <v>54</v>
      </c>
    </row>
    <row r="102" spans="1:6">
      <c r="A102" s="1286" t="s">
        <v>76</v>
      </c>
      <c r="B102" s="335">
        <v>46</v>
      </c>
    </row>
    <row r="103" spans="1:6">
      <c r="A103" s="1286" t="s">
        <v>77</v>
      </c>
      <c r="B103" s="335">
        <v>114</v>
      </c>
    </row>
    <row r="104" spans="1:6">
      <c r="A104" s="1286" t="s">
        <v>78</v>
      </c>
      <c r="B104" s="335">
        <v>3288</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44</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47110.661136863324</v>
      </c>
      <c r="C3" s="44" t="s">
        <v>170</v>
      </c>
      <c r="D3" s="44"/>
      <c r="E3" s="157"/>
      <c r="F3" s="44"/>
      <c r="G3" s="44"/>
      <c r="H3" s="44"/>
      <c r="I3" s="44"/>
      <c r="J3" s="44"/>
      <c r="K3" s="97"/>
    </row>
    <row r="4" spans="1:11">
      <c r="A4" s="365" t="s">
        <v>171</v>
      </c>
      <c r="B4" s="50">
        <f>IF(ISERROR('SEAP template'!B78),0,'SEAP template'!B78)</f>
        <v>10332.538932538988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0.17252920699929802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6428.5714285714284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885.63599999999997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885.63599999999997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0.17252920699929802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152.79807677003029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20757.017</v>
      </c>
      <c r="C5" s="18">
        <f>IF(ISERROR('Eigen informatie GS &amp; warmtenet'!B57),0,'Eigen informatie GS &amp; warmtenet'!B57)</f>
        <v>0</v>
      </c>
      <c r="D5" s="31">
        <f>(SUM(HH_hh_gas_kWh,HH_rest_gas_kWh)/1000)*0.902</f>
        <v>29320.283916</v>
      </c>
      <c r="E5" s="18">
        <f>B46*B57</f>
        <v>943.85738818027278</v>
      </c>
      <c r="F5" s="18">
        <f>B51*B62</f>
        <v>42342.05180127154</v>
      </c>
      <c r="G5" s="19"/>
      <c r="H5" s="18"/>
      <c r="I5" s="18"/>
      <c r="J5" s="18">
        <f>B50*B61+C50*C61</f>
        <v>0</v>
      </c>
      <c r="K5" s="18"/>
      <c r="L5" s="18"/>
      <c r="M5" s="18"/>
      <c r="N5" s="18">
        <f>B48*B59+C48*C59</f>
        <v>11822.979548019146</v>
      </c>
      <c r="O5" s="18">
        <f>B69*B70*B71</f>
        <v>82.856666666666683</v>
      </c>
      <c r="P5" s="18">
        <f>B77*B78*B79/1000-B77*B78*B79/1000/B80</f>
        <v>400.4</v>
      </c>
    </row>
    <row r="6" spans="1:16">
      <c r="A6" s="17" t="s">
        <v>639</v>
      </c>
      <c r="B6" s="780">
        <f>kWh_PV_kleiner_dan_10kW</f>
        <v>3404.8114091358166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24161.828409135815</v>
      </c>
      <c r="C8" s="22">
        <f>C5</f>
        <v>0</v>
      </c>
      <c r="D8" s="22">
        <f>D5</f>
        <v>29320.283916</v>
      </c>
      <c r="E8" s="22">
        <f>E5</f>
        <v>943.85738818027278</v>
      </c>
      <c r="F8" s="22">
        <f>F5</f>
        <v>42342.05180127154</v>
      </c>
      <c r="G8" s="22"/>
      <c r="H8" s="22"/>
      <c r="I8" s="22"/>
      <c r="J8" s="22">
        <f>J5</f>
        <v>0</v>
      </c>
      <c r="K8" s="22"/>
      <c r="L8" s="22">
        <f>L5</f>
        <v>0</v>
      </c>
      <c r="M8" s="22">
        <f>M5</f>
        <v>0</v>
      </c>
      <c r="N8" s="22">
        <f>N5</f>
        <v>11822.979548019146</v>
      </c>
      <c r="O8" s="22">
        <f>O5</f>
        <v>82.856666666666683</v>
      </c>
      <c r="P8" s="22">
        <f>P5</f>
        <v>400.4</v>
      </c>
    </row>
    <row r="9" spans="1:16">
      <c r="B9" s="20"/>
      <c r="C9" s="20"/>
      <c r="D9" s="262"/>
      <c r="E9" s="20"/>
      <c r="F9" s="20"/>
      <c r="G9" s="20"/>
      <c r="H9" s="20"/>
      <c r="I9" s="20"/>
      <c r="J9" s="20"/>
      <c r="K9" s="20"/>
      <c r="L9" s="20"/>
      <c r="M9" s="20"/>
      <c r="N9" s="20"/>
      <c r="O9" s="20"/>
      <c r="P9" s="20"/>
    </row>
    <row r="10" spans="1:16">
      <c r="A10" s="25" t="s">
        <v>214</v>
      </c>
      <c r="B10" s="26">
        <f ca="1">'EF ele_warmte'!B12</f>
        <v>0.17252920699929802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4168.6210950813129</v>
      </c>
      <c r="C12" s="24">
        <f ca="1">C10*C8</f>
        <v>0</v>
      </c>
      <c r="D12" s="24">
        <f>D8*D10</f>
        <v>5922.6973510320004</v>
      </c>
      <c r="E12" s="24">
        <f>E10*E8</f>
        <v>214.25562711692191</v>
      </c>
      <c r="F12" s="24">
        <f>F10*F8</f>
        <v>11305.327830939503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593</v>
      </c>
      <c r="C18" s="169" t="s">
        <v>111</v>
      </c>
      <c r="D18" s="231"/>
      <c r="E18" s="16"/>
    </row>
    <row r="19" spans="1:7">
      <c r="A19" s="174" t="s">
        <v>72</v>
      </c>
      <c r="B19" s="38">
        <f>aantalw2001_ander</f>
        <v>3</v>
      </c>
      <c r="C19" s="169" t="s">
        <v>111</v>
      </c>
      <c r="D19" s="232"/>
      <c r="E19" s="16"/>
    </row>
    <row r="20" spans="1:7">
      <c r="A20" s="174" t="s">
        <v>73</v>
      </c>
      <c r="B20" s="38">
        <f>aantalw2001_propaan</f>
        <v>14</v>
      </c>
      <c r="C20" s="170">
        <f>IF(ISERROR(B20/SUM($B$20,$B$21,$B$22)*100),0,B20/SUM($B$20,$B$21,$B$22)*100)</f>
        <v>4.6204620462046204</v>
      </c>
      <c r="D20" s="232"/>
      <c r="E20" s="16"/>
    </row>
    <row r="21" spans="1:7">
      <c r="A21" s="174" t="s">
        <v>74</v>
      </c>
      <c r="B21" s="38">
        <f>aantalw2001_elektriciteit</f>
        <v>235</v>
      </c>
      <c r="C21" s="170">
        <f>IF(ISERROR(B21/SUM($B$20,$B$21,$B$22)*100),0,B21/SUM($B$20,$B$21,$B$22)*100)</f>
        <v>77.557755775577547</v>
      </c>
      <c r="D21" s="232"/>
      <c r="E21" s="16"/>
    </row>
    <row r="22" spans="1:7">
      <c r="A22" s="174" t="s">
        <v>75</v>
      </c>
      <c r="B22" s="38">
        <f>aantalw2001_hout</f>
        <v>54</v>
      </c>
      <c r="C22" s="170">
        <f>IF(ISERROR(B22/SUM($B$20,$B$21,$B$22)*100),0,B22/SUM($B$20,$B$21,$B$22)*100)</f>
        <v>17.82178217821782</v>
      </c>
      <c r="D22" s="232"/>
      <c r="E22" s="16"/>
    </row>
    <row r="23" spans="1:7">
      <c r="A23" s="174" t="s">
        <v>76</v>
      </c>
      <c r="B23" s="38">
        <f>aantalw2001_niet_gespec</f>
        <v>46</v>
      </c>
      <c r="C23" s="169" t="s">
        <v>111</v>
      </c>
      <c r="D23" s="231"/>
      <c r="E23" s="16"/>
    </row>
    <row r="24" spans="1:7">
      <c r="A24" s="174" t="s">
        <v>77</v>
      </c>
      <c r="B24" s="38">
        <f>aantalw2001_steenkool</f>
        <v>114</v>
      </c>
      <c r="C24" s="169" t="s">
        <v>111</v>
      </c>
      <c r="D24" s="232"/>
      <c r="E24" s="16"/>
    </row>
    <row r="25" spans="1:7">
      <c r="A25" s="174" t="s">
        <v>78</v>
      </c>
      <c r="B25" s="38">
        <f>aantalw2001_stookolie</f>
        <v>3288</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4956</v>
      </c>
      <c r="C28" s="37"/>
      <c r="D28" s="231"/>
    </row>
    <row r="29" spans="1:7" s="16" customFormat="1">
      <c r="A29" s="233" t="s">
        <v>666</v>
      </c>
      <c r="B29" s="38">
        <f>SUM(HH_hh_gas_aantal,HH_rest_gas_aantal)</f>
        <v>1863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1863</v>
      </c>
      <c r="C32" s="170">
        <f>IF(ISERROR(B32/SUM($B$32,$B$34,$B$35,$B$36,$B$38,$B$39)*100),0,B32/SUM($B$32,$B$34,$B$35,$B$36,$B$38,$B$39)*100)</f>
        <v>37.750759878419451</v>
      </c>
      <c r="D32" s="236"/>
      <c r="G32" s="16"/>
    </row>
    <row r="33" spans="1:7">
      <c r="A33" s="174" t="s">
        <v>72</v>
      </c>
      <c r="B33" s="35" t="s">
        <v>111</v>
      </c>
      <c r="C33" s="170"/>
      <c r="D33" s="236"/>
      <c r="G33" s="16"/>
    </row>
    <row r="34" spans="1:7">
      <c r="A34" s="174" t="s">
        <v>73</v>
      </c>
      <c r="B34" s="34">
        <f>IF((($B$28-$B$32-$B$39-$B$77-$B$38)*C20/100)&lt;0,0,($B$28-$B$32-$B$39-$B$77-$B$38)*C20/100)</f>
        <v>42.831683168316829</v>
      </c>
      <c r="C34" s="170">
        <f>IF(ISERROR(B34/SUM($B$32,$B$34,$B$35,$B$36,$B$38,$B$39)*100),0,B34/SUM($B$32,$B$34,$B$35,$B$36,$B$38,$B$39)*100)</f>
        <v>0.86791657889193163</v>
      </c>
      <c r="D34" s="236"/>
      <c r="G34" s="16"/>
    </row>
    <row r="35" spans="1:7">
      <c r="A35" s="174" t="s">
        <v>74</v>
      </c>
      <c r="B35" s="34">
        <f>IF((($B$28-$B$32-$B$39-$B$77-$B$38)*C21/100)&lt;0,0,($B$28-$B$32-$B$39-$B$77-$B$38)*C21/100)</f>
        <v>718.96039603960378</v>
      </c>
      <c r="C35" s="170">
        <f>IF(ISERROR(B35/SUM($B$32,$B$34,$B$35,$B$36,$B$38,$B$39)*100),0,B35/SUM($B$32,$B$34,$B$35,$B$36,$B$38,$B$39)*100)</f>
        <v>14.568599717114564</v>
      </c>
      <c r="D35" s="236"/>
      <c r="G35" s="16"/>
    </row>
    <row r="36" spans="1:7">
      <c r="A36" s="174" t="s">
        <v>75</v>
      </c>
      <c r="B36" s="34">
        <f>IF((($B$28-$B$32-$B$39-$B$77-$B$38)*C22/100)&lt;0,0,($B$28-$B$32-$B$39-$B$77-$B$38)*C22/100)</f>
        <v>165.20792079207919</v>
      </c>
      <c r="C36" s="170">
        <f>IF(ISERROR(B36/SUM($B$32,$B$34,$B$35,$B$36,$B$38,$B$39)*100),0,B36/SUM($B$32,$B$34,$B$35,$B$36,$B$38,$B$39)*100)</f>
        <v>3.3476782328688794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2145</v>
      </c>
      <c r="C39" s="170">
        <f>IF(ISERROR(B39/SUM($B$32,$B$34,$B$35,$B$36,$B$38,$B$39)*100),0,B39/SUM($B$32,$B$34,$B$35,$B$36,$B$38,$B$39)*100)</f>
        <v>43.465045592705167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1863</v>
      </c>
      <c r="C44" s="35" t="s">
        <v>111</v>
      </c>
      <c r="D44" s="177"/>
    </row>
    <row r="45" spans="1:7">
      <c r="A45" s="174" t="s">
        <v>72</v>
      </c>
      <c r="B45" s="34" t="str">
        <f t="shared" si="0"/>
        <v>-</v>
      </c>
      <c r="C45" s="35" t="s">
        <v>111</v>
      </c>
      <c r="D45" s="177"/>
    </row>
    <row r="46" spans="1:7">
      <c r="A46" s="174" t="s">
        <v>73</v>
      </c>
      <c r="B46" s="34">
        <f t="shared" si="0"/>
        <v>42.831683168316829</v>
      </c>
      <c r="C46" s="35" t="s">
        <v>111</v>
      </c>
      <c r="D46" s="177"/>
    </row>
    <row r="47" spans="1:7">
      <c r="A47" s="174" t="s">
        <v>74</v>
      </c>
      <c r="B47" s="34">
        <f t="shared" si="0"/>
        <v>718.96039603960378</v>
      </c>
      <c r="C47" s="35" t="s">
        <v>111</v>
      </c>
      <c r="D47" s="177"/>
    </row>
    <row r="48" spans="1:7">
      <c r="A48" s="174" t="s">
        <v>75</v>
      </c>
      <c r="B48" s="34">
        <f t="shared" si="0"/>
        <v>165.20792079207919</v>
      </c>
      <c r="C48" s="34">
        <f>B48*10</f>
        <v>1652.079207920792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2145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13431.085999999999</v>
      </c>
      <c r="C5" s="18">
        <f>IF(ISERROR('Eigen informatie GS &amp; warmtenet'!B58),0,'Eigen informatie GS &amp; warmtenet'!B58)</f>
        <v>0</v>
      </c>
      <c r="D5" s="31">
        <f>SUM(D6:D12)</f>
        <v>8228.1973400000006</v>
      </c>
      <c r="E5" s="18">
        <f>SUM(E6:E12)</f>
        <v>91.44971789642797</v>
      </c>
      <c r="F5" s="18">
        <f>SUM(F6:F12)</f>
        <v>2848.8419709951877</v>
      </c>
      <c r="G5" s="19"/>
      <c r="H5" s="18"/>
      <c r="I5" s="18"/>
      <c r="J5" s="18">
        <f>SUM(J6:J12)</f>
        <v>0</v>
      </c>
      <c r="K5" s="18"/>
      <c r="L5" s="18"/>
      <c r="M5" s="18"/>
      <c r="N5" s="18">
        <f>SUM(N6:N12)</f>
        <v>498.54907587921821</v>
      </c>
      <c r="O5" s="18">
        <f>B38*B39*B40</f>
        <v>0</v>
      </c>
      <c r="P5" s="18">
        <f>B46*B47*B48/1000-B46*B47*B48/1000/B49</f>
        <v>0</v>
      </c>
      <c r="R5" s="33"/>
    </row>
    <row r="6" spans="1:18">
      <c r="A6" s="33" t="s">
        <v>54</v>
      </c>
      <c r="B6" s="38">
        <f>B26</f>
        <v>3764.4340000000002</v>
      </c>
      <c r="C6" s="34"/>
      <c r="D6" s="38">
        <f>IF(ISERROR(TER_kantoor_gas_kWh/1000),0,TER_kantoor_gas_kWh/1000)*0.902</f>
        <v>2066.0499420000001</v>
      </c>
      <c r="E6" s="34">
        <f>$C$26*'E Balans VL '!I12/100/3.6*1000000</f>
        <v>6.1781991538568786</v>
      </c>
      <c r="F6" s="34">
        <f>$C$26*('E Balans VL '!L12+'E Balans VL '!N12)/100/3.6*1000000</f>
        <v>443.73819627785963</v>
      </c>
      <c r="G6" s="35"/>
      <c r="H6" s="34"/>
      <c r="I6" s="34"/>
      <c r="J6" s="34">
        <f>$C$26*('E Balans VL '!D12+'E Balans VL '!E12)/100/3.6*1000000</f>
        <v>0</v>
      </c>
      <c r="K6" s="34"/>
      <c r="L6" s="34"/>
      <c r="M6" s="34"/>
      <c r="N6" s="34">
        <f>$C$26*'E Balans VL '!Y12/100/3.6*1000000</f>
        <v>0.76058606364563741</v>
      </c>
      <c r="O6" s="34"/>
      <c r="P6" s="34"/>
      <c r="R6" s="33"/>
    </row>
    <row r="7" spans="1:18">
      <c r="A7" s="33" t="s">
        <v>53</v>
      </c>
      <c r="B7" s="38">
        <f t="shared" ref="B7:B12" si="0">B27</f>
        <v>874.76199999999994</v>
      </c>
      <c r="C7" s="34"/>
      <c r="D7" s="38">
        <f>IF(ISERROR(TER_horeca_gas_kWh/1000),0,TER_horeca_gas_kWh/1000)*0.902</f>
        <v>880.78676399999995</v>
      </c>
      <c r="E7" s="34">
        <f>$C$27*'E Balans VL '!I9/100/3.6*1000000</f>
        <v>45.393817886712903</v>
      </c>
      <c r="F7" s="34">
        <f>$C$27*('E Balans VL '!L9+'E Balans VL '!N9)/100/3.6*1000000</f>
        <v>199.62132313045308</v>
      </c>
      <c r="G7" s="35"/>
      <c r="H7" s="34"/>
      <c r="I7" s="34"/>
      <c r="J7" s="34">
        <f>$C$27*('E Balans VL '!D9+'E Balans VL '!E9)/100/3.6*1000000</f>
        <v>0</v>
      </c>
      <c r="K7" s="34"/>
      <c r="L7" s="34"/>
      <c r="M7" s="34"/>
      <c r="N7" s="34">
        <f>$C$27*'E Balans VL '!Y9/100/3.6*1000000</f>
        <v>9.2374466322824283E-2</v>
      </c>
      <c r="O7" s="34"/>
      <c r="P7" s="34"/>
      <c r="R7" s="33"/>
    </row>
    <row r="8" spans="1:18">
      <c r="A8" s="6" t="s">
        <v>52</v>
      </c>
      <c r="B8" s="38">
        <f t="shared" si="0"/>
        <v>5886.2120000000004</v>
      </c>
      <c r="C8" s="34"/>
      <c r="D8" s="38">
        <f>IF(ISERROR(TER_handel_gas_kWh/1000),0,TER_handel_gas_kWh/1000)*0.902</f>
        <v>1877.2559300000003</v>
      </c>
      <c r="E8" s="34">
        <f>$C$28*'E Balans VL '!I13/100/3.6*1000000</f>
        <v>31.697974939317895</v>
      </c>
      <c r="F8" s="34">
        <f>$C$28*('E Balans VL '!L13+'E Balans VL '!N13)/100/3.6*1000000</f>
        <v>1200.3735492659396</v>
      </c>
      <c r="G8" s="35"/>
      <c r="H8" s="34"/>
      <c r="I8" s="34"/>
      <c r="J8" s="34">
        <f>$C$28*('E Balans VL '!D13+'E Balans VL '!E13)/100/3.6*1000000</f>
        <v>0</v>
      </c>
      <c r="K8" s="34"/>
      <c r="L8" s="34"/>
      <c r="M8" s="34"/>
      <c r="N8" s="34">
        <f>$C$28*'E Balans VL '!Y13/100/3.6*1000000</f>
        <v>29.269023856500826</v>
      </c>
      <c r="O8" s="34"/>
      <c r="P8" s="34"/>
      <c r="R8" s="33"/>
    </row>
    <row r="9" spans="1:18">
      <c r="A9" s="33" t="s">
        <v>51</v>
      </c>
      <c r="B9" s="38">
        <f t="shared" si="0"/>
        <v>1105.5260000000001</v>
      </c>
      <c r="C9" s="34"/>
      <c r="D9" s="38">
        <f>IF(ISERROR(TER_gezond_gas_kWh/1000),0,TER_gezond_gas_kWh/1000)*0.902</f>
        <v>1749.060082</v>
      </c>
      <c r="E9" s="34">
        <f>$C$29*'E Balans VL '!I10/100/3.6*1000000</f>
        <v>1.0955888379896412</v>
      </c>
      <c r="F9" s="34">
        <f>$C$29*('E Balans VL '!L10+'E Balans VL '!N10)/100/3.6*1000000</f>
        <v>383.58565643555181</v>
      </c>
      <c r="G9" s="35"/>
      <c r="H9" s="34"/>
      <c r="I9" s="34"/>
      <c r="J9" s="34">
        <f>$C$29*('E Balans VL '!D10+'E Balans VL '!E10)/100/3.6*1000000</f>
        <v>0</v>
      </c>
      <c r="K9" s="34"/>
      <c r="L9" s="34"/>
      <c r="M9" s="34"/>
      <c r="N9" s="34">
        <f>$C$29*'E Balans VL '!Y10/100/3.6*1000000</f>
        <v>9.5262217707417776</v>
      </c>
      <c r="O9" s="34"/>
      <c r="P9" s="34"/>
      <c r="R9" s="33"/>
    </row>
    <row r="10" spans="1:18">
      <c r="A10" s="33" t="s">
        <v>50</v>
      </c>
      <c r="B10" s="38">
        <f t="shared" si="0"/>
        <v>789.80600000000004</v>
      </c>
      <c r="C10" s="34"/>
      <c r="D10" s="38">
        <f>IF(ISERROR(TER_ander_gas_kWh/1000),0,TER_ander_gas_kWh/1000)*0.902</f>
        <v>213.89216200000001</v>
      </c>
      <c r="E10" s="34">
        <f>$C$30*'E Balans VL '!I14/100/3.6*1000000</f>
        <v>6.461402434880851</v>
      </c>
      <c r="F10" s="34">
        <f>$C$30*('E Balans VL '!L14+'E Balans VL '!N14)/100/3.6*1000000</f>
        <v>230.90712006602004</v>
      </c>
      <c r="G10" s="35"/>
      <c r="H10" s="34"/>
      <c r="I10" s="34"/>
      <c r="J10" s="34">
        <f>$C$30*('E Balans VL '!D14+'E Balans VL '!E14)/100/3.6*1000000</f>
        <v>0</v>
      </c>
      <c r="K10" s="34"/>
      <c r="L10" s="34"/>
      <c r="M10" s="34"/>
      <c r="N10" s="34">
        <f>$C$30*'E Balans VL '!Y14/100/3.6*1000000</f>
        <v>455.61443069653211</v>
      </c>
      <c r="O10" s="34"/>
      <c r="P10" s="34"/>
      <c r="R10" s="33"/>
    </row>
    <row r="11" spans="1:18">
      <c r="A11" s="33" t="s">
        <v>55</v>
      </c>
      <c r="B11" s="38">
        <f t="shared" si="0"/>
        <v>1010.346</v>
      </c>
      <c r="C11" s="34"/>
      <c r="D11" s="38">
        <f>IF(ISERROR(TER_onderwijs_gas_kWh/1000),0,TER_onderwijs_gas_kWh/1000)*0.902</f>
        <v>1441.15246</v>
      </c>
      <c r="E11" s="34">
        <f>$C$31*'E Balans VL '!I11/100/3.6*1000000</f>
        <v>0.62273464366980358</v>
      </c>
      <c r="F11" s="34">
        <f>$C$31*('E Balans VL '!L11+'E Balans VL '!N11)/100/3.6*1000000</f>
        <v>390.61612581936356</v>
      </c>
      <c r="G11" s="35"/>
      <c r="H11" s="34"/>
      <c r="I11" s="34"/>
      <c r="J11" s="34">
        <f>$C$31*('E Balans VL '!D11+'E Balans VL '!E11)/100/3.6*1000000</f>
        <v>0</v>
      </c>
      <c r="K11" s="34"/>
      <c r="L11" s="34"/>
      <c r="M11" s="34"/>
      <c r="N11" s="34">
        <f>$C$31*'E Balans VL '!Y11/100/3.6*1000000</f>
        <v>3.2864390254750551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13431.085999999999</v>
      </c>
      <c r="C16" s="22">
        <f t="shared" ca="1" si="1"/>
        <v>0</v>
      </c>
      <c r="D16" s="22">
        <f t="shared" ca="1" si="1"/>
        <v>8228.1973400000006</v>
      </c>
      <c r="E16" s="22">
        <f t="shared" si="1"/>
        <v>91.44971789642797</v>
      </c>
      <c r="F16" s="22">
        <f t="shared" ca="1" si="1"/>
        <v>2848.8419709951877</v>
      </c>
      <c r="G16" s="22">
        <f t="shared" si="1"/>
        <v>0</v>
      </c>
      <c r="H16" s="22">
        <f t="shared" si="1"/>
        <v>0</v>
      </c>
      <c r="I16" s="22">
        <f t="shared" si="1"/>
        <v>0</v>
      </c>
      <c r="J16" s="22">
        <f t="shared" si="1"/>
        <v>0</v>
      </c>
      <c r="K16" s="22">
        <f t="shared" si="1"/>
        <v>0</v>
      </c>
      <c r="L16" s="22">
        <f t="shared" ca="1" si="1"/>
        <v>0</v>
      </c>
      <c r="M16" s="22">
        <f t="shared" si="1"/>
        <v>0</v>
      </c>
      <c r="N16" s="22">
        <f t="shared" ca="1" si="1"/>
        <v>498.54907587921821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0.17252920699929802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2317.2546167193736</v>
      </c>
      <c r="C20" s="24">
        <f t="shared" ref="C20:P20" ca="1" si="2">C16*C18</f>
        <v>0</v>
      </c>
      <c r="D20" s="24">
        <f t="shared" ca="1" si="2"/>
        <v>1662.0958626800002</v>
      </c>
      <c r="E20" s="24">
        <f t="shared" si="2"/>
        <v>20.759085962489149</v>
      </c>
      <c r="F20" s="24">
        <f t="shared" ca="1" si="2"/>
        <v>760.64080625571512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3764.4340000000002</v>
      </c>
      <c r="C26" s="40">
        <f>IF(ISERROR(B26*3.6/1000000/'E Balans VL '!Z12*100),0,B26*3.6/1000000/'E Balans VL '!Z12*100)</f>
        <v>7.9991522907516655E-2</v>
      </c>
      <c r="D26" s="240" t="s">
        <v>707</v>
      </c>
      <c r="F26" s="6"/>
    </row>
    <row r="27" spans="1:18">
      <c r="A27" s="234" t="s">
        <v>53</v>
      </c>
      <c r="B27" s="34">
        <f>IF(ISERROR(TER_horeca_ele_kWh/1000),0,TER_horeca_ele_kWh/1000)</f>
        <v>874.76199999999994</v>
      </c>
      <c r="C27" s="40">
        <f>IF(ISERROR(B27*3.6/1000000/'E Balans VL '!Z9*100),0,B27*3.6/1000000/'E Balans VL '!Z9*100)</f>
        <v>6.8850533905210648E-2</v>
      </c>
      <c r="D27" s="240" t="s">
        <v>707</v>
      </c>
      <c r="F27" s="6"/>
    </row>
    <row r="28" spans="1:18">
      <c r="A28" s="174" t="s">
        <v>52</v>
      </c>
      <c r="B28" s="34">
        <f>IF(ISERROR(TER_handel_ele_kWh/1000),0,TER_handel_ele_kWh/1000)</f>
        <v>5886.2120000000004</v>
      </c>
      <c r="C28" s="40">
        <f>IF(ISERROR(B28*3.6/1000000/'E Balans VL '!Z13*100),0,B28*3.6/1000000/'E Balans VL '!Z13*100)</f>
        <v>0.16487594829629437</v>
      </c>
      <c r="D28" s="240" t="s">
        <v>707</v>
      </c>
      <c r="F28" s="6"/>
    </row>
    <row r="29" spans="1:18">
      <c r="A29" s="234" t="s">
        <v>51</v>
      </c>
      <c r="B29" s="34">
        <f>IF(ISERROR(TER_gezond_ele_kWh/1000),0,TER_gezond_ele_kWh/1000)</f>
        <v>1105.5260000000001</v>
      </c>
      <c r="C29" s="40">
        <f>IF(ISERROR(B29*3.6/1000000/'E Balans VL '!Z10*100),0,B29*3.6/1000000/'E Balans VL '!Z10*100)</f>
        <v>0.14143020515987675</v>
      </c>
      <c r="D29" s="240" t="s">
        <v>707</v>
      </c>
      <c r="F29" s="6"/>
    </row>
    <row r="30" spans="1:18">
      <c r="A30" s="234" t="s">
        <v>50</v>
      </c>
      <c r="B30" s="34">
        <f>IF(ISERROR(TER_ander_ele_kWh/1000),0,TER_ander_ele_kWh/1000)</f>
        <v>789.80600000000004</v>
      </c>
      <c r="C30" s="40">
        <f>IF(ISERROR(B30*3.6/1000000/'E Balans VL '!Z14*100),0,B30*3.6/1000000/'E Balans VL '!Z14*100)</f>
        <v>5.9070833778388086E-2</v>
      </c>
      <c r="D30" s="240" t="s">
        <v>707</v>
      </c>
      <c r="F30" s="6"/>
    </row>
    <row r="31" spans="1:18">
      <c r="A31" s="234" t="s">
        <v>55</v>
      </c>
      <c r="B31" s="34">
        <f>IF(ISERROR(TER_onderwijs_ele_kWh/1000),0,TER_onderwijs_ele_kWh/1000)</f>
        <v>1010.346</v>
      </c>
      <c r="C31" s="40">
        <f>IF(ISERROR(B31*3.6/1000000/'E Balans VL '!Z11*100),0,B31*3.6/1000000/'E Balans VL '!Z11*100)</f>
        <v>0.21333586663259038</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5562.7180000000008</v>
      </c>
      <c r="C5" s="18">
        <f>IF(ISERROR('Eigen informatie GS &amp; warmtenet'!B59),0,'Eigen informatie GS &amp; warmtenet'!B59)</f>
        <v>0</v>
      </c>
      <c r="D5" s="31">
        <f>SUM(D6:D15)</f>
        <v>1250.8376760000001</v>
      </c>
      <c r="E5" s="18">
        <f>SUM(E6:E15)</f>
        <v>65.531834191456198</v>
      </c>
      <c r="F5" s="18">
        <f>SUM(F6:F15)</f>
        <v>1781.5302583266694</v>
      </c>
      <c r="G5" s="19"/>
      <c r="H5" s="18"/>
      <c r="I5" s="18"/>
      <c r="J5" s="18">
        <f>SUM(J6:J15)</f>
        <v>20.915873547593488</v>
      </c>
      <c r="K5" s="18"/>
      <c r="L5" s="18"/>
      <c r="M5" s="18"/>
      <c r="N5" s="18">
        <f>SUM(N6:N15)</f>
        <v>228.28689891938558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937.48099999999999</v>
      </c>
      <c r="C8" s="34"/>
      <c r="D8" s="38">
        <f>IF( ISERROR(IND_metaal_Gas_kWH/1000),0,IND_metaal_Gas_kWH/1000)*0.902</f>
        <v>275.45817200000005</v>
      </c>
      <c r="E8" s="34">
        <f>C30*'E Balans VL '!I18/100/3.6*1000000</f>
        <v>8.5374705213417545</v>
      </c>
      <c r="F8" s="34">
        <f>C30*'E Balans VL '!L18/100/3.6*1000000+C30*'E Balans VL '!N18/100/3.6*1000000</f>
        <v>123.64662454700728</v>
      </c>
      <c r="G8" s="35"/>
      <c r="H8" s="34"/>
      <c r="I8" s="34"/>
      <c r="J8" s="41">
        <f>C30*'E Balans VL '!D18/100/3.6*1000000+C30*'E Balans VL '!E18/100/3.6*1000000</f>
        <v>15.373327226602385</v>
      </c>
      <c r="K8" s="34"/>
      <c r="L8" s="34"/>
      <c r="M8" s="34"/>
      <c r="N8" s="34">
        <f>C30*'E Balans VL '!Y18/100/3.6*1000000</f>
        <v>3.2217497836280629</v>
      </c>
      <c r="O8" s="34"/>
      <c r="P8" s="34"/>
      <c r="R8" s="33"/>
    </row>
    <row r="9" spans="1:18">
      <c r="A9" s="6" t="s">
        <v>33</v>
      </c>
      <c r="B9" s="38">
        <f t="shared" si="0"/>
        <v>1459.251</v>
      </c>
      <c r="C9" s="34"/>
      <c r="D9" s="38">
        <f>IF( ISERROR(IND_andere_gas_kWh/1000),0,IND_andere_gas_kWh/1000)*0.902</f>
        <v>657.29551800000002</v>
      </c>
      <c r="E9" s="34">
        <f>C31*'E Balans VL '!I19/100/3.6*1000000</f>
        <v>8.4346888470249759</v>
      </c>
      <c r="F9" s="34">
        <f>C31*'E Balans VL '!L19/100/3.6*1000000+C31*'E Balans VL '!N19/100/3.6*1000000</f>
        <v>1160.9043868795559</v>
      </c>
      <c r="G9" s="35"/>
      <c r="H9" s="34"/>
      <c r="I9" s="34"/>
      <c r="J9" s="41">
        <f>C31*'E Balans VL '!D19/100/3.6*1000000+C31*'E Balans VL '!E19/100/3.6*1000000</f>
        <v>0.13802893569898964</v>
      </c>
      <c r="K9" s="34"/>
      <c r="L9" s="34"/>
      <c r="M9" s="34"/>
      <c r="N9" s="34">
        <f>C31*'E Balans VL '!Y19/100/3.6*1000000</f>
        <v>110.56034654373859</v>
      </c>
      <c r="O9" s="34"/>
      <c r="P9" s="34"/>
      <c r="R9" s="33"/>
    </row>
    <row r="10" spans="1:18">
      <c r="A10" s="6" t="s">
        <v>41</v>
      </c>
      <c r="B10" s="38">
        <f t="shared" si="0"/>
        <v>2115.1529999999998</v>
      </c>
      <c r="C10" s="34"/>
      <c r="D10" s="38">
        <f>IF( ISERROR(IND_voed_gas_kWh/1000),0,IND_voed_gas_kWh/1000)*0.902</f>
        <v>69.912216000000001</v>
      </c>
      <c r="E10" s="34">
        <f>C32*'E Balans VL '!I20/100/3.6*1000000</f>
        <v>20.797487550301753</v>
      </c>
      <c r="F10" s="34">
        <f>C32*'E Balans VL '!L20/100/3.6*1000000+C32*'E Balans VL '!N20/100/3.6*1000000</f>
        <v>234.91534898994274</v>
      </c>
      <c r="G10" s="35"/>
      <c r="H10" s="34"/>
      <c r="I10" s="34"/>
      <c r="J10" s="41">
        <f>C32*'E Balans VL '!D20/100/3.6*1000000+C32*'E Balans VL '!E20/100/3.6*1000000</f>
        <v>8.3367781946832482E-3</v>
      </c>
      <c r="K10" s="34"/>
      <c r="L10" s="34"/>
      <c r="M10" s="34"/>
      <c r="N10" s="34">
        <f>C32*'E Balans VL '!Y20/100/3.6*1000000</f>
        <v>31.32044056570215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779.34100000000001</v>
      </c>
      <c r="C12" s="34"/>
      <c r="D12" s="38">
        <f>IF( ISERROR(IND_min_gas_kWh/1000),0,IND_min_gas_kWh/1000)*0.902</f>
        <v>0</v>
      </c>
      <c r="E12" s="34">
        <f>C34*'E Balans VL '!I22/100/3.6*1000000</f>
        <v>19.75768118347349</v>
      </c>
      <c r="F12" s="34">
        <f>C34*'E Balans VL '!L22/100/3.6*1000000+C34*'E Balans VL '!N22/100/3.6*1000000</f>
        <v>215.64637116341189</v>
      </c>
      <c r="G12" s="35"/>
      <c r="H12" s="34"/>
      <c r="I12" s="34"/>
      <c r="J12" s="41">
        <f>C34*'E Balans VL '!D22/100/3.6*1000000+C34*'E Balans VL '!E22/100/3.6*1000000</f>
        <v>5.1469245732970492</v>
      </c>
      <c r="K12" s="34"/>
      <c r="L12" s="34"/>
      <c r="M12" s="34"/>
      <c r="N12" s="34">
        <f>C34*'E Balans VL '!Y22/100/3.6*1000000</f>
        <v>0</v>
      </c>
      <c r="O12" s="34"/>
      <c r="P12" s="34"/>
      <c r="R12" s="33"/>
    </row>
    <row r="13" spans="1:18">
      <c r="A13" s="6" t="s">
        <v>39</v>
      </c>
      <c r="B13" s="38">
        <f t="shared" si="0"/>
        <v>221.92599999999999</v>
      </c>
      <c r="C13" s="34"/>
      <c r="D13" s="38">
        <f>IF( ISERROR(IND_papier_gas_kWh/1000),0,IND_papier_gas_kWh/1000)*0.902</f>
        <v>90.428206000000003</v>
      </c>
      <c r="E13" s="34">
        <f>C35*'E Balans VL '!I23/100/3.6*1000000</f>
        <v>7.5591213318966402</v>
      </c>
      <c r="F13" s="34">
        <f>C35*'E Balans VL '!L23/100/3.6*1000000+C35*'E Balans VL '!N23/100/3.6*1000000</f>
        <v>36.656966708895723</v>
      </c>
      <c r="G13" s="35"/>
      <c r="H13" s="34"/>
      <c r="I13" s="34"/>
      <c r="J13" s="41">
        <f>C35*'E Balans VL '!D23/100/3.6*1000000+C35*'E Balans VL '!E23/100/3.6*1000000</f>
        <v>0</v>
      </c>
      <c r="K13" s="34"/>
      <c r="L13" s="34"/>
      <c r="M13" s="34"/>
      <c r="N13" s="34">
        <f>C35*'E Balans VL '!Y23/100/3.6*1000000</f>
        <v>81.662816406047867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49.566000000000003</v>
      </c>
      <c r="C15" s="34"/>
      <c r="D15" s="38">
        <f>IF( ISERROR(IND_rest_gas_kWh/1000),0,IND_rest_gas_kWh/1000)*0.902</f>
        <v>157.74356400000002</v>
      </c>
      <c r="E15" s="34">
        <f>C37*'E Balans VL '!I15/100/3.6*1000000</f>
        <v>0.44538475741759143</v>
      </c>
      <c r="F15" s="34">
        <f>C37*'E Balans VL '!L15/100/3.6*1000000+C37*'E Balans VL '!N15/100/3.6*1000000</f>
        <v>9.760560037855754</v>
      </c>
      <c r="G15" s="35"/>
      <c r="H15" s="34"/>
      <c r="I15" s="34"/>
      <c r="J15" s="41">
        <f>C37*'E Balans VL '!D15/100/3.6*1000000+C37*'E Balans VL '!E15/100/3.6*1000000</f>
        <v>0.2492560338003818</v>
      </c>
      <c r="K15" s="34"/>
      <c r="L15" s="34"/>
      <c r="M15" s="34"/>
      <c r="N15" s="34">
        <f>C37*'E Balans VL '!Y15/100/3.6*1000000</f>
        <v>1.5215456202689217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5562.7180000000008</v>
      </c>
      <c r="C18" s="22">
        <f>C5+C16</f>
        <v>0</v>
      </c>
      <c r="D18" s="22">
        <f>MAX((D5+D16),0)</f>
        <v>1250.8376760000001</v>
      </c>
      <c r="E18" s="22">
        <f>MAX((E5+E16),0)</f>
        <v>65.531834191456198</v>
      </c>
      <c r="F18" s="22">
        <f>MAX((F5+F16),0)</f>
        <v>1781.5302583266694</v>
      </c>
      <c r="G18" s="22"/>
      <c r="H18" s="22"/>
      <c r="I18" s="22"/>
      <c r="J18" s="22">
        <f>MAX((J5+J16),0)</f>
        <v>20.915873547593488</v>
      </c>
      <c r="K18" s="22"/>
      <c r="L18" s="22">
        <f>MAX((L5+L16),0)</f>
        <v>0</v>
      </c>
      <c r="M18" s="22"/>
      <c r="N18" s="22">
        <f>MAX((N5+N16),0)</f>
        <v>228.28689891938558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0.17252920699929802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959.73132530072121</v>
      </c>
      <c r="C22" s="24">
        <f ca="1">C18*C20</f>
        <v>0</v>
      </c>
      <c r="D22" s="24">
        <f>D18*D20</f>
        <v>252.66921055200004</v>
      </c>
      <c r="E22" s="24">
        <f>E18*E20</f>
        <v>14.875726361460558</v>
      </c>
      <c r="F22" s="24">
        <f>F18*F20</f>
        <v>475.66857897322075</v>
      </c>
      <c r="G22" s="24"/>
      <c r="H22" s="24"/>
      <c r="I22" s="24"/>
      <c r="J22" s="24">
        <f>J18*J20</f>
        <v>7.4042192358480943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937.48099999999999</v>
      </c>
      <c r="C30" s="40">
        <f>IF(ISERROR(B30*3.6/1000000/'E Balans VL '!Z18*100),0,B30*3.6/1000000/'E Balans VL '!Z18*100)</f>
        <v>5.2164548768338377E-2</v>
      </c>
      <c r="D30" s="240" t="s">
        <v>707</v>
      </c>
    </row>
    <row r="31" spans="1:18">
      <c r="A31" s="6" t="s">
        <v>33</v>
      </c>
      <c r="B31" s="38">
        <f>IF( ISERROR(IND_ander_ele_kWh/1000),0,IND_ander_ele_kWh/1000)</f>
        <v>1459.251</v>
      </c>
      <c r="C31" s="40">
        <f>IF(ISERROR(B31*3.6/1000000/'E Balans VL '!Z19*100),0,B31*3.6/1000000/'E Balans VL '!Z19*100)</f>
        <v>6.7836746555134844E-2</v>
      </c>
      <c r="D31" s="240" t="s">
        <v>707</v>
      </c>
    </row>
    <row r="32" spans="1:18">
      <c r="A32" s="174" t="s">
        <v>41</v>
      </c>
      <c r="B32" s="38">
        <f>IF( ISERROR(IND_voed_ele_kWh/1000),0,IND_voed_ele_kWh/1000)</f>
        <v>2115.1529999999998</v>
      </c>
      <c r="C32" s="40">
        <f>IF(ISERROR(B32*3.6/1000000/'E Balans VL '!Z20*100),0,B32*3.6/1000000/'E Balans VL '!Z20*100)</f>
        <v>7.476638681760675E-2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779.34100000000001</v>
      </c>
      <c r="C34" s="40">
        <f>IF(ISERROR(B34*3.6/1000000/'E Balans VL '!Z22*100),0,B34*3.6/1000000/'E Balans VL '!Z22*100)</f>
        <v>0.15662556432626218</v>
      </c>
      <c r="D34" s="240" t="s">
        <v>707</v>
      </c>
    </row>
    <row r="35" spans="1:5">
      <c r="A35" s="174" t="s">
        <v>39</v>
      </c>
      <c r="B35" s="38">
        <f>IF( ISERROR(IND_papier_ele_kWh/1000),0,IND_papier_ele_kWh/1000)</f>
        <v>221.92599999999999</v>
      </c>
      <c r="C35" s="40">
        <f>IF(ISERROR(B35*3.6/1000000/'E Balans VL '!Z22*100),0,B35*3.6/1000000/'E Balans VL '!Z22*100)</f>
        <v>4.4600867898224331E-2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49.566000000000003</v>
      </c>
      <c r="C37" s="40">
        <f>IF(ISERROR(B37*3.6/1000000/'E Balans VL '!Z15*100),0,B37*3.6/1000000/'E Balans VL '!Z15*100)</f>
        <v>3.7429652005396813E-4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2776.9989999999998</v>
      </c>
      <c r="C5" s="18">
        <f>'Eigen informatie GS &amp; warmtenet'!B60</f>
        <v>0</v>
      </c>
      <c r="D5" s="31">
        <f>IF(ISERROR(SUM(LB_lb_gas_kWh,LB_rest_gas_kWh)/1000),0,SUM(LB_lb_gas_kWh,LB_rest_gas_kWh)/1000)*0.902</f>
        <v>1552.6712300000002</v>
      </c>
      <c r="E5" s="18">
        <f>B17*'E Balans VL '!I25/3.6*1000000/100</f>
        <v>26.161191230365095</v>
      </c>
      <c r="F5" s="18">
        <f>B17*('E Balans VL '!L25/3.6*1000000+'E Balans VL '!N25/3.6*1000000)/100</f>
        <v>9062.2693420297401</v>
      </c>
      <c r="G5" s="19"/>
      <c r="H5" s="18"/>
      <c r="I5" s="18"/>
      <c r="J5" s="18">
        <f>('E Balans VL '!D25+'E Balans VL '!E25)/3.6*1000000*landbouw!B17/100</f>
        <v>343.52828362054134</v>
      </c>
      <c r="K5" s="18"/>
      <c r="L5" s="18">
        <f>L6*(-1)</f>
        <v>0</v>
      </c>
      <c r="M5" s="18"/>
      <c r="N5" s="18">
        <f>N6*(-1)</f>
        <v>12857.142857142859</v>
      </c>
      <c r="O5" s="18"/>
      <c r="P5" s="18"/>
      <c r="R5" s="33"/>
    </row>
    <row r="6" spans="1:18">
      <c r="A6" s="17" t="s">
        <v>502</v>
      </c>
      <c r="B6" s="18" t="s">
        <v>211</v>
      </c>
      <c r="C6" s="18">
        <f>'lokale energieproductie'!O92+'lokale energieproductie'!O61</f>
        <v>6428.5714285714284</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-12857.142857142859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2776.9989999999998</v>
      </c>
      <c r="C8" s="22">
        <f>C5+C6</f>
        <v>6428.5714285714284</v>
      </c>
      <c r="D8" s="22">
        <f>MAX((D5+D6),0)</f>
        <v>1552.6712300000002</v>
      </c>
      <c r="E8" s="22">
        <f>MAX((E5+E6),0)</f>
        <v>26.161191230365095</v>
      </c>
      <c r="F8" s="22">
        <f>MAX((F5+F6),0)</f>
        <v>9062.2693420297401</v>
      </c>
      <c r="G8" s="22"/>
      <c r="H8" s="22"/>
      <c r="I8" s="22"/>
      <c r="J8" s="22">
        <f>MAX((J5+J6),0)</f>
        <v>343.52828362054134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0.17252920699929802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479.11343530784359</v>
      </c>
      <c r="C12" s="24">
        <f ca="1">C8*C10</f>
        <v>0</v>
      </c>
      <c r="D12" s="24">
        <f>D8*D10</f>
        <v>313.63958846000003</v>
      </c>
      <c r="E12" s="24">
        <f>E8*E10</f>
        <v>5.9385904092928765</v>
      </c>
      <c r="F12" s="24">
        <f>F8*F10</f>
        <v>2419.6259143219409</v>
      </c>
      <c r="G12" s="24"/>
      <c r="H12" s="24"/>
      <c r="I12" s="24"/>
      <c r="J12" s="24">
        <f>J8*J10</f>
        <v>121.60901240167163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0.37596128957451508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150.8720612097255</v>
      </c>
      <c r="C26" s="250">
        <f>B26*'GWP N2O_CH4'!B5</f>
        <v>3168.3132854042356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39.212843829135323</v>
      </c>
      <c r="C27" s="250">
        <f>B27*'GWP N2O_CH4'!B5</f>
        <v>823.46972041184176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2.7505774939902512</v>
      </c>
      <c r="C28" s="250">
        <f>B28*'GWP N2O_CH4'!B4</f>
        <v>852.67902313697789</v>
      </c>
      <c r="D28" s="51"/>
    </row>
    <row r="29" spans="1:4">
      <c r="A29" s="42" t="s">
        <v>277</v>
      </c>
      <c r="B29" s="250">
        <f>B34*'ha_N2O bodem landbouw'!B4</f>
        <v>12.04555684144278</v>
      </c>
      <c r="C29" s="250">
        <f>B29*'GWP N2O_CH4'!B4</f>
        <v>3734.1226208472617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3.2519211498459656E-3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5.5754198190274236E-6</v>
      </c>
      <c r="C5" s="447" t="s">
        <v>211</v>
      </c>
      <c r="D5" s="432">
        <f>SUM(D6:D11)</f>
        <v>1.6418881322184446E-5</v>
      </c>
      <c r="E5" s="432">
        <f>SUM(E6:E11)</f>
        <v>9.4221513057524174E-4</v>
      </c>
      <c r="F5" s="445" t="s">
        <v>211</v>
      </c>
      <c r="G5" s="432">
        <f>SUM(G6:G11)</f>
        <v>0.19321604477139809</v>
      </c>
      <c r="H5" s="432">
        <f>SUM(H6:H11)</f>
        <v>3.6291770186069668E-2</v>
      </c>
      <c r="I5" s="447" t="s">
        <v>211</v>
      </c>
      <c r="J5" s="447" t="s">
        <v>211</v>
      </c>
      <c r="K5" s="447" t="s">
        <v>211</v>
      </c>
      <c r="L5" s="447" t="s">
        <v>211</v>
      </c>
      <c r="M5" s="432">
        <f>SUM(M6:M11)</f>
        <v>1.0264065651206713E-2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4.1297937697295736E-6</v>
      </c>
      <c r="C6" s="433"/>
      <c r="D6" s="433">
        <f>vkm_2011_GW_PW*SUMIFS(TableVerdeelsleutelVkm[CNG],TableVerdeelsleutelVkm[Voertuigtype],"Lichte voertuigen")*SUMIFS(TableECFTransport[EnergieConsumptieFactor (PJ per km)],TableECFTransport[Index],CONCATENATE($A6,"_CNG_CNG"))</f>
        <v>1.0085025547775488E-5</v>
      </c>
      <c r="E6" s="435">
        <f>vkm_2011_GW_PW*SUMIFS(TableVerdeelsleutelVkm[LPG],TableVerdeelsleutelVkm[Voertuigtype],"Lichte voertuigen")*SUMIFS(TableECFTransport[EnergieConsumptieFactor (PJ per km)],TableECFTransport[Index],CONCATENATE($A6,"_LPG_LPG"))</f>
        <v>5.9778819646169547E-4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8.641731586587191E-2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2.2647495764950062E-2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4.8841231199980815E-3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5.2604952705659153E-2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2.1224047522013673E-5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2.3435343671787115E-3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1.4456260492978502E-6</v>
      </c>
      <c r="C8" s="433"/>
      <c r="D8" s="435">
        <f>vkm_2011_NGW_PW*SUMIFS(TableVerdeelsleutelVkm[CNG],TableVerdeelsleutelVkm[Voertuigtype],"Lichte voertuigen")*SUMIFS(TableECFTransport[EnergieConsumptieFactor (PJ per km)],TableECFTransport[Index],CONCATENATE($A8,"_CNG_CNG"))</f>
        <v>6.3338557744089563E-6</v>
      </c>
      <c r="E8" s="435">
        <f>vkm_2011_NGW_PW*SUMIFS(TableVerdeelsleutelVkm[LPG],TableVerdeelsleutelVkm[Voertuigtype],"Lichte voertuigen")*SUMIFS(TableECFTransport[EnergieConsumptieFactor (PJ per km)],TableECFTransport[Index],CONCATENATE($A8,"_LPG_LPG"))</f>
        <v>3.4442693411354633E-4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4.7036775669944415E-2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1.3620536178513876E-2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2.7175830822682438E-3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7.1570005299226242E-3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2.5141950837159369E-6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3.1882508176167502E-4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1.5487277275076177</v>
      </c>
      <c r="C14" s="22"/>
      <c r="D14" s="22">
        <f t="shared" ref="D14:M14" si="0">((D5)*10^9/3600)+D12</f>
        <v>4.5608003672734574</v>
      </c>
      <c r="E14" s="22">
        <f t="shared" si="0"/>
        <v>261.72642515978936</v>
      </c>
      <c r="F14" s="22"/>
      <c r="G14" s="22">
        <f t="shared" si="0"/>
        <v>53671.123547610579</v>
      </c>
      <c r="H14" s="22">
        <f t="shared" si="0"/>
        <v>10081.047273908242</v>
      </c>
      <c r="I14" s="22"/>
      <c r="J14" s="22"/>
      <c r="K14" s="22"/>
      <c r="L14" s="22"/>
      <c r="M14" s="22">
        <f t="shared" si="0"/>
        <v>2851.1293475574203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0.17252920699929802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0.26720076668471421</v>
      </c>
      <c r="C18" s="24"/>
      <c r="D18" s="24">
        <f t="shared" ref="D18:M18" si="1">D14*D16</f>
        <v>0.92128167418923845</v>
      </c>
      <c r="E18" s="24">
        <f t="shared" si="1"/>
        <v>59.411898511272184</v>
      </c>
      <c r="F18" s="24"/>
      <c r="G18" s="24">
        <f t="shared" si="1"/>
        <v>14330.189987212025</v>
      </c>
      <c r="H18" s="24">
        <f t="shared" si="1"/>
        <v>2510.1807712031523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4.1799113446344778E-3</v>
      </c>
      <c r="H50" s="323">
        <f t="shared" si="2"/>
        <v>0</v>
      </c>
      <c r="I50" s="323">
        <f t="shared" si="2"/>
        <v>0</v>
      </c>
      <c r="J50" s="323">
        <f t="shared" si="2"/>
        <v>0</v>
      </c>
      <c r="K50" s="323">
        <f t="shared" si="2"/>
        <v>0</v>
      </c>
      <c r="L50" s="323">
        <f t="shared" si="2"/>
        <v>0</v>
      </c>
      <c r="M50" s="323">
        <f t="shared" si="2"/>
        <v>1.8354680233796487E-4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4.1799113446344778E-3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1.8354680233796487E-4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1161.0864846206882</v>
      </c>
      <c r="H54" s="22">
        <f t="shared" si="3"/>
        <v>0</v>
      </c>
      <c r="I54" s="22">
        <f t="shared" si="3"/>
        <v>0</v>
      </c>
      <c r="J54" s="22">
        <f t="shared" si="3"/>
        <v>0</v>
      </c>
      <c r="K54" s="22">
        <f t="shared" si="3"/>
        <v>0</v>
      </c>
      <c r="L54" s="22">
        <f t="shared" si="3"/>
        <v>0</v>
      </c>
      <c r="M54" s="22">
        <f t="shared" si="3"/>
        <v>50.985222871656909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0.17252920699929802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310.01009139372377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5832.5389325389879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4500</v>
      </c>
      <c r="C8" s="558">
        <f>B101</f>
        <v>0</v>
      </c>
      <c r="D8" s="991"/>
      <c r="E8" s="991">
        <f>E101</f>
        <v>0</v>
      </c>
      <c r="F8" s="992"/>
      <c r="G8" s="559"/>
      <c r="H8" s="991">
        <f>I101</f>
        <v>0</v>
      </c>
      <c r="I8" s="991">
        <f>G101+F101</f>
        <v>0</v>
      </c>
      <c r="J8" s="991">
        <f>H101+D101+C101</f>
        <v>5294.1176470588243</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10332.538932538988</v>
      </c>
      <c r="C10" s="570">
        <f t="shared" ref="C10:L10" si="0">SUM(C8:C9)</f>
        <v>0</v>
      </c>
      <c r="D10" s="570">
        <f t="shared" si="0"/>
        <v>0</v>
      </c>
      <c r="E10" s="570">
        <f t="shared" si="0"/>
        <v>0</v>
      </c>
      <c r="F10" s="570">
        <f t="shared" si="0"/>
        <v>0</v>
      </c>
      <c r="G10" s="570">
        <f t="shared" si="0"/>
        <v>0</v>
      </c>
      <c r="H10" s="570">
        <f t="shared" si="0"/>
        <v>0</v>
      </c>
      <c r="I10" s="570">
        <f t="shared" si="0"/>
        <v>0</v>
      </c>
      <c r="J10" s="570">
        <f t="shared" si="0"/>
        <v>5294.1176470588243</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6428.5714285714284</v>
      </c>
      <c r="C17" s="582">
        <f>B102</f>
        <v>0</v>
      </c>
      <c r="D17" s="583"/>
      <c r="E17" s="583">
        <f>E102</f>
        <v>0</v>
      </c>
      <c r="F17" s="584"/>
      <c r="G17" s="585"/>
      <c r="H17" s="582">
        <f>I102</f>
        <v>0</v>
      </c>
      <c r="I17" s="583">
        <f>G102+F102</f>
        <v>0</v>
      </c>
      <c r="J17" s="583">
        <f>H102+D102+C102</f>
        <v>7563.0252100840344</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6428.5714285714284</v>
      </c>
      <c r="C20" s="569">
        <f>SUM(C17:C19)</f>
        <v>0</v>
      </c>
      <c r="D20" s="569">
        <f t="shared" ref="D20:L20" si="1">SUM(D17:D19)</f>
        <v>0</v>
      </c>
      <c r="E20" s="569">
        <f t="shared" si="1"/>
        <v>0</v>
      </c>
      <c r="F20" s="569">
        <f t="shared" si="1"/>
        <v>0</v>
      </c>
      <c r="G20" s="569">
        <f t="shared" si="1"/>
        <v>0</v>
      </c>
      <c r="H20" s="569">
        <f t="shared" si="1"/>
        <v>0</v>
      </c>
      <c r="I20" s="569">
        <f t="shared" si="1"/>
        <v>0</v>
      </c>
      <c r="J20" s="569">
        <f t="shared" si="1"/>
        <v>7563.0252100840344</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71024</v>
      </c>
      <c r="C28" s="789">
        <v>3540</v>
      </c>
      <c r="D28" s="642" t="s">
        <v>946</v>
      </c>
      <c r="E28" s="641" t="s">
        <v>947</v>
      </c>
      <c r="F28" s="641" t="s">
        <v>948</v>
      </c>
      <c r="G28" s="641" t="s">
        <v>949</v>
      </c>
      <c r="H28" s="641" t="s">
        <v>950</v>
      </c>
      <c r="I28" s="641" t="s">
        <v>947</v>
      </c>
      <c r="J28" s="788">
        <v>40444</v>
      </c>
      <c r="K28" s="788">
        <v>40444</v>
      </c>
      <c r="L28" s="641" t="s">
        <v>951</v>
      </c>
      <c r="M28" s="641">
        <v>1000</v>
      </c>
      <c r="N28" s="641">
        <v>4500</v>
      </c>
      <c r="O28" s="641">
        <v>6428.5714285714284</v>
      </c>
      <c r="P28" s="641">
        <v>0</v>
      </c>
      <c r="Q28" s="641">
        <v>12857.142857142859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1000</v>
      </c>
      <c r="N58" s="599">
        <f>SUM(N28:N57)</f>
        <v>4500</v>
      </c>
      <c r="O58" s="599">
        <f t="shared" ref="O58:W58" si="2">SUM(O28:O57)</f>
        <v>6428.5714285714284</v>
      </c>
      <c r="P58" s="599">
        <f t="shared" si="2"/>
        <v>0</v>
      </c>
      <c r="Q58" s="599">
        <f t="shared" si="2"/>
        <v>12857.142857142859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1000</v>
      </c>
      <c r="N61" s="604">
        <f t="shared" si="4"/>
        <v>4500</v>
      </c>
      <c r="O61" s="604">
        <f t="shared" si="4"/>
        <v>6428.5714285714284</v>
      </c>
      <c r="P61" s="604">
        <f t="shared" si="4"/>
        <v>0</v>
      </c>
      <c r="Q61" s="604">
        <f t="shared" si="4"/>
        <v>12857.142857142859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5294.1176470588243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7563.0252100840344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2019-06-29T16:14:36Z</dcterms:modified>
</cp:coreProperties>
</file>