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F101" s="1"/>
  <c r="O9"/>
  <c r="B1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J8" s="1"/>
  <c r="D101"/>
  <c r="C10"/>
  <c r="C20"/>
  <c r="I8"/>
  <c r="I10" s="1"/>
  <c r="I17"/>
  <c r="I2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J10" i="18"/>
  <c r="J76" i="14"/>
  <c r="E8" i="56"/>
  <c r="E10" s="1"/>
  <c r="M78" i="14"/>
  <c r="M8" i="56"/>
  <c r="M10" s="1"/>
  <c r="K78" i="14"/>
  <c r="K8" i="56"/>
  <c r="K10" s="1"/>
  <c r="L90" i="14"/>
  <c r="L17" i="56"/>
  <c r="L20" s="1"/>
  <c r="G90" i="14"/>
  <c r="G18" i="56"/>
  <c r="O90" i="14"/>
  <c r="O18" i="56"/>
  <c r="O20" s="1"/>
  <c r="C77" i="14"/>
  <c r="C9" i="56" s="1"/>
  <c r="D9"/>
  <c r="D10" s="1"/>
  <c r="Q88" i="14"/>
  <c r="P18" i="56" s="1"/>
  <c r="D18"/>
  <c r="M20"/>
  <c r="L78" i="14"/>
  <c r="N20" i="56"/>
  <c r="P25" i="48"/>
  <c r="Q89" i="14"/>
  <c r="P19" i="56" s="1"/>
  <c r="I10"/>
  <c r="I20"/>
  <c r="P31" i="48"/>
  <c r="Q76" i="14"/>
  <c r="P8" i="56" s="1"/>
  <c r="L10"/>
  <c r="H20"/>
  <c r="H78" i="14"/>
  <c r="H9" i="56"/>
  <c r="H10" s="1"/>
  <c r="Q87" i="14"/>
  <c r="P17" i="56" s="1"/>
  <c r="D17"/>
  <c r="D20" s="1"/>
  <c r="O78" i="14"/>
  <c r="O9" i="56"/>
  <c r="K90" i="14"/>
  <c r="K18" i="56"/>
  <c r="K20" s="1"/>
  <c r="N78" i="14"/>
  <c r="N8" i="56"/>
  <c r="N10" s="1"/>
  <c r="G78" i="14"/>
  <c r="F78"/>
  <c r="G10" i="56"/>
  <c r="O10"/>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8"/>
  <c r="J10" s="1"/>
  <c r="J78" i="14"/>
  <c r="J90"/>
  <c r="J17" i="56"/>
  <c r="J20" s="1"/>
  <c r="C20"/>
  <c r="P20"/>
  <c r="C76" i="14"/>
  <c r="C90"/>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9"/>
  <c r="D24"/>
  <c r="D31"/>
  <c r="D32"/>
  <c r="L28"/>
  <c r="L32"/>
  <c r="L27"/>
  <c r="L24"/>
  <c r="L29"/>
  <c r="L22"/>
  <c r="L30"/>
  <c r="L31"/>
  <c r="Q10" i="14"/>
  <c r="P5" i="48"/>
  <c r="P23" s="1"/>
  <c r="K28"/>
  <c r="K32"/>
  <c r="K27"/>
  <c r="K31"/>
  <c r="K30"/>
  <c r="K25"/>
  <c r="K26"/>
  <c r="K24"/>
  <c r="K29"/>
  <c r="K22"/>
  <c r="J10" i="14"/>
  <c r="J16" s="1"/>
  <c r="J27" s="1"/>
  <c r="I5" i="48"/>
  <c r="J24"/>
  <c r="J32"/>
  <c r="J27"/>
  <c r="J30"/>
  <c r="J28"/>
  <c r="J31"/>
  <c r="J29"/>
  <c r="Q11" i="14"/>
  <c r="P4" i="48"/>
  <c r="B7"/>
  <c r="C24" i="14"/>
  <c r="C26" s="1"/>
  <c r="O4" i="48"/>
  <c r="P11" i="14"/>
  <c r="I29" i="48"/>
  <c r="I27"/>
  <c r="I32"/>
  <c r="I22"/>
  <c r="I31"/>
  <c r="I25"/>
  <c r="I26"/>
  <c r="I28"/>
  <c r="I24"/>
  <c r="I30"/>
  <c r="E11" i="14"/>
  <c r="D4" i="48"/>
  <c r="D22" s="1"/>
  <c r="H32"/>
  <c r="H25"/>
  <c r="H29"/>
  <c r="H26"/>
  <c r="H24"/>
  <c r="H22"/>
  <c r="H30"/>
  <c r="H28"/>
  <c r="H23"/>
  <c r="D11" i="14"/>
  <c r="C4" i="48"/>
  <c r="G25"/>
  <c r="G32"/>
  <c r="G29"/>
  <c r="G26"/>
  <c r="G30"/>
  <c r="G24"/>
  <c r="G22"/>
  <c r="G23"/>
  <c r="B4"/>
  <c r="C11" i="14"/>
  <c r="F32" i="48"/>
  <c r="F30"/>
  <c r="F24"/>
  <c r="F28"/>
  <c r="F31"/>
  <c r="F29"/>
  <c r="F27"/>
  <c r="N24"/>
  <c r="N32"/>
  <c r="N30"/>
  <c r="N31"/>
  <c r="N28"/>
  <c r="N27"/>
  <c r="N29"/>
  <c r="B10"/>
  <c r="C19" i="14"/>
  <c r="E32" i="48"/>
  <c r="E28"/>
  <c r="E30"/>
  <c r="E24"/>
  <c r="E29"/>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O5"/>
  <c r="O23" s="1"/>
  <c r="P10" i="14"/>
  <c r="O22" i="48"/>
  <c r="K23"/>
  <c r="K15"/>
  <c r="F4"/>
  <c r="F22" s="1"/>
  <c r="G11" i="14"/>
  <c r="H13" i="48"/>
  <c r="H31" s="1"/>
  <c r="I18" i="14"/>
  <c r="P8" i="48"/>
  <c r="P26" s="1"/>
  <c r="Q13" i="14"/>
  <c r="M32" i="48"/>
  <c r="M26"/>
  <c r="M24"/>
  <c r="M29"/>
  <c r="M25"/>
  <c r="M30"/>
  <c r="M22"/>
  <c r="M23"/>
  <c r="H18" i="14"/>
  <c r="G13" i="48"/>
  <c r="N18" i="14"/>
  <c r="M13" i="48"/>
  <c r="M31" s="1"/>
  <c r="J12" i="17"/>
  <c r="K54" i="14" s="1"/>
  <c r="K56" s="1"/>
  <c r="J7" i="48"/>
  <c r="J25" s="1"/>
  <c r="K24" i="14"/>
  <c r="K26" s="1"/>
  <c r="I23" i="48"/>
  <c r="I15"/>
  <c r="J46" i="14"/>
  <c r="J61" s="1"/>
  <c r="Q16"/>
  <c r="Q27" s="1"/>
  <c r="L63"/>
  <c r="L46"/>
  <c r="L61"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H19" i="14"/>
  <c r="G10" i="48"/>
  <c r="J4"/>
  <c r="K11" i="14"/>
  <c r="N20"/>
  <c r="M9" i="48"/>
  <c r="E7"/>
  <c r="E25" s="1"/>
  <c r="F24" i="14"/>
  <c r="F26" s="1"/>
  <c r="F20"/>
  <c r="F22" s="1"/>
  <c r="E9" i="48"/>
  <c r="E27" s="1"/>
  <c r="R18" i="14"/>
  <c r="G31" i="48"/>
  <c r="Q13"/>
  <c r="O8"/>
  <c r="O26" s="1"/>
  <c r="O33" s="1"/>
  <c r="P13" i="14"/>
  <c r="N19"/>
  <c r="M10" i="48"/>
  <c r="M28" s="1"/>
  <c r="D9"/>
  <c r="D27" s="1"/>
  <c r="E20" i="14"/>
  <c r="E22" s="1"/>
  <c r="B9" i="48"/>
  <c r="C20" i="14"/>
  <c r="E12" i="17"/>
  <c r="F54" i="14" s="1"/>
  <c r="F56" s="1"/>
  <c r="H14" i="22"/>
  <c r="D16" i="14"/>
  <c r="D27" s="1"/>
  <c r="B20" i="6" s="1"/>
  <c r="B22" s="1"/>
  <c r="C22" i="56" s="1"/>
  <c r="N22" i="14"/>
  <c r="N27" s="1"/>
  <c r="P16"/>
  <c r="P27" s="1"/>
  <c r="D18" i="22"/>
  <c r="E50" i="14" s="1"/>
  <c r="E52" s="1"/>
  <c r="Q46"/>
  <c r="Q61" s="1"/>
  <c r="Q63"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20" l="1"/>
  <c r="I22" s="1"/>
  <c r="I27" s="1"/>
  <c r="H9" i="48"/>
  <c r="G28"/>
  <c r="Q10"/>
  <c r="J22"/>
  <c r="G9"/>
  <c r="H20" i="14"/>
  <c r="H22" s="1"/>
  <c r="H27" s="1"/>
  <c r="H63" s="1"/>
  <c r="C22"/>
  <c r="M27" i="48"/>
  <c r="M33" s="1"/>
  <c r="M15"/>
  <c r="K10" i="14"/>
  <c r="J5" i="48"/>
  <c r="J23" s="1"/>
  <c r="E22"/>
  <c r="Q4"/>
  <c r="F10" i="14"/>
  <c r="E5" i="48"/>
  <c r="E23" s="1"/>
  <c r="N63" i="14"/>
  <c r="Q9" i="48"/>
  <c r="H18" i="22"/>
  <c r="I50" i="14" s="1"/>
  <c r="I52" s="1"/>
  <c r="I61" s="1"/>
  <c r="I63" s="1"/>
  <c r="R11"/>
  <c r="E46"/>
  <c r="E61" s="1"/>
  <c r="R19"/>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E8" i="48"/>
  <c r="F13" i="14"/>
  <c r="G27" i="48"/>
  <c r="G33" s="1"/>
  <c r="G15"/>
  <c r="H27"/>
  <c r="H33" s="1"/>
  <c r="H15"/>
  <c r="K13" i="14"/>
  <c r="K16" s="1"/>
  <c r="K27" s="1"/>
  <c r="K63" s="1"/>
  <c r="J8" i="48"/>
  <c r="J26" s="1"/>
  <c r="J33" s="1"/>
  <c r="F46" i="14"/>
  <c r="F61" s="1"/>
  <c r="R20"/>
  <c r="F16"/>
  <c r="F27" s="1"/>
  <c r="F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<sst xmlns="http://schemas.openxmlformats.org/spreadsheetml/2006/main" count="2492" uniqueCount="953">
  <si>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</si>
  <si>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</si>
  <si>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</si>
  <si>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</si>
  <si>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</si>
  <si>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</si>
  <si>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</si>
  <si>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</si>
  <si>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</si>
  <si>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</si>
  <si>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</si>
  <si>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</si>
  <si>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</si>
  <si>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</si>
  <si>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</si>
  <si>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</si>
  <si>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</si>
  <si>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</si>
  <si>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</si>
  <si>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</si>
  <si>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</si>
  <si>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</si>
  <si>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</si>
  <si>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</si>
  <si>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</si>
  <si>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</si>
  <si>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</si>
  <si>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</si>
  <si>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</si>
  <si>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</si>
  <si>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</si>
  <si>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</si>
  <si>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</si>
  <si>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</si>
  <si>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</si>
  <si>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</si>
  <si>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</si>
  <si>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</si>
  <si>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</si>
  <si>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</si>
  <si>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</si>
  <si>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</si>
  <si>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</si>
  <si>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</si>
  <si>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</si>
  <si>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</si>
  <si>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</si>
  <si>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</si>
  <si>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</si>
  <si>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</si>
  <si>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</si>
  <si>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</si>
  <si>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</si>
  <si>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</si>
  <si>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</si>
  <si>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</si>
  <si>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</si>
  <si>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</si>
  <si>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</si>
  <si>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</si>
  <si>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</si>
  <si>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</si>
  <si>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</si>
  <si>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</si>
  <si>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</si>
  <si>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</si>
  <si>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</si>
  <si>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</si>
  <si>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</si>
  <si>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</si>
  <si>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</si>
  <si>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</si>
  <si>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</si>
  <si>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</si>
  <si>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</si>
  <si>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</si>
  <si>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</si>
  <si>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</si>
  <si>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</si>
  <si>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</si>
  <si>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</si>
  <si>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</si>
  <si>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</si>
  <si>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</si>
  <si>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</si>
  <si>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</si>
  <si>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</si>
  <si>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</si>
  <si>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</si>
  <si>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</si>
  <si>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</si>
  <si>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</si>
  <si>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</si>
  <si>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</si>
  <si>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</si>
  <si>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</si>
  <si>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</si>
  <si>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</si>
  <si>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</si>
  <si>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</si>
  <si>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</si>
  <si>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</si>
  <si>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</si>
  <si>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</si>
  <si>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</si>
  <si>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</si>
  <si>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</si>
  <si>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</si>
  <si>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</si>
  <si>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</si>
  <si>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</si>
  <si>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</si>
  <si>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</si>
  <si>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</si>
  <si>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</si>
  <si>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</si>
  <si>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</si>
  <si>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</si>
  <si>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</si>
  <si>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</si>
  <si>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</si>
  <si>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</si>
  <si>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</si>
  <si>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</si>
  <si>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</si>
  <si>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</si>
  <si>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</si>
  <si>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</si>
  <si>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</si>
  <si>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</si>
  <si>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</si>
  <si>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</si>
  <si>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</si>
  <si>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</si>
  <si>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</si>
  <si>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</si>
  <si>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</si>
  <si>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</si>
  <si>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</si>
  <si>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</si>
  <si>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</si>
  <si>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</si>
  <si>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</si>
  <si>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</si>
  <si>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</si>
  <si>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</si>
  <si>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</si>
  <si>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</si>
  <si>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</si>
  <si>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</si>
  <si>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</si>
  <si>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</si>
  <si>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</si>
  <si>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</si>
  <si>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</si>
  <si>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</si>
  <si>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</si>
  <si>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</si>
  <si>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</si>
  <si>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</si>
  <si>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</si>
  <si>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</si>
  <si>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</si>
  <si>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</si>
  <si>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</si>
  <si>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</si>
  <si>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</si>
  <si>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</si>
  <si>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</si>
  <si>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</si>
  <si>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</si>
  <si>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</si>
  <si>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</si>
  <si>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</si>
  <si>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</si>
  <si>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</si>
  <si>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</si>
  <si>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</si>
  <si>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</si>
  <si>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</si>
  <si>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</si>
  <si>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</si>
  <si>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</si>
  <si>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</si>
  <si>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</si>
  <si>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</si>
  <si>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</si>
  <si>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</si>
  <si>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</si>
  <si>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</si>
  <si>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</si>
  <si>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</si>
  <si>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</si>
  <si>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</si>
  <si>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</si>
  <si>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</si>
  <si>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</si>
  <si>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</si>
  <si>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</si>
  <si>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</si>
  <si>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</si>
  <si>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</si>
  <si>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</si>
  <si>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</si>
  <si>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</si>
  <si>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</si>
  <si>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</si>
  <si>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</si>
  <si>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</si>
  <si>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</si>
  <si>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</si>
  <si>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</si>
  <si>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</si>
  <si>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</si>
  <si>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</si>
  <si>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</si>
  <si>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</si>
  <si>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</si>
  <si>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</si>
  <si>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</si>
  <si>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</si>
  <si>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</si>
  <si>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</si>
  <si>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</si>
  <si>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</si>
  <si>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</si>
  <si>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</si>
  <si>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</si>
  <si>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</si>
  <si>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</si>
  <si>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</si>
  <si>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</si>
  <si>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</si>
  <si>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</si>
  <si>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</si>
  <si>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</si>
  <si>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</si>
  <si>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</si>
  <si>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</si>
  <si>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</si>
  <si>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</si>
  <si>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</si>
  <si>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</si>
  <si>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</si>
  <si>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</si>
  <si>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</si>
  <si>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</si>
  <si>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</si>
  <si>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</si>
  <si>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</si>
  <si>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</si>
  <si>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</si>
  <si>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</si>
  <si>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</si>
  <si>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</si>
  <si>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</si>
  <si>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</si>
  <si>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</si>
  <si>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</si>
  <si>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</si>
  <si>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</si>
  <si>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</si>
  <si>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</si>
  <si>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</si>
  <si>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</si>
  <si>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</si>
  <si>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</si>
  <si>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</si>
  <si>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</si>
  <si>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</si>
  <si>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</si>
  <si>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</si>
  <si>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</si>
  <si>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</si>
  <si>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</si>
  <si>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</si>
  <si>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</si>
  <si>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</si>
  <si>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</si>
  <si>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</si>
  <si>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</si>
  <si>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</si>
  <si>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</si>
  <si>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</si>
  <si>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</si>
  <si>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</si>
  <si>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</si>
  <si>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</si>
  <si>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</si>
  <si>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</si>
  <si>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</si>
  <si>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</si>
  <si>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</si>
  <si>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</si>
  <si>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</si>
  <si>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</si>
  <si>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</si>
  <si>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</si>
  <si>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</si>
  <si>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</si>
  <si>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</si>
  <si>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</si>
  <si>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</si>
  <si>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</si>
  <si>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</si>
  <si>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</si>
  <si>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</si>
  <si>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</si>
  <si>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</si>
  <si>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</si>
  <si>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</si>
  <si>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</si>
  <si>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</si>
  <si>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</si>
  <si>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</si>
  <si>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</si>
  <si>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</si>
  <si>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</si>
  <si>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</si>
  <si>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</si>
  <si>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</si>
  <si>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</si>
  <si>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</si>
  <si>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</si>
  <si>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</si>
  <si>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</si>
  <si>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</si>
  <si>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</si>
  <si>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</si>
  <si>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</si>
  <si>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</si>
  <si>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</si>
  <si>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</si>
  <si>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</si>
  <si>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</si>
  <si>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</si>
  <si>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</si>
  <si>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</si>
  <si>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</si>
  <si>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</si>
  <si>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</si>
  <si>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</si>
  <si>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</si>
  <si>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</si>
  <si>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</si>
  <si>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</si>
  <si>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</si>
  <si>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</si>
  <si>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</si>
  <si>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</si>
  <si>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</si>
  <si>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</si>
  <si>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</si>
  <si>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</si>
  <si>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</si>
  <si>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</si>
  <si>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</si>
  <si>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</si>
  <si>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</si>
  <si>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</si>
  <si>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</si>
  <si>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</si>
  <si>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</si>
  <si>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</si>
  <si>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</si>
  <si>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</si>
  <si>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</si>
  <si>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</si>
  <si>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</si>
  <si>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</si>
  <si>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</si>
  <si>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</si>
  <si>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</si>
  <si>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</si>
  <si>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</si>
  <si>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</si>
  <si>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</si>
  <si>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</si>
  <si>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</si>
  <si>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</si>
  <si>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</si>
  <si>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</si>
  <si>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</si>
  <si>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</si>
  <si>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</si>
  <si>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</si>
  <si>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</si>
  <si>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</si>
  <si>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</si>
  <si>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</si>
  <si>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</si>
  <si>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</si>
  <si>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</si>
  <si>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</si>
  <si>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</si>
  <si>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</si>
  <si>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</si>
  <si>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</si>
  <si>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</si>
  <si>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</si>
  <si>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</si>
  <si>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</si>
  <si>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</si>
  <si>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</si>
  <si>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</si>
  <si>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</si>
  <si>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</si>
  <si>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</si>
  <si>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</si>
  <si>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</si>
  <si>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</si>
  <si>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</si>
  <si>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</si>
  <si>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</si>
  <si>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</si>
  <si>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</si>
  <si>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</si>
  <si>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</si>
  <si>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</si>
  <si>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</si>
  <si>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</si>
  <si>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</si>
  <si>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</si>
  <si>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</si>
  <si>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</si>
  <si>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</si>
  <si>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</si>
  <si>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</si>
  <si>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</si>
  <si>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</si>
  <si>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</si>
  <si>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</si>
  <si>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</si>
  <si>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</si>
  <si>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</si>
  <si>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</si>
  <si>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</si>
  <si>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</si>
  <si>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</si>
  <si>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</si>
  <si>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</si>
  <si>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</si>
  <si>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</si>
  <si>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</si>
  <si>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</si>
  <si>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</si>
  <si>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</si>
  <si>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</si>
  <si>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</si>
  <si>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</si>
  <si>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</si>
  <si>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</si>
  <si>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</si>
  <si>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</si>
  <si>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</si>
  <si>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</si>
  <si>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</si>
  <si>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</si>
  <si>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</si>
  <si>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</si>
  <si>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</si>
  <si>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</si>
  <si>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</si>
  <si>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</si>
  <si>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</si>
  <si>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</si>
  <si>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</si>
  <si>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</si>
  <si>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</si>
  <si>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</si>
  <si>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</si>
  <si>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</si>
  <si>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</si>
  <si>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</si>
  <si>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</si>
  <si>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</si>
  <si>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</si>
  <si>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</si>
  <si>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</si>
  <si>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</si>
  <si>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</si>
  <si>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</si>
  <si>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</si>
  <si>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</si>
  <si>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</si>
  <si>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</si>
  <si>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</si>
  <si>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</si>
  <si>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</si>
  <si>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</si>
  <si>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</si>
  <si>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</si>
  <si>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</si>
  <si>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</si>
  <si>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</si>
  <si>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</si>
  <si>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</si>
  <si>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</si>
  <si>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</si>
  <si>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</si>
  <si>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</si>
  <si>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</si>
  <si>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</si>
  <si>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</si>
  <si>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</si>
  <si>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</si>
  <si>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</si>
  <si>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</si>
  <si>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</si>
  <si>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</si>
  <si>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</si>
  <si>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</si>
  <si>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</si>
  <si>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</si>
  <si>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</si>
  <si>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</si>
  <si>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</si>
  <si>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</si>
  <si>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</si>
  <si>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</si>
  <si>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</si>
  <si>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</si>
  <si>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</si>
  <si>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</si>
  <si>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</si>
  <si>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</si>
  <si>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</si>
  <si>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</si>
  <si>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</si>
  <si>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</si>
  <si>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</si>
  <si>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</si>
  <si>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</si>
  <si>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</si>
  <si>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</si>
  <si>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</si>
  <si>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</si>
  <si>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</si>
  <si>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</si>
  <si>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</si>
  <si>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</si>
  <si>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</si>
  <si>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</si>
  <si>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</si>
  <si>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</si>
  <si>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</si>
  <si>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</si>
  <si>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</si>
  <si>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</si>
  <si>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</si>
  <si>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</si>
  <si>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</si>
  <si>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</si>
  <si>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</si>
  <si>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</si>
  <si>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</si>
  <si>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</si>
  <si>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</si>
  <si>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</si>
  <si>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</si>
  <si>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</si>
  <si>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</si>
  <si>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</si>
  <si>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</si>
  <si>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</si>
  <si>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</si>
  <si>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</si>
  <si>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</si>
  <si>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</si>
  <si>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</si>
  <si>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</si>
  <si>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</si>
  <si>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</si>
  <si>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</si>
  <si>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</si>
  <si>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</si>
  <si>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</si>
  <si>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</si>
  <si>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</si>
  <si>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</si>
  <si>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</si>
  <si>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</si>
  <si>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</si>
  <si>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</si>
  <si>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</si>
  <si>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</si>
  <si>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</si>
  <si>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</si>
  <si>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</si>
  <si>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</si>
  <si>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</si>
  <si>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</si>
  <si>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</si>
  <si>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</si>
  <si>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</si>
  <si>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</si>
  <si>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</si>
  <si>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</si>
  <si>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</si>
  <si>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</si>
  <si>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</si>
  <si>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</si>
  <si>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</si>
  <si>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</si>
  <si>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</si>
  <si>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</si>
  <si>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</si>
  <si>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</si>
  <si>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</si>
  <si>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</si>
  <si>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</si>
  <si>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</si>
  <si>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</si>
  <si>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</si>
  <si>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</si>
  <si>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</si>
  <si>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</si>
  <si>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</si>
  <si>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</si>
  <si>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</si>
  <si>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</si>
  <si>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</si>
  <si>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</si>
  <si>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</si>
  <si>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</si>
  <si>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</si>
  <si>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</si>
  <si>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</si>
  <si>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</si>
  <si>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</si>
  <si>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</si>
  <si>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</si>
  <si>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</si>
  <si>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</si>
  <si>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</si>
  <si>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</si>
  <si>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</si>
  <si>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</si>
  <si>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</si>
  <si>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</si>
  <si>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</si>
  <si>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</si>
  <si>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</si>
  <si>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</si>
  <si>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</si>
  <si>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</si>
  <si>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</si>
  <si>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</si>
  <si>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</si>
  <si>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</si>
  <si>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</si>
  <si>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</si>
  <si>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</si>
  <si>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</si>
  <si>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</si>
  <si>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</si>
  <si>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</si>
  <si>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</si>
  <si>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</si>
  <si>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</si>
  <si>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</si>
  <si>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</si>
  <si>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</si>
  <si>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</si>
  <si>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</si>
  <si>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</si>
  <si>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</si>
  <si>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</si>
  <si>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</si>
  <si>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</si>
  <si>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</si>
  <si>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</si>
  <si>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</si>
  <si>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</si>
  <si>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</si>
  <si>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</si>
  <si>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</si>
  <si>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</si>
  <si>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</si>
  <si>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</si>
  <si>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</si>
  <si>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</si>
  <si>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</si>
  <si>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</si>
  <si>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</si>
  <si>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</si>
  <si>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</si>
  <si>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</si>
  <si>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</si>
  <si>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</si>
  <si>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</si>
  <si>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</si>
  <si>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</si>
  <si>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</si>
  <si>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</si>
  <si>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</si>
  <si>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</si>
  <si>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</si>
  <si>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</si>
  <si>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</si>
  <si>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</si>
  <si>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</si>
  <si>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</si>
  <si>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</si>
  <si>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</si>
  <si>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</si>
  <si>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</si>
  <si>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</si>
  <si>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</si>
  <si>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</si>
  <si>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</si>
  <si>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</si>
  <si>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</si>
  <si>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</si>
  <si>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</si>
  <si>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</si>
  <si>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</si>
  <si>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</si>
  <si>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</si>
  <si>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</si>
  <si>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</si>
  <si>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</si>
  <si>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</si>
  <si>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</si>
  <si>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</si>
  <si>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</si>
  <si>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</si>
  <si>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</si>
  <si>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</si>
  <si>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</si>
  <si>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</si>
  <si>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</si>
  <si>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</si>
  <si>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</si>
  <si>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</si>
  <si>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</si>
  <si>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</si>
  <si>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</si>
  <si>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</si>
  <si>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</si>
  <si>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</si>
  <si>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</si>
  <si>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</si>
  <si>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</si>
  <si>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</si>
  <si>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</si>
  <si>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</si>
  <si>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</si>
  <si>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</si>
  <si>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</si>
  <si>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</si>
  <si>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</si>
  <si>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</si>
  <si>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</si>
  <si>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</si>
  <si>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</si>
  <si>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</si>
  <si>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</si>
  <si>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</si>
  <si>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</si>
  <si>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</si>
  <si>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</si>
  <si>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</si>
  <si>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</si>
  <si>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</si>
  <si>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</si>
  <si>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</si>
  <si>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</si>
  <si>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</si>
  <si>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</si>
  <si>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</si>
  <si>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</si>
  <si>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</si>
  <si>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</si>
  <si>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</si>
  <si>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</si>
  <si>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</si>
  <si>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</si>
  <si>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</si>
  <si>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</si>
  <si>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</si>
  <si>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</si>
  <si>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</si>
  <si>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</si>
  <si>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</si>
  <si>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</si>
  <si>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</si>
  <si>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</si>
  <si>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</si>
  <si>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</si>
  <si>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</si>
  <si>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</si>
  <si>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</si>
  <si>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</si>
  <si>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</si>
  <si>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</si>
  <si>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</si>
  <si>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</si>
  <si>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</si>
  <si>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</si>
  <si>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</si>
  <si>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</si>
  <si>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</si>
  <si>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</si>
  <si>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</si>
  <si>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</si>
  <si>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</si>
  <si>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</si>
  <si>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</si>
  <si>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</si>
  <si>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</si>
  <si>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</si>
  <si>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</si>
  <si>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</si>
  <si>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</si>
  <si>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</si>
  <si>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</si>
  <si>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</si>
  <si>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</si>
  <si>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</si>
  <si>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</si>
  <si>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</si>
  <si>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</si>
  <si>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</si>
  <si>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</si>
  <si>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</si>
  <si>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</si>
  <si>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</si>
  <si>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</si>
  <si>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</si>
  <si>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</si>
  <si>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</si>
  <si>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</si>
  <si>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</si>
  <si>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</si>
  <si>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</si>
  <si>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</si>
  <si>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</si>
  <si>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</si>
  <si>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</si>
  <si>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</si>
  <si>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</si>
  <si>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</si>
  <si>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</si>
  <si>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</si>
  <si>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</si>
  <si>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</si>
  <si>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</si>
  <si>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</si>
  <si>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</si>
  <si>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</si>
  <si>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</si>
  <si>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</si>
  <si>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</si>
  <si>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</si>
  <si>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</si>
  <si>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</si>
  <si>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</si>
  <si>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</si>
  <si>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</si>
  <si>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</si>
  <si>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</si>
  <si>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</si>
  <si>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</si>
  <si>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</si>
  <si>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</si>
  <si>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</si>
  <si>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</si>
  <si>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</si>
  <si>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</si>
  <si>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</si>
  <si>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</si>
  <si>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</si>
  <si>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</si>
  <si>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</si>
  <si>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</si>
  <si>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</si>
  <si>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</si>
  <si>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</si>
  <si>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</si>
  <si>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</si>
  <si>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</si>
  <si>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</si>
  <si>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</si>
  <si>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</si>
  <si>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</si>
  <si>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</si>
  <si>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</si>
  <si>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</si>
  <si>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</si>
  <si>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</si>
  <si>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</si>
  <si>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</si>
  <si>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</si>
  <si>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</si>
  <si>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</si>
  <si>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</si>
  <si>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</si>
  <si>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</si>
  <si>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</si>
  <si>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</si>
  <si>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</si>
  <si>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</si>
  <si>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</si>
  <si>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</si>
  <si>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</si>
  <si>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</si>
  <si>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</si>
  <si>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</si>
  <si>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</si>
  <si>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</si>
  <si>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</si>
  <si>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</si>
  <si>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</si>
  <si>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</si>
  <si>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</si>
  <si>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</si>
  <si>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</si>
  <si>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</si>
  <si>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</si>
  <si>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</si>
  <si>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</si>
  <si>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</si>
  <si>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</si>
  <si>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</si>
  <si>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</si>
  <si>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</si>
  <si>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</si>
  <si>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</si>
  <si>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</si>
  <si>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</si>
  <si>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</si>
  <si>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</si>
  <si>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</si>
  <si>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</si>
  <si>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</si>
  <si>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</si>
  <si>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</si>
  <si>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</si>
  <si>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</si>
  <si>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46014</t>
  </si>
  <si>
    <t>LOKEREN</t>
  </si>
  <si>
    <t>Paarden&amp;pony's 200 - 600 kg</t>
  </si>
  <si>
    <t>Paarden&amp;pony's &lt; 200 kg</t>
  </si>
  <si>
    <t>op basis van VEA (maart 2018) en Inventaris Hernieuwbare Energiebronnen (juni 2018)</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</si>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</sst>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46014</v>
      </c>
      <c r="B6" s="397"/>
      <c r="C6" s="398"/>
    </row>
    <row r="7" spans="1:7" s="395" customFormat="1" ht="15.75" customHeight="1">
      <c r="A7" s="399" t="str">
        <f>txtMunicipality</f>
        <v>LOKEREN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0.20918786386321289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0.20918786386321289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16022</v>
      </c>
      <c r="C9" s="338">
        <v>17109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3532</v>
      </c>
    </row>
    <row r="15" spans="1:6">
      <c r="A15" s="1286" t="s">
        <v>184</v>
      </c>
      <c r="B15" s="335">
        <v>50</v>
      </c>
    </row>
    <row r="16" spans="1:6">
      <c r="A16" s="1286" t="s">
        <v>6</v>
      </c>
      <c r="B16" s="335">
        <v>2088</v>
      </c>
    </row>
    <row r="17" spans="1:6">
      <c r="A17" s="1286" t="s">
        <v>7</v>
      </c>
      <c r="B17" s="335">
        <v>1283</v>
      </c>
    </row>
    <row r="18" spans="1:6">
      <c r="A18" s="1286" t="s">
        <v>8</v>
      </c>
      <c r="B18" s="335">
        <v>2345</v>
      </c>
    </row>
    <row r="19" spans="1:6">
      <c r="A19" s="1286" t="s">
        <v>9</v>
      </c>
      <c r="B19" s="335">
        <v>3176</v>
      </c>
    </row>
    <row r="20" spans="1:6">
      <c r="A20" s="1286" t="s">
        <v>10</v>
      </c>
      <c r="B20" s="335">
        <v>2275</v>
      </c>
    </row>
    <row r="21" spans="1:6">
      <c r="A21" s="1286" t="s">
        <v>11</v>
      </c>
      <c r="B21" s="335">
        <v>6592</v>
      </c>
    </row>
    <row r="22" spans="1:6">
      <c r="A22" s="1286" t="s">
        <v>12</v>
      </c>
      <c r="B22" s="335">
        <v>14691</v>
      </c>
    </row>
    <row r="23" spans="1:6">
      <c r="A23" s="1286" t="s">
        <v>13</v>
      </c>
      <c r="B23" s="335">
        <v>289</v>
      </c>
    </row>
    <row r="24" spans="1:6">
      <c r="A24" s="1286" t="s">
        <v>14</v>
      </c>
      <c r="B24" s="335">
        <v>13</v>
      </c>
    </row>
    <row r="25" spans="1:6">
      <c r="A25" s="1286" t="s">
        <v>15</v>
      </c>
      <c r="B25" s="335">
        <v>1526</v>
      </c>
    </row>
    <row r="26" spans="1:6">
      <c r="A26" s="1286" t="s">
        <v>16</v>
      </c>
      <c r="B26" s="335">
        <v>74</v>
      </c>
    </row>
    <row r="27" spans="1:6">
      <c r="A27" s="1286" t="s">
        <v>17</v>
      </c>
      <c r="B27" s="335">
        <v>95</v>
      </c>
    </row>
    <row r="28" spans="1:6" s="341" customFormat="1">
      <c r="A28" s="1287" t="s">
        <v>18</v>
      </c>
      <c r="B28" s="1287">
        <v>130363</v>
      </c>
    </row>
    <row r="29" spans="1:6">
      <c r="A29" s="1287" t="s">
        <v>942</v>
      </c>
      <c r="B29" s="1287">
        <v>241</v>
      </c>
      <c r="C29" s="341"/>
      <c r="D29" s="341"/>
      <c r="E29" s="341"/>
      <c r="F29" s="341"/>
    </row>
    <row r="30" spans="1:6">
      <c r="A30" s="1282" t="s">
        <v>943</v>
      </c>
      <c r="B30" s="1282">
        <v>56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5301.2234034856001</v>
      </c>
    </row>
    <row r="36" spans="1:6">
      <c r="A36" s="1286" t="s">
        <v>25</v>
      </c>
      <c r="B36" s="1286" t="s">
        <v>27</v>
      </c>
      <c r="C36" s="335">
        <v>3</v>
      </c>
      <c r="D36" s="335">
        <v>1222517.4920197299</v>
      </c>
      <c r="E36" s="335">
        <v>4</v>
      </c>
      <c r="F36" s="335">
        <v>807730.53805234598</v>
      </c>
    </row>
    <row r="37" spans="1:6">
      <c r="A37" s="1286" t="s">
        <v>25</v>
      </c>
      <c r="B37" s="1286" t="s">
        <v>28</v>
      </c>
      <c r="C37" s="335">
        <v>0</v>
      </c>
      <c r="D37" s="335">
        <v>0</v>
      </c>
      <c r="E37" s="335">
        <v>0</v>
      </c>
      <c r="F37" s="335">
        <v>0</v>
      </c>
    </row>
    <row r="38" spans="1:6">
      <c r="A38" s="1286" t="s">
        <v>25</v>
      </c>
      <c r="B38" s="1286" t="s">
        <v>29</v>
      </c>
      <c r="C38" s="335">
        <v>4</v>
      </c>
      <c r="D38" s="335">
        <v>253191.34136145099</v>
      </c>
      <c r="E38" s="335">
        <v>1</v>
      </c>
      <c r="F38" s="335">
        <v>6980.3624849755997</v>
      </c>
    </row>
    <row r="39" spans="1:6">
      <c r="A39" s="1286" t="s">
        <v>30</v>
      </c>
      <c r="B39" s="1286" t="s">
        <v>31</v>
      </c>
      <c r="C39" s="335">
        <v>10321</v>
      </c>
      <c r="D39" s="335">
        <v>169116998.57592699</v>
      </c>
      <c r="E39" s="335">
        <v>15919</v>
      </c>
      <c r="F39" s="335">
        <v>68862693.113536298</v>
      </c>
    </row>
    <row r="40" spans="1:6">
      <c r="A40" s="1286" t="s">
        <v>30</v>
      </c>
      <c r="B40" s="1286" t="s">
        <v>29</v>
      </c>
      <c r="C40" s="335">
        <v>0</v>
      </c>
      <c r="D40" s="335">
        <v>0</v>
      </c>
      <c r="E40" s="335">
        <v>0</v>
      </c>
      <c r="F40" s="335">
        <v>0</v>
      </c>
    </row>
    <row r="41" spans="1:6">
      <c r="A41" s="1286" t="s">
        <v>32</v>
      </c>
      <c r="B41" s="1286" t="s">
        <v>33</v>
      </c>
      <c r="C41" s="335">
        <v>173</v>
      </c>
      <c r="D41" s="335">
        <v>5558525.2194292396</v>
      </c>
      <c r="E41" s="335">
        <v>340</v>
      </c>
      <c r="F41" s="335">
        <v>23047042.434237</v>
      </c>
    </row>
    <row r="42" spans="1:6">
      <c r="A42" s="1286" t="s">
        <v>32</v>
      </c>
      <c r="B42" s="1286" t="s">
        <v>34</v>
      </c>
      <c r="C42" s="335">
        <v>0</v>
      </c>
      <c r="D42" s="335">
        <v>0</v>
      </c>
      <c r="E42" s="335">
        <v>3</v>
      </c>
      <c r="F42" s="335">
        <v>158944.306305145</v>
      </c>
    </row>
    <row r="43" spans="1:6">
      <c r="A43" s="1286" t="s">
        <v>32</v>
      </c>
      <c r="B43" s="1286" t="s">
        <v>35</v>
      </c>
      <c r="C43" s="335">
        <v>0</v>
      </c>
      <c r="D43" s="335">
        <v>0</v>
      </c>
      <c r="E43" s="335">
        <v>0</v>
      </c>
      <c r="F43" s="335">
        <v>0</v>
      </c>
    </row>
    <row r="44" spans="1:6">
      <c r="A44" s="1286" t="s">
        <v>32</v>
      </c>
      <c r="B44" s="1286" t="s">
        <v>36</v>
      </c>
      <c r="C44" s="335">
        <v>21</v>
      </c>
      <c r="D44" s="335">
        <v>12702623.053711699</v>
      </c>
      <c r="E44" s="335">
        <v>43</v>
      </c>
      <c r="F44" s="335">
        <v>13719390.904439799</v>
      </c>
    </row>
    <row r="45" spans="1:6">
      <c r="A45" s="1286" t="s">
        <v>32</v>
      </c>
      <c r="B45" s="1286" t="s">
        <v>37</v>
      </c>
      <c r="C45" s="335">
        <v>0</v>
      </c>
      <c r="D45" s="335">
        <v>0</v>
      </c>
      <c r="E45" s="335">
        <v>7</v>
      </c>
      <c r="F45" s="335">
        <v>268033.94280132302</v>
      </c>
    </row>
    <row r="46" spans="1:6">
      <c r="A46" s="1286" t="s">
        <v>32</v>
      </c>
      <c r="B46" s="1286" t="s">
        <v>38</v>
      </c>
      <c r="C46" s="335">
        <v>0</v>
      </c>
      <c r="D46" s="335">
        <v>0</v>
      </c>
      <c r="E46" s="335">
        <v>0</v>
      </c>
      <c r="F46" s="335">
        <v>0</v>
      </c>
    </row>
    <row r="47" spans="1:6">
      <c r="A47" s="1286" t="s">
        <v>32</v>
      </c>
      <c r="B47" s="1286" t="s">
        <v>39</v>
      </c>
      <c r="C47" s="335">
        <v>6</v>
      </c>
      <c r="D47" s="335">
        <v>220911.34519131799</v>
      </c>
      <c r="E47" s="335">
        <v>7</v>
      </c>
      <c r="F47" s="335">
        <v>226513.99753025701</v>
      </c>
    </row>
    <row r="48" spans="1:6">
      <c r="A48" s="1286" t="s">
        <v>32</v>
      </c>
      <c r="B48" s="1286" t="s">
        <v>29</v>
      </c>
      <c r="C48" s="335">
        <v>51</v>
      </c>
      <c r="D48" s="335">
        <v>12862797.0228235</v>
      </c>
      <c r="E48" s="335">
        <v>59</v>
      </c>
      <c r="F48" s="335">
        <v>26778948.9007084</v>
      </c>
    </row>
    <row r="49" spans="1:6">
      <c r="A49" s="1286" t="s">
        <v>32</v>
      </c>
      <c r="B49" s="1286" t="s">
        <v>40</v>
      </c>
      <c r="C49" s="335">
        <v>3</v>
      </c>
      <c r="D49" s="335">
        <v>5733641.1656333702</v>
      </c>
      <c r="E49" s="335">
        <v>3</v>
      </c>
      <c r="F49" s="335">
        <v>515978.51280664402</v>
      </c>
    </row>
    <row r="50" spans="1:6">
      <c r="A50" s="1286" t="s">
        <v>32</v>
      </c>
      <c r="B50" s="1286" t="s">
        <v>41</v>
      </c>
      <c r="C50" s="335">
        <v>40</v>
      </c>
      <c r="D50" s="335">
        <v>18758392.404379901</v>
      </c>
      <c r="E50" s="335">
        <v>59</v>
      </c>
      <c r="F50" s="335">
        <v>18912879.0654344</v>
      </c>
    </row>
    <row r="51" spans="1:6">
      <c r="A51" s="1286" t="s">
        <v>42</v>
      </c>
      <c r="B51" s="1286" t="s">
        <v>43</v>
      </c>
      <c r="C51" s="335">
        <v>26</v>
      </c>
      <c r="D51" s="335">
        <v>5198233.5459098602</v>
      </c>
      <c r="E51" s="335">
        <v>205</v>
      </c>
      <c r="F51" s="335">
        <v>3742455.9448672798</v>
      </c>
    </row>
    <row r="52" spans="1:6">
      <c r="A52" s="1286" t="s">
        <v>42</v>
      </c>
      <c r="B52" s="1286" t="s">
        <v>29</v>
      </c>
      <c r="C52" s="335">
        <v>13</v>
      </c>
      <c r="D52" s="335">
        <v>1510486.2109521599</v>
      </c>
      <c r="E52" s="335">
        <v>8</v>
      </c>
      <c r="F52" s="335">
        <v>114507.121267207</v>
      </c>
    </row>
    <row r="53" spans="1:6">
      <c r="A53" s="1286" t="s">
        <v>44</v>
      </c>
      <c r="B53" s="1286" t="s">
        <v>45</v>
      </c>
      <c r="C53" s="335">
        <v>224</v>
      </c>
      <c r="D53" s="335">
        <v>7337307.2028578203</v>
      </c>
      <c r="E53" s="335">
        <v>405</v>
      </c>
      <c r="F53" s="335">
        <v>2148048.7647944498</v>
      </c>
    </row>
    <row r="54" spans="1:6">
      <c r="A54" s="1286" t="s">
        <v>46</v>
      </c>
      <c r="B54" s="1286" t="s">
        <v>47</v>
      </c>
      <c r="C54" s="335">
        <v>0</v>
      </c>
      <c r="D54" s="335">
        <v>0</v>
      </c>
      <c r="E54" s="335">
        <v>6</v>
      </c>
      <c r="F54" s="335">
        <v>2702273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85</v>
      </c>
      <c r="D57" s="335">
        <v>20595511.684208501</v>
      </c>
      <c r="E57" s="335">
        <v>264</v>
      </c>
      <c r="F57" s="335">
        <v>10438711.2534889</v>
      </c>
    </row>
    <row r="58" spans="1:6">
      <c r="A58" s="1286" t="s">
        <v>49</v>
      </c>
      <c r="B58" s="1286" t="s">
        <v>51</v>
      </c>
      <c r="C58" s="335">
        <v>71</v>
      </c>
      <c r="D58" s="335">
        <v>5893546.2210285896</v>
      </c>
      <c r="E58" s="335">
        <v>108</v>
      </c>
      <c r="F58" s="335">
        <v>1823842.4519646401</v>
      </c>
    </row>
    <row r="59" spans="1:6">
      <c r="A59" s="1286" t="s">
        <v>49</v>
      </c>
      <c r="B59" s="1286" t="s">
        <v>52</v>
      </c>
      <c r="C59" s="335">
        <v>266</v>
      </c>
      <c r="D59" s="335">
        <v>33943607.4530387</v>
      </c>
      <c r="E59" s="335">
        <v>584</v>
      </c>
      <c r="F59" s="335">
        <v>34299524.087673597</v>
      </c>
    </row>
    <row r="60" spans="1:6">
      <c r="A60" s="1286" t="s">
        <v>49</v>
      </c>
      <c r="B60" s="1286" t="s">
        <v>53</v>
      </c>
      <c r="C60" s="335">
        <v>128</v>
      </c>
      <c r="D60" s="335">
        <v>5671138.9403067101</v>
      </c>
      <c r="E60" s="335">
        <v>168</v>
      </c>
      <c r="F60" s="335">
        <v>4585836.4913607696</v>
      </c>
    </row>
    <row r="61" spans="1:6">
      <c r="A61" s="1286" t="s">
        <v>49</v>
      </c>
      <c r="B61" s="1286" t="s">
        <v>54</v>
      </c>
      <c r="C61" s="335">
        <v>347</v>
      </c>
      <c r="D61" s="335">
        <v>23021055.242476199</v>
      </c>
      <c r="E61" s="335">
        <v>696</v>
      </c>
      <c r="F61" s="335">
        <v>11395677.4789683</v>
      </c>
    </row>
    <row r="62" spans="1:6">
      <c r="A62" s="1286" t="s">
        <v>49</v>
      </c>
      <c r="B62" s="1286" t="s">
        <v>55</v>
      </c>
      <c r="C62" s="335">
        <v>24</v>
      </c>
      <c r="D62" s="335">
        <v>4508602.7166406401</v>
      </c>
      <c r="E62" s="335">
        <v>44</v>
      </c>
      <c r="F62" s="335">
        <v>2087735.8634118901</v>
      </c>
    </row>
    <row r="63" spans="1:6">
      <c r="A63" s="1286" t="s">
        <v>49</v>
      </c>
      <c r="B63" s="1286" t="s">
        <v>29</v>
      </c>
      <c r="C63" s="335">
        <v>112</v>
      </c>
      <c r="D63" s="335">
        <v>12001083.811148601</v>
      </c>
      <c r="E63" s="335">
        <v>101</v>
      </c>
      <c r="F63" s="335">
        <v>5690129.59496151</v>
      </c>
    </row>
    <row r="64" spans="1:6">
      <c r="A64" s="1286" t="s">
        <v>56</v>
      </c>
      <c r="B64" s="1286" t="s">
        <v>57</v>
      </c>
      <c r="C64" s="335">
        <v>0</v>
      </c>
      <c r="D64" s="335">
        <v>0</v>
      </c>
      <c r="E64" s="335">
        <v>0</v>
      </c>
      <c r="F64" s="335">
        <v>0</v>
      </c>
    </row>
    <row r="65" spans="1:6">
      <c r="A65" s="1286" t="s">
        <v>56</v>
      </c>
      <c r="B65" s="1286" t="s">
        <v>29</v>
      </c>
      <c r="C65" s="335">
        <v>3</v>
      </c>
      <c r="D65" s="335">
        <v>97427.090153180397</v>
      </c>
      <c r="E65" s="335">
        <v>2</v>
      </c>
      <c r="F65" s="335">
        <v>22159.136132861899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151359.66207098201</v>
      </c>
      <c r="E68" s="335">
        <v>34</v>
      </c>
      <c r="F68" s="335">
        <v>336078.02516734501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90230401</v>
      </c>
      <c r="E73" s="335">
        <v>102112314.54111968</v>
      </c>
    </row>
    <row r="74" spans="1:6">
      <c r="A74" s="1286" t="s">
        <v>64</v>
      </c>
      <c r="B74" s="1286" t="s">
        <v>772</v>
      </c>
      <c r="C74" s="1297" t="s">
        <v>766</v>
      </c>
      <c r="D74" s="335">
        <v>8242301.6563153602</v>
      </c>
      <c r="E74" s="335">
        <v>9092417.2256982997</v>
      </c>
    </row>
    <row r="75" spans="1:6">
      <c r="A75" s="1286" t="s">
        <v>65</v>
      </c>
      <c r="B75" s="1286" t="s">
        <v>771</v>
      </c>
      <c r="C75" s="1297" t="s">
        <v>767</v>
      </c>
      <c r="D75" s="335">
        <v>60960485</v>
      </c>
      <c r="E75" s="335">
        <v>68945735.047281981</v>
      </c>
    </row>
    <row r="76" spans="1:6">
      <c r="A76" s="1286" t="s">
        <v>65</v>
      </c>
      <c r="B76" s="1286" t="s">
        <v>772</v>
      </c>
      <c r="C76" s="1297" t="s">
        <v>768</v>
      </c>
      <c r="D76" s="335">
        <v>3844935.6563153602</v>
      </c>
      <c r="E76" s="335">
        <v>4262316.3490187358</v>
      </c>
    </row>
    <row r="77" spans="1:6">
      <c r="A77" s="1286" t="s">
        <v>66</v>
      </c>
      <c r="B77" s="1286" t="s">
        <v>771</v>
      </c>
      <c r="C77" s="1297" t="s">
        <v>769</v>
      </c>
      <c r="D77" s="335">
        <v>218964549</v>
      </c>
      <c r="E77" s="335">
        <v>238670142.47538835</v>
      </c>
    </row>
    <row r="78" spans="1:6">
      <c r="A78" s="1282" t="s">
        <v>66</v>
      </c>
      <c r="B78" s="1282" t="s">
        <v>772</v>
      </c>
      <c r="C78" s="1282" t="s">
        <v>770</v>
      </c>
      <c r="D78" s="1282">
        <v>53501900</v>
      </c>
      <c r="E78" s="1282">
        <v>58294538.124165878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578918.68736927956</v>
      </c>
      <c r="C83" s="335">
        <v>556036.4679495272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5774.6164927912059</v>
      </c>
    </row>
    <row r="92" spans="1:6">
      <c r="A92" s="1282" t="s">
        <v>69</v>
      </c>
      <c r="B92" s="338">
        <v>6904.8473236988075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6443</v>
      </c>
    </row>
    <row r="98" spans="1:6">
      <c r="A98" s="1286" t="s">
        <v>72</v>
      </c>
      <c r="B98" s="335">
        <v>1</v>
      </c>
    </row>
    <row r="99" spans="1:6">
      <c r="A99" s="1286" t="s">
        <v>73</v>
      </c>
      <c r="B99" s="335">
        <v>183</v>
      </c>
    </row>
    <row r="100" spans="1:6">
      <c r="A100" s="1286" t="s">
        <v>74</v>
      </c>
      <c r="B100" s="335">
        <v>1668</v>
      </c>
    </row>
    <row r="101" spans="1:6">
      <c r="A101" s="1286" t="s">
        <v>75</v>
      </c>
      <c r="B101" s="335">
        <v>249</v>
      </c>
    </row>
    <row r="102" spans="1:6">
      <c r="A102" s="1286" t="s">
        <v>76</v>
      </c>
      <c r="B102" s="335">
        <v>343</v>
      </c>
    </row>
    <row r="103" spans="1:6">
      <c r="A103" s="1286" t="s">
        <v>77</v>
      </c>
      <c r="B103" s="335">
        <v>650</v>
      </c>
    </row>
    <row r="104" spans="1:6">
      <c r="A104" s="1286" t="s">
        <v>78</v>
      </c>
      <c r="B104" s="335">
        <v>4453</v>
      </c>
    </row>
    <row r="105" spans="1:6">
      <c r="A105" s="1282" t="s">
        <v>79</v>
      </c>
      <c r="B105" s="1282">
        <v>20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33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237301.57180431311</v>
      </c>
      <c r="C3" s="44" t="s">
        <v>170</v>
      </c>
      <c r="D3" s="44"/>
      <c r="E3" s="157"/>
      <c r="F3" s="44"/>
      <c r="G3" s="44"/>
      <c r="H3" s="44"/>
      <c r="I3" s="44"/>
      <c r="J3" s="44"/>
      <c r="K3" s="97"/>
    </row>
    <row r="4" spans="1:11">
      <c r="A4" s="365" t="s">
        <v>171</v>
      </c>
      <c r="B4" s="50">
        <f>IF(ISERROR('SEAP template'!B78),0,'SEAP template'!B78)</f>
        <v>12683.431998308195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0.20918786386321289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2702.2730000000001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2702.2730000000001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0.20918786386321289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565.28271644523591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68862.693113536297</v>
      </c>
      <c r="C5" s="18">
        <f>IF(ISERROR('Eigen informatie GS &amp; warmtenet'!B57),0,'Eigen informatie GS &amp; warmtenet'!B57)</f>
        <v>0</v>
      </c>
      <c r="D5" s="31">
        <f>(SUM(HH_hh_gas_kWh,HH_rest_gas_kWh)/1000)*0.902</f>
        <v>152543.53271548616</v>
      </c>
      <c r="E5" s="18">
        <f>B46*B57</f>
        <v>8497.4048134074965</v>
      </c>
      <c r="F5" s="18">
        <f>B51*B62</f>
        <v>19005.560594062579</v>
      </c>
      <c r="G5" s="19"/>
      <c r="H5" s="18"/>
      <c r="I5" s="18"/>
      <c r="J5" s="18">
        <f>B50*B61+C50*C61</f>
        <v>8274.2503349999442</v>
      </c>
      <c r="K5" s="18"/>
      <c r="L5" s="18"/>
      <c r="M5" s="18"/>
      <c r="N5" s="18">
        <f>B48*B59+C48*C59</f>
        <v>37548.224017000743</v>
      </c>
      <c r="O5" s="18">
        <f>B69*B70*B71</f>
        <v>189.16333333333336</v>
      </c>
      <c r="P5" s="18">
        <f>B77*B78*B79/1000-B77*B78*B79/1000/B80</f>
        <v>972.4</v>
      </c>
    </row>
    <row r="6" spans="1:16">
      <c r="A6" s="17" t="s">
        <v>639</v>
      </c>
      <c r="B6" s="780">
        <f>kWh_PV_kleiner_dan_10kW</f>
        <v>5774.6164927912059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74637.309606327501</v>
      </c>
      <c r="C8" s="22">
        <f>C5</f>
        <v>0</v>
      </c>
      <c r="D8" s="22">
        <f>D5</f>
        <v>152543.53271548616</v>
      </c>
      <c r="E8" s="22">
        <f>E5</f>
        <v>8497.4048134074965</v>
      </c>
      <c r="F8" s="22">
        <f>F5</f>
        <v>19005.560594062579</v>
      </c>
      <c r="G8" s="22"/>
      <c r="H8" s="22"/>
      <c r="I8" s="22"/>
      <c r="J8" s="22">
        <f>J5</f>
        <v>8274.2503349999442</v>
      </c>
      <c r="K8" s="22"/>
      <c r="L8" s="22">
        <f>L5</f>
        <v>0</v>
      </c>
      <c r="M8" s="22">
        <f>M5</f>
        <v>0</v>
      </c>
      <c r="N8" s="22">
        <f>N5</f>
        <v>37548.224017000743</v>
      </c>
      <c r="O8" s="22">
        <f>O5</f>
        <v>189.16333333333336</v>
      </c>
      <c r="P8" s="22">
        <f>P5</f>
        <v>972.4</v>
      </c>
    </row>
    <row r="9" spans="1:16">
      <c r="B9" s="20"/>
      <c r="C9" s="20"/>
      <c r="D9" s="262"/>
      <c r="E9" s="20"/>
      <c r="F9" s="20"/>
      <c r="G9" s="20"/>
      <c r="H9" s="20"/>
      <c r="I9" s="20"/>
      <c r="J9" s="20"/>
      <c r="K9" s="20"/>
      <c r="L9" s="20"/>
      <c r="M9" s="20"/>
      <c r="N9" s="20"/>
      <c r="O9" s="20"/>
      <c r="P9" s="20"/>
    </row>
    <row r="10" spans="1:16">
      <c r="A10" s="25" t="s">
        <v>214</v>
      </c>
      <c r="B10" s="26">
        <f ca="1">'EF ele_warmte'!B12</f>
        <v>0.20918786386321289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15613.219361044909</v>
      </c>
      <c r="C12" s="24">
        <f ca="1">C10*C8</f>
        <v>0</v>
      </c>
      <c r="D12" s="24">
        <f>D8*D10</f>
        <v>30813.793608528205</v>
      </c>
      <c r="E12" s="24">
        <f>E10*E8</f>
        <v>1928.9108926435017</v>
      </c>
      <c r="F12" s="24">
        <f>F10*F8</f>
        <v>5074.4846786147091</v>
      </c>
      <c r="G12" s="24"/>
      <c r="H12" s="24"/>
      <c r="I12" s="24"/>
      <c r="J12" s="24">
        <f>J10*J8</f>
        <v>2929.08461858998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6443</v>
      </c>
      <c r="C18" s="169" t="s">
        <v>111</v>
      </c>
      <c r="D18" s="231"/>
      <c r="E18" s="16"/>
    </row>
    <row r="19" spans="1:7">
      <c r="A19" s="174" t="s">
        <v>72</v>
      </c>
      <c r="B19" s="38">
        <f>aantalw2001_ander</f>
        <v>1</v>
      </c>
      <c r="C19" s="169" t="s">
        <v>111</v>
      </c>
      <c r="D19" s="232"/>
      <c r="E19" s="16"/>
    </row>
    <row r="20" spans="1:7">
      <c r="A20" s="174" t="s">
        <v>73</v>
      </c>
      <c r="B20" s="38">
        <f>aantalw2001_propaan</f>
        <v>183</v>
      </c>
      <c r="C20" s="170">
        <f>IF(ISERROR(B20/SUM($B$20,$B$21,$B$22)*100),0,B20/SUM($B$20,$B$21,$B$22)*100)</f>
        <v>8.7142857142857153</v>
      </c>
      <c r="D20" s="232"/>
      <c r="E20" s="16"/>
    </row>
    <row r="21" spans="1:7">
      <c r="A21" s="174" t="s">
        <v>74</v>
      </c>
      <c r="B21" s="38">
        <f>aantalw2001_elektriciteit</f>
        <v>1668</v>
      </c>
      <c r="C21" s="170">
        <f>IF(ISERROR(B21/SUM($B$20,$B$21,$B$22)*100),0,B21/SUM($B$20,$B$21,$B$22)*100)</f>
        <v>79.428571428571431</v>
      </c>
      <c r="D21" s="232"/>
      <c r="E21" s="16"/>
    </row>
    <row r="22" spans="1:7">
      <c r="A22" s="174" t="s">
        <v>75</v>
      </c>
      <c r="B22" s="38">
        <f>aantalw2001_hout</f>
        <v>249</v>
      </c>
      <c r="C22" s="170">
        <f>IF(ISERROR(B22/SUM($B$20,$B$21,$B$22)*100),0,B22/SUM($B$20,$B$21,$B$22)*100)</f>
        <v>11.857142857142858</v>
      </c>
      <c r="D22" s="232"/>
      <c r="E22" s="16"/>
    </row>
    <row r="23" spans="1:7">
      <c r="A23" s="174" t="s">
        <v>76</v>
      </c>
      <c r="B23" s="38">
        <f>aantalw2001_niet_gespec</f>
        <v>343</v>
      </c>
      <c r="C23" s="169" t="s">
        <v>111</v>
      </c>
      <c r="D23" s="231"/>
      <c r="E23" s="16"/>
    </row>
    <row r="24" spans="1:7">
      <c r="A24" s="174" t="s">
        <v>77</v>
      </c>
      <c r="B24" s="38">
        <f>aantalw2001_steenkool</f>
        <v>650</v>
      </c>
      <c r="C24" s="169" t="s">
        <v>111</v>
      </c>
      <c r="D24" s="232"/>
      <c r="E24" s="16"/>
    </row>
    <row r="25" spans="1:7">
      <c r="A25" s="174" t="s">
        <v>78</v>
      </c>
      <c r="B25" s="38">
        <f>aantalw2001_stookolie</f>
        <v>4453</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16022</v>
      </c>
      <c r="C28" s="37"/>
      <c r="D28" s="231"/>
    </row>
    <row r="29" spans="1:7" s="16" customFormat="1">
      <c r="A29" s="233" t="s">
        <v>666</v>
      </c>
      <c r="B29" s="38">
        <f>SUM(HH_hh_gas_aantal,HH_rest_gas_aantal)</f>
        <v>10321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10321</v>
      </c>
      <c r="C32" s="170">
        <f>IF(ISERROR(B32/SUM($B$32,$B$34,$B$35,$B$36,$B$38,$B$39)*100),0,B32/SUM($B$32,$B$34,$B$35,$B$36,$B$38,$B$39)*100)</f>
        <v>64.623379876025297</v>
      </c>
      <c r="D32" s="236"/>
      <c r="G32" s="16"/>
    </row>
    <row r="33" spans="1:7">
      <c r="A33" s="174" t="s">
        <v>72</v>
      </c>
      <c r="B33" s="35" t="s">
        <v>111</v>
      </c>
      <c r="C33" s="170"/>
      <c r="D33" s="236"/>
      <c r="G33" s="16"/>
    </row>
    <row r="34" spans="1:7">
      <c r="A34" s="174" t="s">
        <v>73</v>
      </c>
      <c r="B34" s="34">
        <f>IF((($B$28-$B$32-$B$39-$B$77-$B$38)*C20/100)&lt;0,0,($B$28-$B$32-$B$39-$B$77-$B$38)*C20/100)</f>
        <v>385.60714285714295</v>
      </c>
      <c r="C34" s="170">
        <f>IF(ISERROR(B34/SUM($B$32,$B$34,$B$35,$B$36,$B$38,$B$39)*100),0,B34/SUM($B$32,$B$34,$B$35,$B$36,$B$38,$B$39)*100)</f>
        <v>2.4144207805218394</v>
      </c>
      <c r="D34" s="236"/>
      <c r="G34" s="16"/>
    </row>
    <row r="35" spans="1:7">
      <c r="A35" s="174" t="s">
        <v>74</v>
      </c>
      <c r="B35" s="34">
        <f>IF((($B$28-$B$32-$B$39-$B$77-$B$38)*C21/100)&lt;0,0,($B$28-$B$32-$B$39-$B$77-$B$38)*C21/100)</f>
        <v>3514.7142857142862</v>
      </c>
      <c r="C35" s="170">
        <f>IF(ISERROR(B35/SUM($B$32,$B$34,$B$35,$B$36,$B$38,$B$39)*100),0,B35/SUM($B$32,$B$34,$B$35,$B$36,$B$38,$B$39)*100)</f>
        <v>22.006851704428566</v>
      </c>
      <c r="D35" s="236"/>
      <c r="G35" s="16"/>
    </row>
    <row r="36" spans="1:7">
      <c r="A36" s="174" t="s">
        <v>75</v>
      </c>
      <c r="B36" s="34">
        <f>IF((($B$28-$B$32-$B$39-$B$77-$B$38)*C22/100)&lt;0,0,($B$28-$B$32-$B$39-$B$77-$B$38)*C22/100)</f>
        <v>524.67857142857156</v>
      </c>
      <c r="C36" s="170">
        <f>IF(ISERROR(B36/SUM($B$32,$B$34,$B$35,$B$36,$B$38,$B$39)*100),0,B36/SUM($B$32,$B$34,$B$35,$B$36,$B$38,$B$39)*100)</f>
        <v>3.285195488251027</v>
      </c>
      <c r="D36" s="236"/>
      <c r="G36" s="16"/>
    </row>
    <row r="37" spans="1:7">
      <c r="A37" s="174" t="s">
        <v>76</v>
      </c>
      <c r="B37" s="35" t="s">
        <v>111</v>
      </c>
      <c r="C37" s="170"/>
      <c r="D37" s="176"/>
      <c r="G37" s="16"/>
    </row>
    <row r="38" spans="1:7">
      <c r="A38" s="174" t="s">
        <v>77</v>
      </c>
      <c r="B38" s="34">
        <f>IF((B24-(B29-B18)*0.1)&lt;0,0,B24-(B29-B18)*0.1)</f>
        <v>262.2</v>
      </c>
      <c r="C38" s="170">
        <f>IF(ISERROR(B38/SUM($B$32,$B$34,$B$35,$B$36,$B$38,$B$39)*100),0,B38/SUM($B$32,$B$34,$B$35,$B$36,$B$38,$B$39)*100)</f>
        <v>1.6417256277002066</v>
      </c>
      <c r="D38" s="237"/>
      <c r="G38" s="16"/>
    </row>
    <row r="39" spans="1:7">
      <c r="A39" s="174" t="s">
        <v>78</v>
      </c>
      <c r="B39" s="34">
        <f>IF((B25-(B29-B18))&lt;0,0,B25-(B29-B18)*0.9)</f>
        <v>962.79999999999973</v>
      </c>
      <c r="C39" s="170">
        <f>IF(ISERROR(B39/SUM($B$32,$B$34,$B$35,$B$36,$B$38,$B$39)*100),0,B39/SUM($B$32,$B$34,$B$35,$B$36,$B$38,$B$39)*100)</f>
        <v>6.028426523073068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10321</v>
      </c>
      <c r="C44" s="35" t="s">
        <v>111</v>
      </c>
      <c r="D44" s="177"/>
    </row>
    <row r="45" spans="1:7">
      <c r="A45" s="174" t="s">
        <v>72</v>
      </c>
      <c r="B45" s="34" t="str">
        <f t="shared" si="0"/>
        <v>-</v>
      </c>
      <c r="C45" s="35" t="s">
        <v>111</v>
      </c>
      <c r="D45" s="177"/>
    </row>
    <row r="46" spans="1:7">
      <c r="A46" s="174" t="s">
        <v>73</v>
      </c>
      <c r="B46" s="34">
        <f t="shared" si="0"/>
        <v>385.60714285714295</v>
      </c>
      <c r="C46" s="35" t="s">
        <v>111</v>
      </c>
      <c r="D46" s="177"/>
    </row>
    <row r="47" spans="1:7">
      <c r="A47" s="174" t="s">
        <v>74</v>
      </c>
      <c r="B47" s="34">
        <f t="shared" si="0"/>
        <v>3514.7142857142862</v>
      </c>
      <c r="C47" s="35" t="s">
        <v>111</v>
      </c>
      <c r="D47" s="177"/>
    </row>
    <row r="48" spans="1:7">
      <c r="A48" s="174" t="s">
        <v>75</v>
      </c>
      <c r="B48" s="34">
        <f t="shared" si="0"/>
        <v>524.67857142857156</v>
      </c>
      <c r="C48" s="34">
        <f>B48*10</f>
        <v>5246.7857142857156</v>
      </c>
      <c r="D48" s="237"/>
    </row>
    <row r="49" spans="1:6">
      <c r="A49" s="174" t="s">
        <v>76</v>
      </c>
      <c r="B49" s="34" t="str">
        <f t="shared" si="0"/>
        <v>-</v>
      </c>
      <c r="C49" s="35" t="s">
        <v>111</v>
      </c>
      <c r="D49" s="237"/>
    </row>
    <row r="50" spans="1:6">
      <c r="A50" s="174" t="s">
        <v>77</v>
      </c>
      <c r="B50" s="34">
        <f t="shared" si="0"/>
        <v>262.2</v>
      </c>
      <c r="C50" s="34">
        <f>B50*2</f>
        <v>524.4</v>
      </c>
      <c r="D50" s="237"/>
    </row>
    <row r="51" spans="1:6">
      <c r="A51" s="174" t="s">
        <v>78</v>
      </c>
      <c r="B51" s="34">
        <f t="shared" si="0"/>
        <v>962.79999999999973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70321.457221829623</v>
      </c>
      <c r="C5" s="18">
        <f>IF(ISERROR('Eigen informatie GS &amp; warmtenet'!B58),0,'Eigen informatie GS &amp; warmtenet'!B58)</f>
        <v>0</v>
      </c>
      <c r="D5" s="31">
        <f>SUM(D6:D12)</f>
        <v>95282.360554100844</v>
      </c>
      <c r="E5" s="18">
        <f>SUM(E6:E12)</f>
        <v>579.03948850284894</v>
      </c>
      <c r="F5" s="18">
        <f>SUM(F6:F12)</f>
        <v>15009.695087790731</v>
      </c>
      <c r="G5" s="19"/>
      <c r="H5" s="18"/>
      <c r="I5" s="18"/>
      <c r="J5" s="18">
        <f>SUM(J6:J12)</f>
        <v>0</v>
      </c>
      <c r="K5" s="18"/>
      <c r="L5" s="18"/>
      <c r="M5" s="18"/>
      <c r="N5" s="18">
        <f>SUM(N6:N12)</f>
        <v>6591.8699948668209</v>
      </c>
      <c r="O5" s="18">
        <f>B38*B39*B40</f>
        <v>0</v>
      </c>
      <c r="P5" s="18">
        <f>B46*B47*B48/1000-B46*B47*B48/1000/B49</f>
        <v>0</v>
      </c>
      <c r="R5" s="33"/>
    </row>
    <row r="6" spans="1:18">
      <c r="A6" s="33" t="s">
        <v>54</v>
      </c>
      <c r="B6" s="38">
        <f>B26</f>
        <v>11395.6774789683</v>
      </c>
      <c r="C6" s="34"/>
      <c r="D6" s="38">
        <f>IF(ISERROR(TER_kantoor_gas_kWh/1000),0,TER_kantoor_gas_kWh/1000)*0.902</f>
        <v>20764.991828713533</v>
      </c>
      <c r="E6" s="34">
        <f>$C$26*'E Balans VL '!I12/100/3.6*1000000</f>
        <v>18.702616371594726</v>
      </c>
      <c r="F6" s="34">
        <f>$C$26*('E Balans VL '!L12+'E Balans VL '!N12)/100/3.6*1000000</f>
        <v>1343.2822490397282</v>
      </c>
      <c r="G6" s="35"/>
      <c r="H6" s="34"/>
      <c r="I6" s="34"/>
      <c r="J6" s="34">
        <f>$C$26*('E Balans VL '!D12+'E Balans VL '!E12)/100/3.6*1000000</f>
        <v>0</v>
      </c>
      <c r="K6" s="34"/>
      <c r="L6" s="34"/>
      <c r="M6" s="34"/>
      <c r="N6" s="34">
        <f>$C$26*'E Balans VL '!Y12/100/3.6*1000000</f>
        <v>2.3024426716748763</v>
      </c>
      <c r="O6" s="34"/>
      <c r="P6" s="34"/>
      <c r="R6" s="33"/>
    </row>
    <row r="7" spans="1:18">
      <c r="A7" s="33" t="s">
        <v>53</v>
      </c>
      <c r="B7" s="38">
        <f t="shared" ref="B7:B12" si="0">B27</f>
        <v>4585.8364913607693</v>
      </c>
      <c r="C7" s="34"/>
      <c r="D7" s="38">
        <f>IF(ISERROR(TER_horeca_gas_kWh/1000),0,TER_horeca_gas_kWh/1000)*0.902</f>
        <v>5115.3673241566521</v>
      </c>
      <c r="E7" s="34">
        <f>$C$27*'E Balans VL '!I9/100/3.6*1000000</f>
        <v>237.9717300786651</v>
      </c>
      <c r="F7" s="34">
        <f>$C$27*('E Balans VL '!L9+'E Balans VL '!N9)/100/3.6*1000000</f>
        <v>1046.4912148279773</v>
      </c>
      <c r="G7" s="35"/>
      <c r="H7" s="34"/>
      <c r="I7" s="34"/>
      <c r="J7" s="34">
        <f>$C$27*('E Balans VL '!D9+'E Balans VL '!E9)/100/3.6*1000000</f>
        <v>0</v>
      </c>
      <c r="K7" s="34"/>
      <c r="L7" s="34"/>
      <c r="M7" s="34"/>
      <c r="N7" s="34">
        <f>$C$27*'E Balans VL '!Y9/100/3.6*1000000</f>
        <v>0.48426223193643986</v>
      </c>
      <c r="O7" s="34"/>
      <c r="P7" s="34"/>
      <c r="R7" s="33"/>
    </row>
    <row r="8" spans="1:18">
      <c r="A8" s="6" t="s">
        <v>52</v>
      </c>
      <c r="B8" s="38">
        <f t="shared" si="0"/>
        <v>34299.524087673599</v>
      </c>
      <c r="C8" s="34"/>
      <c r="D8" s="38">
        <f>IF(ISERROR(TER_handel_gas_kWh/1000),0,TER_handel_gas_kWh/1000)*0.902</f>
        <v>30617.133922640907</v>
      </c>
      <c r="E8" s="34">
        <f>$C$28*'E Balans VL '!I13/100/3.6*1000000</f>
        <v>184.70715206343368</v>
      </c>
      <c r="F8" s="34">
        <f>$C$28*('E Balans VL '!L13+'E Balans VL '!N13)/100/3.6*1000000</f>
        <v>6994.6922515283777</v>
      </c>
      <c r="G8" s="35"/>
      <c r="H8" s="34"/>
      <c r="I8" s="34"/>
      <c r="J8" s="34">
        <f>$C$28*('E Balans VL '!D13+'E Balans VL '!E13)/100/3.6*1000000</f>
        <v>0</v>
      </c>
      <c r="K8" s="34"/>
      <c r="L8" s="34"/>
      <c r="M8" s="34"/>
      <c r="N8" s="34">
        <f>$C$28*'E Balans VL '!Y13/100/3.6*1000000</f>
        <v>170.5534202282798</v>
      </c>
      <c r="O8" s="34"/>
      <c r="P8" s="34"/>
      <c r="R8" s="33"/>
    </row>
    <row r="9" spans="1:18">
      <c r="A9" s="33" t="s">
        <v>51</v>
      </c>
      <c r="B9" s="38">
        <f t="shared" si="0"/>
        <v>1823.8424519646401</v>
      </c>
      <c r="C9" s="34"/>
      <c r="D9" s="38">
        <f>IF(ISERROR(TER_gezond_gas_kWh/1000),0,TER_gezond_gas_kWh/1000)*0.902</f>
        <v>5315.9786913677881</v>
      </c>
      <c r="E9" s="34">
        <f>$C$29*'E Balans VL '!I10/100/3.6*1000000</f>
        <v>1.8074486105474843</v>
      </c>
      <c r="F9" s="34">
        <f>$C$29*('E Balans VL '!L10+'E Balans VL '!N10)/100/3.6*1000000</f>
        <v>632.8207605898757</v>
      </c>
      <c r="G9" s="35"/>
      <c r="H9" s="34"/>
      <c r="I9" s="34"/>
      <c r="J9" s="34">
        <f>$C$29*('E Balans VL '!D10+'E Balans VL '!E10)/100/3.6*1000000</f>
        <v>0</v>
      </c>
      <c r="K9" s="34"/>
      <c r="L9" s="34"/>
      <c r="M9" s="34"/>
      <c r="N9" s="34">
        <f>$C$29*'E Balans VL '!Y10/100/3.6*1000000</f>
        <v>15.715892409865184</v>
      </c>
      <c r="O9" s="34"/>
      <c r="P9" s="34"/>
      <c r="R9" s="33"/>
    </row>
    <row r="10" spans="1:18">
      <c r="A10" s="33" t="s">
        <v>50</v>
      </c>
      <c r="B10" s="38">
        <f t="shared" si="0"/>
        <v>10438.7112534889</v>
      </c>
      <c r="C10" s="34"/>
      <c r="D10" s="38">
        <f>IF(ISERROR(TER_ander_gas_kWh/1000),0,TER_ander_gas_kWh/1000)*0.902</f>
        <v>18577.151539156068</v>
      </c>
      <c r="E10" s="34">
        <f>$C$30*'E Balans VL '!I14/100/3.6*1000000</f>
        <v>85.399090802439261</v>
      </c>
      <c r="F10" s="34">
        <f>$C$30*('E Balans VL '!L14+'E Balans VL '!N14)/100/3.6*1000000</f>
        <v>3051.8541929839425</v>
      </c>
      <c r="G10" s="35"/>
      <c r="H10" s="34"/>
      <c r="I10" s="34"/>
      <c r="J10" s="34">
        <f>$C$30*('E Balans VL '!D14+'E Balans VL '!E14)/100/3.6*1000000</f>
        <v>0</v>
      </c>
      <c r="K10" s="34"/>
      <c r="L10" s="34"/>
      <c r="M10" s="34"/>
      <c r="N10" s="34">
        <f>$C$30*'E Balans VL '!Y14/100/3.6*1000000</f>
        <v>6021.766718616761</v>
      </c>
      <c r="O10" s="34"/>
      <c r="P10" s="34"/>
      <c r="R10" s="33"/>
    </row>
    <row r="11" spans="1:18">
      <c r="A11" s="33" t="s">
        <v>55</v>
      </c>
      <c r="B11" s="38">
        <f t="shared" si="0"/>
        <v>2087.73586341189</v>
      </c>
      <c r="C11" s="34"/>
      <c r="D11" s="38">
        <f>IF(ISERROR(TER_onderwijs_gas_kWh/1000),0,TER_onderwijs_gas_kWh/1000)*0.902</f>
        <v>4066.7596504098574</v>
      </c>
      <c r="E11" s="34">
        <f>$C$31*'E Balans VL '!I11/100/3.6*1000000</f>
        <v>1.2867922958852442</v>
      </c>
      <c r="F11" s="34">
        <f>$C$31*('E Balans VL '!L11+'E Balans VL '!N11)/100/3.6*1000000</f>
        <v>807.1524949869613</v>
      </c>
      <c r="G11" s="35"/>
      <c r="H11" s="34"/>
      <c r="I11" s="34"/>
      <c r="J11" s="34">
        <f>$C$31*('E Balans VL '!D11+'E Balans VL '!E11)/100/3.6*1000000</f>
        <v>0</v>
      </c>
      <c r="K11" s="34"/>
      <c r="L11" s="34"/>
      <c r="M11" s="34"/>
      <c r="N11" s="34">
        <f>$C$31*'E Balans VL '!Y11/100/3.6*1000000</f>
        <v>6.7909573714358187</v>
      </c>
      <c r="O11" s="34"/>
      <c r="P11" s="34"/>
      <c r="R11" s="33"/>
    </row>
    <row r="12" spans="1:18">
      <c r="A12" s="33" t="s">
        <v>260</v>
      </c>
      <c r="B12" s="38">
        <f t="shared" si="0"/>
        <v>5690.1295949615096</v>
      </c>
      <c r="C12" s="34"/>
      <c r="D12" s="38">
        <f>IF(ISERROR(TER_rest_gas_kWh/1000),0,TER_rest_gas_kWh/1000)*0.902</f>
        <v>10824.977597656038</v>
      </c>
      <c r="E12" s="34">
        <f>$C$32*'E Balans VL '!I8/100/3.6*1000000</f>
        <v>49.16465828028344</v>
      </c>
      <c r="F12" s="34">
        <f>$C$32*('E Balans VL '!L8+'E Balans VL '!N8)/100/3.6*1000000</f>
        <v>1133.4019238338672</v>
      </c>
      <c r="G12" s="35"/>
      <c r="H12" s="34"/>
      <c r="I12" s="34"/>
      <c r="J12" s="34">
        <f>$C$32*('E Balans VL '!D8+'E Balans VL '!E8)/100/3.6*1000000</f>
        <v>0</v>
      </c>
      <c r="K12" s="34"/>
      <c r="L12" s="34"/>
      <c r="M12" s="34"/>
      <c r="N12" s="34">
        <f>$C$32*'E Balans VL '!Y8/100/3.6*1000000</f>
        <v>374.25630133686849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70321.457221829623</v>
      </c>
      <c r="C16" s="22">
        <f t="shared" ca="1" si="1"/>
        <v>0</v>
      </c>
      <c r="D16" s="22">
        <f t="shared" ca="1" si="1"/>
        <v>95282.360554100844</v>
      </c>
      <c r="E16" s="22">
        <f t="shared" si="1"/>
        <v>579.03948850284894</v>
      </c>
      <c r="F16" s="22">
        <f t="shared" ca="1" si="1"/>
        <v>15009.695087790731</v>
      </c>
      <c r="G16" s="22">
        <f t="shared" si="1"/>
        <v>0</v>
      </c>
      <c r="H16" s="22">
        <f t="shared" si="1"/>
        <v>0</v>
      </c>
      <c r="I16" s="22">
        <f t="shared" si="1"/>
        <v>0</v>
      </c>
      <c r="J16" s="22">
        <f t="shared" si="1"/>
        <v>0</v>
      </c>
      <c r="K16" s="22">
        <f t="shared" si="1"/>
        <v>0</v>
      </c>
      <c r="L16" s="22">
        <f t="shared" ca="1" si="1"/>
        <v>0</v>
      </c>
      <c r="M16" s="22">
        <f t="shared" si="1"/>
        <v>0</v>
      </c>
      <c r="N16" s="22">
        <f t="shared" ca="1" si="1"/>
        <v>6591.8699948668209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0.20918786386321289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14710.395419982844</v>
      </c>
      <c r="C20" s="24">
        <f t="shared" ref="C20:P20" ca="1" si="2">C16*C18</f>
        <v>0</v>
      </c>
      <c r="D20" s="24">
        <f t="shared" ca="1" si="2"/>
        <v>19247.036831928373</v>
      </c>
      <c r="E20" s="24">
        <f t="shared" si="2"/>
        <v>131.44196389014672</v>
      </c>
      <c r="F20" s="24">
        <f t="shared" ca="1" si="2"/>
        <v>4007.5885884401255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11395.6774789683</v>
      </c>
      <c r="C26" s="40">
        <f>IF(ISERROR(B26*3.6/1000000/'E Balans VL '!Z12*100),0,B26*3.6/1000000/'E Balans VL '!Z12*100)</f>
        <v>0.24214997423399223</v>
      </c>
      <c r="D26" s="240" t="s">
        <v>707</v>
      </c>
      <c r="F26" s="6"/>
    </row>
    <row r="27" spans="1:18">
      <c r="A27" s="234" t="s">
        <v>53</v>
      </c>
      <c r="B27" s="34">
        <f>IF(ISERROR(TER_horeca_ele_kWh/1000),0,TER_horeca_ele_kWh/1000)</f>
        <v>4585.8364913607693</v>
      </c>
      <c r="C27" s="40">
        <f>IF(ISERROR(B27*3.6/1000000/'E Balans VL '!Z9*100),0,B27*3.6/1000000/'E Balans VL '!Z9*100)</f>
        <v>0.36094079398989309</v>
      </c>
      <c r="D27" s="240" t="s">
        <v>707</v>
      </c>
      <c r="F27" s="6"/>
    </row>
    <row r="28" spans="1:18">
      <c r="A28" s="174" t="s">
        <v>52</v>
      </c>
      <c r="B28" s="34">
        <f>IF(ISERROR(TER_handel_ele_kWh/1000),0,TER_handel_ele_kWh/1000)</f>
        <v>34299.524087673599</v>
      </c>
      <c r="C28" s="40">
        <f>IF(ISERROR(B28*3.6/1000000/'E Balans VL '!Z13*100),0,B28*3.6/1000000/'E Balans VL '!Z13*100)</f>
        <v>0.96074802607632459</v>
      </c>
      <c r="D28" s="240" t="s">
        <v>707</v>
      </c>
      <c r="F28" s="6"/>
    </row>
    <row r="29" spans="1:18">
      <c r="A29" s="234" t="s">
        <v>51</v>
      </c>
      <c r="B29" s="34">
        <f>IF(ISERROR(TER_gezond_ele_kWh/1000),0,TER_gezond_ele_kWh/1000)</f>
        <v>1823.8424519646401</v>
      </c>
      <c r="C29" s="40">
        <f>IF(ISERROR(B29*3.6/1000000/'E Balans VL '!Z10*100),0,B29*3.6/1000000/'E Balans VL '!Z10*100)</f>
        <v>0.23332460038086097</v>
      </c>
      <c r="D29" s="240" t="s">
        <v>707</v>
      </c>
      <c r="F29" s="6"/>
    </row>
    <row r="30" spans="1:18">
      <c r="A30" s="234" t="s">
        <v>50</v>
      </c>
      <c r="B30" s="34">
        <f>IF(ISERROR(TER_ander_ele_kWh/1000),0,TER_ander_ele_kWh/1000)</f>
        <v>10438.7112534889</v>
      </c>
      <c r="C30" s="40">
        <f>IF(ISERROR(B30*3.6/1000000/'E Balans VL '!Z14*100),0,B30*3.6/1000000/'E Balans VL '!Z14*100)</f>
        <v>0.78072764364341629</v>
      </c>
      <c r="D30" s="240" t="s">
        <v>707</v>
      </c>
      <c r="F30" s="6"/>
    </row>
    <row r="31" spans="1:18">
      <c r="A31" s="234" t="s">
        <v>55</v>
      </c>
      <c r="B31" s="34">
        <f>IF(ISERROR(TER_onderwijs_ele_kWh/1000),0,TER_onderwijs_ele_kWh/1000)</f>
        <v>2087.73586341189</v>
      </c>
      <c r="C31" s="40">
        <f>IF(ISERROR(B31*3.6/1000000/'E Balans VL '!Z11*100),0,B31*3.6/1000000/'E Balans VL '!Z11*100)</f>
        <v>0.44082813186860231</v>
      </c>
      <c r="D31" s="240" t="s">
        <v>707</v>
      </c>
    </row>
    <row r="32" spans="1:18">
      <c r="A32" s="234" t="s">
        <v>260</v>
      </c>
      <c r="B32" s="34">
        <f>IF(ISERROR(TER_rest_ele_kWh/1000),0,TER_rest_ele_kWh/1000)</f>
        <v>5690.1295949615096</v>
      </c>
      <c r="C32" s="40">
        <f>IF(ISERROR(B32*3.6/1000000/'E Balans VL '!Z8*100),0,B32*3.6/1000000/'E Balans VL '!Z8*100)</f>
        <v>4.6874901046840632E-2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83627.732064262978</v>
      </c>
      <c r="C5" s="18">
        <f>IF(ISERROR('Eigen informatie GS &amp; warmtenet'!B59),0,'Eigen informatie GS &amp; warmtenet'!B59)</f>
        <v>0</v>
      </c>
      <c r="D5" s="31">
        <f>SUM(D6:D15)</f>
        <v>50364.87497047447</v>
      </c>
      <c r="E5" s="18">
        <f>SUM(E6:E15)</f>
        <v>701.46277528674455</v>
      </c>
      <c r="F5" s="18">
        <f>SUM(F6:F15)</f>
        <v>27649.900304525432</v>
      </c>
      <c r="G5" s="19"/>
      <c r="H5" s="18"/>
      <c r="I5" s="18"/>
      <c r="J5" s="18">
        <f>SUM(J6:J15)</f>
        <v>363.66796512993693</v>
      </c>
      <c r="K5" s="18"/>
      <c r="L5" s="18"/>
      <c r="M5" s="18"/>
      <c r="N5" s="18">
        <f>SUM(N6:N15)</f>
        <v>2984.1579937053375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13719.390904439799</v>
      </c>
      <c r="C8" s="34"/>
      <c r="D8" s="38">
        <f>IF( ISERROR(IND_metaal_Gas_kWH/1000),0,IND_metaal_Gas_kWH/1000)*0.902</f>
        <v>11457.765994447953</v>
      </c>
      <c r="E8" s="34">
        <f>C30*'E Balans VL '!I18/100/3.6*1000000</f>
        <v>124.94002056299698</v>
      </c>
      <c r="F8" s="34">
        <f>C30*'E Balans VL '!L18/100/3.6*1000000+C30*'E Balans VL '!N18/100/3.6*1000000</f>
        <v>1809.4834734516157</v>
      </c>
      <c r="G8" s="35"/>
      <c r="H8" s="34"/>
      <c r="I8" s="34"/>
      <c r="J8" s="41">
        <f>C30*'E Balans VL '!D18/100/3.6*1000000+C30*'E Balans VL '!E18/100/3.6*1000000</f>
        <v>224.97809099451138</v>
      </c>
      <c r="K8" s="34"/>
      <c r="L8" s="34"/>
      <c r="M8" s="34"/>
      <c r="N8" s="34">
        <f>C30*'E Balans VL '!Y18/100/3.6*1000000</f>
        <v>47.148096524503138</v>
      </c>
      <c r="O8" s="34"/>
      <c r="P8" s="34"/>
      <c r="R8" s="33"/>
    </row>
    <row r="9" spans="1:18">
      <c r="A9" s="6" t="s">
        <v>33</v>
      </c>
      <c r="B9" s="38">
        <f t="shared" si="0"/>
        <v>23047.042434236999</v>
      </c>
      <c r="C9" s="34"/>
      <c r="D9" s="38">
        <f>IF( ISERROR(IND_andere_gas_kWh/1000),0,IND_andere_gas_kWh/1000)*0.902</f>
        <v>5013.7897479251742</v>
      </c>
      <c r="E9" s="34">
        <f>C31*'E Balans VL '!I19/100/3.6*1000000</f>
        <v>133.21534936551024</v>
      </c>
      <c r="F9" s="34">
        <f>C31*'E Balans VL '!L19/100/3.6*1000000+C31*'E Balans VL '!N19/100/3.6*1000000</f>
        <v>18335.031236233521</v>
      </c>
      <c r="G9" s="35"/>
      <c r="H9" s="34"/>
      <c r="I9" s="34"/>
      <c r="J9" s="41">
        <f>C31*'E Balans VL '!D19/100/3.6*1000000+C31*'E Balans VL '!E19/100/3.6*1000000</f>
        <v>2.179994214982333</v>
      </c>
      <c r="K9" s="34"/>
      <c r="L9" s="34"/>
      <c r="M9" s="34"/>
      <c r="N9" s="34">
        <f>C31*'E Balans VL '!Y19/100/3.6*1000000</f>
        <v>1746.1622423678248</v>
      </c>
      <c r="O9" s="34"/>
      <c r="P9" s="34"/>
      <c r="R9" s="33"/>
    </row>
    <row r="10" spans="1:18">
      <c r="A10" s="6" t="s">
        <v>41</v>
      </c>
      <c r="B10" s="38">
        <f t="shared" si="0"/>
        <v>18912.879065434401</v>
      </c>
      <c r="C10" s="34"/>
      <c r="D10" s="38">
        <f>IF( ISERROR(IND_voed_gas_kWh/1000),0,IND_voed_gas_kWh/1000)*0.902</f>
        <v>16920.069948750672</v>
      </c>
      <c r="E10" s="34">
        <f>C32*'E Balans VL '!I20/100/3.6*1000000</f>
        <v>185.96308016665213</v>
      </c>
      <c r="F10" s="34">
        <f>C32*'E Balans VL '!L20/100/3.6*1000000+C32*'E Balans VL '!N20/100/3.6*1000000</f>
        <v>2100.5220833013523</v>
      </c>
      <c r="G10" s="35"/>
      <c r="H10" s="34"/>
      <c r="I10" s="34"/>
      <c r="J10" s="41">
        <f>C32*'E Balans VL '!D20/100/3.6*1000000+C32*'E Balans VL '!E20/100/3.6*1000000</f>
        <v>7.4544242327337473E-2</v>
      </c>
      <c r="K10" s="34"/>
      <c r="L10" s="34"/>
      <c r="M10" s="34"/>
      <c r="N10" s="34">
        <f>C32*'E Balans VL '!Y20/100/3.6*1000000</f>
        <v>280.05525117816569</v>
      </c>
      <c r="O10" s="34"/>
      <c r="P10" s="34"/>
      <c r="R10" s="33"/>
    </row>
    <row r="11" spans="1:18">
      <c r="A11" s="6" t="s">
        <v>40</v>
      </c>
      <c r="B11" s="38">
        <f t="shared" si="0"/>
        <v>515.97851280664406</v>
      </c>
      <c r="C11" s="34"/>
      <c r="D11" s="38">
        <f>IF( ISERROR(IND_textiel_gas_kWh/1000),0,IND_textiel_gas_kWh/1000)*0.902</f>
        <v>5171.7443314012999</v>
      </c>
      <c r="E11" s="34">
        <f>C33*'E Balans VL '!I21/100/3.6*1000000</f>
        <v>1.0047299781776169</v>
      </c>
      <c r="F11" s="34">
        <f>C33*'E Balans VL '!L21/100/3.6*1000000+C33*'E Balans VL '!N21/100/3.6*1000000</f>
        <v>17.018664537701298</v>
      </c>
      <c r="G11" s="35"/>
      <c r="H11" s="34"/>
      <c r="I11" s="34"/>
      <c r="J11" s="41">
        <f>C33*'E Balans VL '!D21/100/3.6*1000000+C33*'E Balans VL '!E21/100/3.6*1000000</f>
        <v>0</v>
      </c>
      <c r="K11" s="34"/>
      <c r="L11" s="34"/>
      <c r="M11" s="34"/>
      <c r="N11" s="34">
        <f>C33*'E Balans VL '!Y21/100/3.6*1000000</f>
        <v>5.3520542927733405</v>
      </c>
      <c r="O11" s="34"/>
      <c r="P11" s="34"/>
      <c r="R11" s="33"/>
    </row>
    <row r="12" spans="1:18">
      <c r="A12" s="6" t="s">
        <v>37</v>
      </c>
      <c r="B12" s="38">
        <f t="shared" si="0"/>
        <v>268.03394280132301</v>
      </c>
      <c r="C12" s="34"/>
      <c r="D12" s="38">
        <f>IF( ISERROR(IND_min_gas_kWh/1000),0,IND_min_gas_kWh/1000)*0.902</f>
        <v>0</v>
      </c>
      <c r="E12" s="34">
        <f>C34*'E Balans VL '!I22/100/3.6*1000000</f>
        <v>6.7951374150954553</v>
      </c>
      <c r="F12" s="34">
        <f>C34*'E Balans VL '!L22/100/3.6*1000000+C34*'E Balans VL '!N22/100/3.6*1000000</f>
        <v>74.165926229630941</v>
      </c>
      <c r="G12" s="35"/>
      <c r="H12" s="34"/>
      <c r="I12" s="34"/>
      <c r="J12" s="41">
        <f>C34*'E Balans VL '!D22/100/3.6*1000000+C34*'E Balans VL '!E22/100/3.6*1000000</f>
        <v>1.770150019929434</v>
      </c>
      <c r="K12" s="34"/>
      <c r="L12" s="34"/>
      <c r="M12" s="34"/>
      <c r="N12" s="34">
        <f>C34*'E Balans VL '!Y22/100/3.6*1000000</f>
        <v>0</v>
      </c>
      <c r="O12" s="34"/>
      <c r="P12" s="34"/>
      <c r="R12" s="33"/>
    </row>
    <row r="13" spans="1:18">
      <c r="A13" s="6" t="s">
        <v>39</v>
      </c>
      <c r="B13" s="38">
        <f t="shared" si="0"/>
        <v>226.513997530257</v>
      </c>
      <c r="C13" s="34"/>
      <c r="D13" s="38">
        <f>IF( ISERROR(IND_papier_gas_kWh/1000),0,IND_papier_gas_kWh/1000)*0.902</f>
        <v>199.26203336256884</v>
      </c>
      <c r="E13" s="34">
        <f>C35*'E Balans VL '!I23/100/3.6*1000000</f>
        <v>7.7153951799435339</v>
      </c>
      <c r="F13" s="34">
        <f>C35*'E Balans VL '!L23/100/3.6*1000000+C35*'E Balans VL '!N23/100/3.6*1000000</f>
        <v>37.414796222909992</v>
      </c>
      <c r="G13" s="35"/>
      <c r="H13" s="34"/>
      <c r="I13" s="34"/>
      <c r="J13" s="41">
        <f>C35*'E Balans VL '!D23/100/3.6*1000000+C35*'E Balans VL '!E23/100/3.6*1000000</f>
        <v>0</v>
      </c>
      <c r="K13" s="34"/>
      <c r="L13" s="34"/>
      <c r="M13" s="34"/>
      <c r="N13" s="34">
        <f>C35*'E Balans VL '!Y23/100/3.6*1000000</f>
        <v>83.351076456626799</v>
      </c>
      <c r="O13" s="34"/>
      <c r="P13" s="34"/>
      <c r="R13" s="33"/>
    </row>
    <row r="14" spans="1:18">
      <c r="A14" s="6" t="s">
        <v>34</v>
      </c>
      <c r="B14" s="38">
        <f t="shared" si="0"/>
        <v>158.94430630514501</v>
      </c>
      <c r="C14" s="34"/>
      <c r="D14" s="38">
        <f>IF( ISERROR(IND_chemie_gas_kWh/1000),0,IND_chemie_gas_kWh/1000)*0.902</f>
        <v>0</v>
      </c>
      <c r="E14" s="34">
        <f>C36*'E Balans VL '!I24/100/3.6*1000000</f>
        <v>1.2017039442758157</v>
      </c>
      <c r="F14" s="34">
        <f>C36*'E Balans VL '!L24/100/3.6*1000000+C36*'E Balans VL '!N24/100/3.6*1000000</f>
        <v>2.9409091180489999</v>
      </c>
      <c r="G14" s="35"/>
      <c r="H14" s="34"/>
      <c r="I14" s="34"/>
      <c r="J14" s="41">
        <f>C36*'E Balans VL '!D24/100/3.6*1000000+C36*'E Balans VL '!E24/100/3.6*1000000</f>
        <v>0</v>
      </c>
      <c r="K14" s="34"/>
      <c r="L14" s="34"/>
      <c r="M14" s="34"/>
      <c r="N14" s="34">
        <f>C36*'E Balans VL '!Y24/100/3.6*1000000</f>
        <v>4.6089750268601189E-2</v>
      </c>
      <c r="O14" s="34"/>
      <c r="P14" s="34"/>
      <c r="R14" s="33"/>
    </row>
    <row r="15" spans="1:18">
      <c r="A15" s="6" t="s">
        <v>270</v>
      </c>
      <c r="B15" s="38">
        <f t="shared" si="0"/>
        <v>26778.948900708401</v>
      </c>
      <c r="C15" s="34"/>
      <c r="D15" s="38">
        <f>IF( ISERROR(IND_rest_gas_kWh/1000),0,IND_rest_gas_kWh/1000)*0.902</f>
        <v>11602.242914586797</v>
      </c>
      <c r="E15" s="34">
        <f>C37*'E Balans VL '!I15/100/3.6*1000000</f>
        <v>240.62735867409282</v>
      </c>
      <c r="F15" s="34">
        <f>C37*'E Balans VL '!L15/100/3.6*1000000+C37*'E Balans VL '!N15/100/3.6*1000000</f>
        <v>5273.3232154306534</v>
      </c>
      <c r="G15" s="35"/>
      <c r="H15" s="34"/>
      <c r="I15" s="34"/>
      <c r="J15" s="41">
        <f>C37*'E Balans VL '!D15/100/3.6*1000000+C37*'E Balans VL '!E15/100/3.6*1000000</f>
        <v>134.66518565818643</v>
      </c>
      <c r="K15" s="34"/>
      <c r="L15" s="34"/>
      <c r="M15" s="34"/>
      <c r="N15" s="34">
        <f>C37*'E Balans VL '!Y15/100/3.6*1000000</f>
        <v>822.04318313517581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83627.732064262978</v>
      </c>
      <c r="C18" s="22">
        <f>C5+C16</f>
        <v>0</v>
      </c>
      <c r="D18" s="22">
        <f>MAX((D5+D16),0)</f>
        <v>50364.87497047447</v>
      </c>
      <c r="E18" s="22">
        <f>MAX((E5+E16),0)</f>
        <v>701.46277528674455</v>
      </c>
      <c r="F18" s="22">
        <f>MAX((F5+F16),0)</f>
        <v>27649.900304525432</v>
      </c>
      <c r="G18" s="22"/>
      <c r="H18" s="22"/>
      <c r="I18" s="22"/>
      <c r="J18" s="22">
        <f>MAX((J5+J16),0)</f>
        <v>363.66796512993693</v>
      </c>
      <c r="K18" s="22"/>
      <c r="L18" s="22">
        <f>MAX((L5+L16),0)</f>
        <v>0</v>
      </c>
      <c r="M18" s="22"/>
      <c r="N18" s="22">
        <f>MAX((N5+N16),0)</f>
        <v>2984.1579937053375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0.20918786386321289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17493.906630248286</v>
      </c>
      <c r="C22" s="24">
        <f ca="1">C18*C20</f>
        <v>0</v>
      </c>
      <c r="D22" s="24">
        <f>D18*D20</f>
        <v>10173.704744035844</v>
      </c>
      <c r="E22" s="24">
        <f>E18*E20</f>
        <v>159.23204999009101</v>
      </c>
      <c r="F22" s="24">
        <f>F18*F20</f>
        <v>7382.5233813082905</v>
      </c>
      <c r="G22" s="24"/>
      <c r="H22" s="24"/>
      <c r="I22" s="24"/>
      <c r="J22" s="24">
        <f>J18*J20</f>
        <v>128.73845965599767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13719.390904439799</v>
      </c>
      <c r="C30" s="40">
        <f>IF(ISERROR(B30*3.6/1000000/'E Balans VL '!Z18*100),0,B30*3.6/1000000/'E Balans VL '!Z18*100)</f>
        <v>0.76339236305220881</v>
      </c>
      <c r="D30" s="240" t="s">
        <v>707</v>
      </c>
    </row>
    <row r="31" spans="1:18">
      <c r="A31" s="6" t="s">
        <v>33</v>
      </c>
      <c r="B31" s="38">
        <f>IF( ISERROR(IND_ander_ele_kWh/1000),0,IND_ander_ele_kWh/1000)</f>
        <v>23047.042434236999</v>
      </c>
      <c r="C31" s="40">
        <f>IF(ISERROR(B31*3.6/1000000/'E Balans VL '!Z19*100),0,B31*3.6/1000000/'E Balans VL '!Z19*100)</f>
        <v>1.0713964742575288</v>
      </c>
      <c r="D31" s="240" t="s">
        <v>707</v>
      </c>
    </row>
    <row r="32" spans="1:18">
      <c r="A32" s="174" t="s">
        <v>41</v>
      </c>
      <c r="B32" s="38">
        <f>IF( ISERROR(IND_voed_ele_kWh/1000),0,IND_voed_ele_kWh/1000)</f>
        <v>18912.879065434401</v>
      </c>
      <c r="C32" s="40">
        <f>IF(ISERROR(B32*3.6/1000000/'E Balans VL '!Z20*100),0,B32*3.6/1000000/'E Balans VL '!Z20*100)</f>
        <v>0.66853207878620857</v>
      </c>
      <c r="D32" s="240" t="s">
        <v>707</v>
      </c>
    </row>
    <row r="33" spans="1:5">
      <c r="A33" s="174" t="s">
        <v>40</v>
      </c>
      <c r="B33" s="38">
        <f>IF( ISERROR(IND_textiel_ele_kWh/1000),0,IND_textiel_ele_kWh/1000)</f>
        <v>515.97851280664406</v>
      </c>
      <c r="C33" s="40">
        <f>IF(ISERROR(B33*3.6/1000000/'E Balans VL '!Z21*100),0,B33*3.6/1000000/'E Balans VL '!Z21*100)</f>
        <v>6.9690727579788128E-2</v>
      </c>
      <c r="D33" s="240" t="s">
        <v>707</v>
      </c>
    </row>
    <row r="34" spans="1:5">
      <c r="A34" s="174" t="s">
        <v>37</v>
      </c>
      <c r="B34" s="38">
        <f>IF( ISERROR(IND_min_ele_kWh/1000),0,IND_min_ele_kWh/1000)</f>
        <v>268.03394280132301</v>
      </c>
      <c r="C34" s="40">
        <f>IF(ISERROR(B34*3.6/1000000/'E Balans VL '!Z22*100),0,B34*3.6/1000000/'E Balans VL '!Z22*100)</f>
        <v>5.3867264201229351E-2</v>
      </c>
      <c r="D34" s="240" t="s">
        <v>707</v>
      </c>
    </row>
    <row r="35" spans="1:5">
      <c r="A35" s="174" t="s">
        <v>39</v>
      </c>
      <c r="B35" s="38">
        <f>IF( ISERROR(IND_papier_ele_kWh/1000),0,IND_papier_ele_kWh/1000)</f>
        <v>226.513997530257</v>
      </c>
      <c r="C35" s="40">
        <f>IF(ISERROR(B35*3.6/1000000/'E Balans VL '!Z22*100),0,B35*3.6/1000000/'E Balans VL '!Z22*100)</f>
        <v>4.552292602464654E-2</v>
      </c>
      <c r="D35" s="240" t="s">
        <v>707</v>
      </c>
    </row>
    <row r="36" spans="1:5">
      <c r="A36" s="174" t="s">
        <v>34</v>
      </c>
      <c r="B36" s="38">
        <f>IF( ISERROR(IND_chemie_ele_kWh/1000),0,IND_chemie_ele_kWh/1000)</f>
        <v>158.94430630514501</v>
      </c>
      <c r="C36" s="40">
        <f>IF(ISERROR(B36*3.6/1000000/'E Balans VL '!Z24*100),0,B36*3.6/1000000/'E Balans VL '!Z24*100)</f>
        <v>3.914039120574973E-3</v>
      </c>
      <c r="D36" s="240" t="s">
        <v>707</v>
      </c>
    </row>
    <row r="37" spans="1:5">
      <c r="A37" s="174" t="s">
        <v>270</v>
      </c>
      <c r="B37" s="38">
        <f>IF( ISERROR(IND_rest_ele_kWh/1000),0,IND_rest_ele_kWh/1000)</f>
        <v>26778.948900708401</v>
      </c>
      <c r="C37" s="40">
        <f>IF(ISERROR(B37*3.6/1000000/'E Balans VL '!Z15*100),0,B37*3.6/1000000/'E Balans VL '!Z15*100)</f>
        <v>0.20222062268971047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3856.9630661344868</v>
      </c>
      <c r="C5" s="18">
        <f>'Eigen informatie GS &amp; warmtenet'!B60</f>
        <v>0</v>
      </c>
      <c r="D5" s="31">
        <f>IF(ISERROR(SUM(LB_lb_gas_kWh,LB_rest_gas_kWh)/1000),0,SUM(LB_lb_gas_kWh,LB_rest_gas_kWh)/1000)*0.902</f>
        <v>6051.2652206895427</v>
      </c>
      <c r="E5" s="18">
        <f>B17*'E Balans VL '!I25/3.6*1000000/100</f>
        <v>36.335176333012576</v>
      </c>
      <c r="F5" s="18">
        <f>B17*('E Balans VL '!L25/3.6*1000000+'E Balans VL '!N25/3.6*1000000)/100</f>
        <v>12586.550498423509</v>
      </c>
      <c r="G5" s="19"/>
      <c r="H5" s="18"/>
      <c r="I5" s="18"/>
      <c r="J5" s="18">
        <f>('E Balans VL '!D25+'E Balans VL '!E25)/3.6*1000000*landbouw!B17/100</f>
        <v>477.12509154558603</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3856.9630661344868</v>
      </c>
      <c r="C8" s="22">
        <f>C5+C6</f>
        <v>5.6688311688311686</v>
      </c>
      <c r="D8" s="22">
        <f>MAX((D5+D6),0)</f>
        <v>6051.2652206895427</v>
      </c>
      <c r="E8" s="22">
        <f>MAX((E5+E6),0)</f>
        <v>36.335176333012576</v>
      </c>
      <c r="F8" s="22">
        <f>MAX((F5+F6),0)</f>
        <v>12586.550498423509</v>
      </c>
      <c r="G8" s="22"/>
      <c r="H8" s="22"/>
      <c r="I8" s="22"/>
      <c r="J8" s="22">
        <f>MAX((J5+J6),0)</f>
        <v>477.12509154558603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0.20918786386321289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806.8298648039812</v>
      </c>
      <c r="C12" s="24">
        <f ca="1">C8*C10</f>
        <v>0</v>
      </c>
      <c r="D12" s="24">
        <f>D8*D10</f>
        <v>1222.3555745792878</v>
      </c>
      <c r="E12" s="24">
        <f>E8*E10</f>
        <v>8.2480850275938558</v>
      </c>
      <c r="F12" s="24">
        <f>F8*F10</f>
        <v>3360.608983079077</v>
      </c>
      <c r="G12" s="24"/>
      <c r="H12" s="24"/>
      <c r="I12" s="24"/>
      <c r="J12" s="24">
        <f>J8*J10</f>
        <v>168.90228240713745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0.52217116685501053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793.48743753054282</v>
      </c>
      <c r="C26" s="250">
        <f>B26*'GWP N2O_CH4'!B5</f>
        <v>16663.2361881414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227.5116009814721</v>
      </c>
      <c r="C27" s="250">
        <f>B27*'GWP N2O_CH4'!B5</f>
        <v>4777.7436206109141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11.189172185729579</v>
      </c>
      <c r="C28" s="250">
        <f>B28*'GWP N2O_CH4'!B4</f>
        <v>3468.6433775761693</v>
      </c>
      <c r="D28" s="51"/>
    </row>
    <row r="29" spans="1:4">
      <c r="A29" s="42" t="s">
        <v>277</v>
      </c>
      <c r="B29" s="250">
        <f>B34*'ha_N2O bodem landbouw'!B4</f>
        <v>19.480268664824131</v>
      </c>
      <c r="C29" s="250">
        <f>B29*'GWP N2O_CH4'!B4</f>
        <v>6038.8832860954808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5.259059295446864E-3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2.8037091470735625E-5</v>
      </c>
      <c r="C5" s="447" t="s">
        <v>211</v>
      </c>
      <c r="D5" s="432">
        <f>SUM(D6:D11)</f>
        <v>7.8836738379229194E-5</v>
      </c>
      <c r="E5" s="432">
        <f>SUM(E6:E11)</f>
        <v>5.1982665575121111E-3</v>
      </c>
      <c r="F5" s="445" t="s">
        <v>211</v>
      </c>
      <c r="G5" s="432">
        <f>SUM(G6:G11)</f>
        <v>1.3115623245212573</v>
      </c>
      <c r="H5" s="432">
        <f>SUM(H6:H11)</f>
        <v>0.18068076741638336</v>
      </c>
      <c r="I5" s="447" t="s">
        <v>211</v>
      </c>
      <c r="J5" s="447" t="s">
        <v>211</v>
      </c>
      <c r="K5" s="447" t="s">
        <v>211</v>
      </c>
      <c r="L5" s="447" t="s">
        <v>211</v>
      </c>
      <c r="M5" s="432">
        <f>SUM(M6:M11)</f>
        <v>6.6669485531388809E-2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6.8344208056222517E-6</v>
      </c>
      <c r="C6" s="433"/>
      <c r="D6" s="433">
        <f>vkm_2011_GW_PW*SUMIFS(TableVerdeelsleutelVkm[CNG],TableVerdeelsleutelVkm[Voertuigtype],"Lichte voertuigen")*SUMIFS(TableECFTransport[EnergieConsumptieFactor (PJ per km)],TableECFTransport[Index],CONCATENATE($A6,"_CNG_CNG"))</f>
        <v>1.668977006410228E-5</v>
      </c>
      <c r="E6" s="435">
        <f>vkm_2011_GW_PW*SUMIFS(TableVerdeelsleutelVkm[LPG],TableVerdeelsleutelVkm[Voertuigtype],"Lichte voertuigen")*SUMIFS(TableECFTransport[EnergieConsumptieFactor (PJ per km)],TableECFTransport[Index],CONCATENATE($A6,"_LPG_LPG"))</f>
        <v>9.8928331898780067E-4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0.1430125411706501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3.747947836662846E-2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8.082765031320523E-3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7.6633133086714447E-2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3.0918481525756678E-5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3.4139823688877696E-3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4.6173972673004438E-6</v>
      </c>
      <c r="C8" s="433"/>
      <c r="D8" s="435">
        <f>vkm_2011_NGW_PW*SUMIFS(TableVerdeelsleutelVkm[CNG],TableVerdeelsleutelVkm[Voertuigtype],"Lichte voertuigen")*SUMIFS(TableECFTransport[EnergieConsumptieFactor (PJ per km)],TableECFTransport[Index],CONCATENATE($A8,"_CNG_CNG"))</f>
        <v>2.0230631814109875E-5</v>
      </c>
      <c r="E8" s="435">
        <f>vkm_2011_NGW_PW*SUMIFS(TableVerdeelsleutelVkm[LPG],TableVerdeelsleutelVkm[Voertuigtype],"Lichte voertuigen")*SUMIFS(TableECFTransport[EnergieConsumptieFactor (PJ per km)],TableECFTransport[Index],CONCATENATE($A8,"_LPG_LPG"))</f>
        <v>1.1001157492513396E-3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0.15023766315397724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4.350463009461096E-2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8.6800875674743327E-3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4.9561201904131005E-2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1.7410440260476863E-5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2.2078179515605378E-3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1.6585273397812928E-5</v>
      </c>
      <c r="C10" s="433"/>
      <c r="D10" s="435">
        <f>vkm_2011_SW_PW*SUMIFS(TableVerdeelsleutelVkm[CNG],TableVerdeelsleutelVkm[Voertuigtype],"Lichte voertuigen")*SUMIFS(TableECFTransport[EnergieConsumptieFactor (PJ per km)],TableECFTransport[Index],CONCATENATE($A10,"_CNG_CNG"))</f>
        <v>4.1916336501017043E-5</v>
      </c>
      <c r="E10" s="435">
        <f>vkm_2011_SW_PW*SUMIFS(TableVerdeelsleutelVkm[LPG],TableVerdeelsleutelVkm[Voertuigtype],"Lichte voertuigen")*SUMIFS(TableECFTransport[EnergieConsumptieFactor (PJ per km)],TableECFTransport[Index],CONCATENATE($A10,"_LPG_LPG"))</f>
        <v>3.1088674892729711E-3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0.40957590371202007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9.9441777308006865E-2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2.2787198365947961E-2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0.48254188149376448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2.065527253508322E-4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2.1497634246197685E-2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7.7880809640932291</v>
      </c>
      <c r="C14" s="22"/>
      <c r="D14" s="22">
        <f t="shared" ref="D14:M14" si="0">((D5)*10^9/3600)+D12</f>
        <v>21.899093994230331</v>
      </c>
      <c r="E14" s="22">
        <f t="shared" si="0"/>
        <v>1443.962932642253</v>
      </c>
      <c r="F14" s="22"/>
      <c r="G14" s="22">
        <f t="shared" si="0"/>
        <v>364322.86792257149</v>
      </c>
      <c r="H14" s="22">
        <f t="shared" si="0"/>
        <v>50189.102060106488</v>
      </c>
      <c r="I14" s="22"/>
      <c r="J14" s="22"/>
      <c r="K14" s="22"/>
      <c r="L14" s="22"/>
      <c r="M14" s="22">
        <f t="shared" si="0"/>
        <v>18519.301536496892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0.20918786386321289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1.6291720204724143</v>
      </c>
      <c r="C18" s="24"/>
      <c r="D18" s="24">
        <f t="shared" ref="D18:M18" si="1">D14*D16</f>
        <v>4.423616986834527</v>
      </c>
      <c r="E18" s="24">
        <f t="shared" si="1"/>
        <v>327.77958570979143</v>
      </c>
      <c r="F18" s="24"/>
      <c r="G18" s="24">
        <f t="shared" si="1"/>
        <v>97274.205735326599</v>
      </c>
      <c r="H18" s="24">
        <f t="shared" si="1"/>
        <v>12497.086412966515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7.5880426115913337E-3</v>
      </c>
      <c r="H50" s="323">
        <f t="shared" si="2"/>
        <v>0</v>
      </c>
      <c r="I50" s="323">
        <f t="shared" si="2"/>
        <v>0</v>
      </c>
      <c r="J50" s="323">
        <f t="shared" si="2"/>
        <v>0</v>
      </c>
      <c r="K50" s="323">
        <f t="shared" si="2"/>
        <v>0</v>
      </c>
      <c r="L50" s="323">
        <f t="shared" si="2"/>
        <v>0</v>
      </c>
      <c r="M50" s="323">
        <f t="shared" si="2"/>
        <v>3.3320346833423144E-4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7.5880426115913337E-3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3.3320346833423144E-4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2107.7896143309258</v>
      </c>
      <c r="H54" s="22">
        <f t="shared" si="3"/>
        <v>0</v>
      </c>
      <c r="I54" s="22">
        <f t="shared" si="3"/>
        <v>0</v>
      </c>
      <c r="J54" s="22">
        <f t="shared" si="3"/>
        <v>0</v>
      </c>
      <c r="K54" s="22">
        <f t="shared" si="3"/>
        <v>0</v>
      </c>
      <c r="L54" s="22">
        <f t="shared" si="3"/>
        <v>0</v>
      </c>
      <c r="M54" s="22">
        <f t="shared" si="3"/>
        <v>92.556518981730946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0.20918786386321289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562.77982702635722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73023.730221829624</v>
      </c>
      <c r="D10" s="688">
        <f ca="1">tertiair!C16</f>
        <v>0</v>
      </c>
      <c r="E10" s="688">
        <f ca="1">tertiair!D16</f>
        <v>95282.360554100844</v>
      </c>
      <c r="F10" s="688">
        <f>tertiair!E16</f>
        <v>579.03948850284894</v>
      </c>
      <c r="G10" s="688">
        <f ca="1">tertiair!F16</f>
        <v>15009.695087790731</v>
      </c>
      <c r="H10" s="688">
        <f>tertiair!G16</f>
        <v>0</v>
      </c>
      <c r="I10" s="688">
        <f>tertiair!H16</f>
        <v>0</v>
      </c>
      <c r="J10" s="688">
        <f>tertiair!I16</f>
        <v>0</v>
      </c>
      <c r="K10" s="688">
        <f>tertiair!J16</f>
        <v>0</v>
      </c>
      <c r="L10" s="688">
        <f>tertiair!K16</f>
        <v>0</v>
      </c>
      <c r="M10" s="688">
        <f ca="1">tertiair!L16</f>
        <v>0</v>
      </c>
      <c r="N10" s="688">
        <f>tertiair!M16</f>
        <v>0</v>
      </c>
      <c r="O10" s="688">
        <f ca="1">tertiair!N16</f>
        <v>6591.8699948668209</v>
      </c>
      <c r="P10" s="688">
        <f>tertiair!O16</f>
        <v>0</v>
      </c>
      <c r="Q10" s="689">
        <f>tertiair!P16</f>
        <v>0</v>
      </c>
      <c r="R10" s="691">
        <f ca="1">SUM(C10:Q10)</f>
        <v>190486.69534709083</v>
      </c>
      <c r="S10" s="68"/>
    </row>
    <row r="11" spans="1:19" s="457" customFormat="1">
      <c r="A11" s="803" t="s">
        <v>225</v>
      </c>
      <c r="B11" s="808"/>
      <c r="C11" s="688">
        <f>huishoudens!B8</f>
        <v>74637.309606327501</v>
      </c>
      <c r="D11" s="688">
        <f>huishoudens!C8</f>
        <v>0</v>
      </c>
      <c r="E11" s="688">
        <f>huishoudens!D8</f>
        <v>152543.53271548616</v>
      </c>
      <c r="F11" s="688">
        <f>huishoudens!E8</f>
        <v>8497.4048134074965</v>
      </c>
      <c r="G11" s="688">
        <f>huishoudens!F8</f>
        <v>19005.560594062579</v>
      </c>
      <c r="H11" s="688">
        <f>huishoudens!G8</f>
        <v>0</v>
      </c>
      <c r="I11" s="688">
        <f>huishoudens!H8</f>
        <v>0</v>
      </c>
      <c r="J11" s="688">
        <f>huishoudens!I8</f>
        <v>0</v>
      </c>
      <c r="K11" s="688">
        <f>huishoudens!J8</f>
        <v>8274.2503349999442</v>
      </c>
      <c r="L11" s="688">
        <f>huishoudens!K8</f>
        <v>0</v>
      </c>
      <c r="M11" s="688">
        <f>huishoudens!L8</f>
        <v>0</v>
      </c>
      <c r="N11" s="688">
        <f>huishoudens!M8</f>
        <v>0</v>
      </c>
      <c r="O11" s="688">
        <f>huishoudens!N8</f>
        <v>37548.224017000743</v>
      </c>
      <c r="P11" s="688">
        <f>huishoudens!O8</f>
        <v>189.16333333333336</v>
      </c>
      <c r="Q11" s="689">
        <f>huishoudens!P8</f>
        <v>972.4</v>
      </c>
      <c r="R11" s="691">
        <f>SUM(C11:Q11)</f>
        <v>301667.8454146178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83627.732064262978</v>
      </c>
      <c r="D13" s="688">
        <f>industrie!C18</f>
        <v>0</v>
      </c>
      <c r="E13" s="688">
        <f>industrie!D18</f>
        <v>50364.87497047447</v>
      </c>
      <c r="F13" s="688">
        <f>industrie!E18</f>
        <v>701.46277528674455</v>
      </c>
      <c r="G13" s="688">
        <f>industrie!F18</f>
        <v>27649.900304525432</v>
      </c>
      <c r="H13" s="688">
        <f>industrie!G18</f>
        <v>0</v>
      </c>
      <c r="I13" s="688">
        <f>industrie!H18</f>
        <v>0</v>
      </c>
      <c r="J13" s="688">
        <f>industrie!I18</f>
        <v>0</v>
      </c>
      <c r="K13" s="688">
        <f>industrie!J18</f>
        <v>363.66796512993693</v>
      </c>
      <c r="L13" s="688">
        <f>industrie!K18</f>
        <v>0</v>
      </c>
      <c r="M13" s="688">
        <f>industrie!L18</f>
        <v>0</v>
      </c>
      <c r="N13" s="688">
        <f>industrie!M18</f>
        <v>0</v>
      </c>
      <c r="O13" s="688">
        <f>industrie!N18</f>
        <v>2984.1579937053375</v>
      </c>
      <c r="P13" s="688">
        <f>industrie!O18</f>
        <v>0</v>
      </c>
      <c r="Q13" s="689">
        <f>industrie!P18</f>
        <v>0</v>
      </c>
      <c r="R13" s="691">
        <f>SUM(C13:Q13)</f>
        <v>165691.7960733849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231288.77189242007</v>
      </c>
      <c r="D16" s="721">
        <f t="shared" ref="D16:R16" ca="1" si="0">SUM(D9:D15)</f>
        <v>0</v>
      </c>
      <c r="E16" s="721">
        <f t="shared" ca="1" si="0"/>
        <v>298190.76824006147</v>
      </c>
      <c r="F16" s="721">
        <f t="shared" si="0"/>
        <v>9777.907077197091</v>
      </c>
      <c r="G16" s="721">
        <f t="shared" ca="1" si="0"/>
        <v>61665.155986378741</v>
      </c>
      <c r="H16" s="721">
        <f t="shared" si="0"/>
        <v>0</v>
      </c>
      <c r="I16" s="721">
        <f t="shared" si="0"/>
        <v>0</v>
      </c>
      <c r="J16" s="721">
        <f t="shared" si="0"/>
        <v>0</v>
      </c>
      <c r="K16" s="721">
        <f t="shared" si="0"/>
        <v>8637.9183001298807</v>
      </c>
      <c r="L16" s="721">
        <f t="shared" si="0"/>
        <v>0</v>
      </c>
      <c r="M16" s="721">
        <f t="shared" ca="1" si="0"/>
        <v>0</v>
      </c>
      <c r="N16" s="721">
        <f t="shared" si="0"/>
        <v>0</v>
      </c>
      <c r="O16" s="721">
        <f t="shared" ca="1" si="0"/>
        <v>47124.252005572904</v>
      </c>
      <c r="P16" s="721">
        <f t="shared" si="0"/>
        <v>189.16333333333336</v>
      </c>
      <c r="Q16" s="721">
        <f t="shared" si="0"/>
        <v>972.4</v>
      </c>
      <c r="R16" s="721">
        <f t="shared" ca="1" si="0"/>
        <v>657846.33683509356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2107.7896143309258</v>
      </c>
      <c r="I19" s="688">
        <f>transport!H54</f>
        <v>0</v>
      </c>
      <c r="J19" s="688">
        <f>transport!I54</f>
        <v>0</v>
      </c>
      <c r="K19" s="688">
        <f>transport!J54</f>
        <v>0</v>
      </c>
      <c r="L19" s="688">
        <f>transport!K54</f>
        <v>0</v>
      </c>
      <c r="M19" s="688">
        <f>transport!L54</f>
        <v>0</v>
      </c>
      <c r="N19" s="688">
        <f>transport!M54</f>
        <v>92.556518981730946</v>
      </c>
      <c r="O19" s="688">
        <f>transport!N54</f>
        <v>0</v>
      </c>
      <c r="P19" s="688">
        <f>transport!O54</f>
        <v>0</v>
      </c>
      <c r="Q19" s="689">
        <f>transport!P54</f>
        <v>0</v>
      </c>
      <c r="R19" s="691">
        <f>SUM(C19:Q19)</f>
        <v>2200.3461333126565</v>
      </c>
      <c r="S19" s="68"/>
    </row>
    <row r="20" spans="1:19" s="457" customFormat="1">
      <c r="A20" s="803" t="s">
        <v>307</v>
      </c>
      <c r="B20" s="808"/>
      <c r="C20" s="688">
        <f>transport!B14</f>
        <v>7.7880809640932291</v>
      </c>
      <c r="D20" s="688">
        <f>transport!C14</f>
        <v>0</v>
      </c>
      <c r="E20" s="688">
        <f>transport!D14</f>
        <v>21.899093994230331</v>
      </c>
      <c r="F20" s="688">
        <f>transport!E14</f>
        <v>1443.962932642253</v>
      </c>
      <c r="G20" s="688">
        <f>transport!F14</f>
        <v>0</v>
      </c>
      <c r="H20" s="688">
        <f>transport!G14</f>
        <v>364322.86792257149</v>
      </c>
      <c r="I20" s="688">
        <f>transport!H14</f>
        <v>50189.102060106488</v>
      </c>
      <c r="J20" s="688">
        <f>transport!I14</f>
        <v>0</v>
      </c>
      <c r="K20" s="688">
        <f>transport!J14</f>
        <v>0</v>
      </c>
      <c r="L20" s="688">
        <f>transport!K14</f>
        <v>0</v>
      </c>
      <c r="M20" s="688">
        <f>transport!L14</f>
        <v>0</v>
      </c>
      <c r="N20" s="688">
        <f>transport!M14</f>
        <v>18519.301536496892</v>
      </c>
      <c r="O20" s="688">
        <f>transport!N14</f>
        <v>0</v>
      </c>
      <c r="P20" s="688">
        <f>transport!O14</f>
        <v>0</v>
      </c>
      <c r="Q20" s="689">
        <f>transport!P14</f>
        <v>0</v>
      </c>
      <c r="R20" s="691">
        <f>SUM(C20:Q20)</f>
        <v>434504.92162677541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7.7880809640932291</v>
      </c>
      <c r="D22" s="806">
        <f t="shared" ref="D22:R22" si="1">SUM(D18:D21)</f>
        <v>0</v>
      </c>
      <c r="E22" s="806">
        <f t="shared" si="1"/>
        <v>21.899093994230331</v>
      </c>
      <c r="F22" s="806">
        <f t="shared" si="1"/>
        <v>1443.962932642253</v>
      </c>
      <c r="G22" s="806">
        <f t="shared" si="1"/>
        <v>0</v>
      </c>
      <c r="H22" s="806">
        <f t="shared" si="1"/>
        <v>366430.65753690241</v>
      </c>
      <c r="I22" s="806">
        <f t="shared" si="1"/>
        <v>50189.102060106488</v>
      </c>
      <c r="J22" s="806">
        <f t="shared" si="1"/>
        <v>0</v>
      </c>
      <c r="K22" s="806">
        <f t="shared" si="1"/>
        <v>0</v>
      </c>
      <c r="L22" s="806">
        <f t="shared" si="1"/>
        <v>0</v>
      </c>
      <c r="M22" s="806">
        <f t="shared" si="1"/>
        <v>0</v>
      </c>
      <c r="N22" s="806">
        <f t="shared" si="1"/>
        <v>18611.858055478624</v>
      </c>
      <c r="O22" s="806">
        <f t="shared" si="1"/>
        <v>0</v>
      </c>
      <c r="P22" s="806">
        <f t="shared" si="1"/>
        <v>0</v>
      </c>
      <c r="Q22" s="806">
        <f t="shared" si="1"/>
        <v>0</v>
      </c>
      <c r="R22" s="806">
        <f t="shared" si="1"/>
        <v>436705.26776008809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3856.9630661344868</v>
      </c>
      <c r="D24" s="688">
        <f>+landbouw!C8</f>
        <v>5.6688311688311686</v>
      </c>
      <c r="E24" s="688">
        <f>+landbouw!D8</f>
        <v>6051.2652206895427</v>
      </c>
      <c r="F24" s="688">
        <f>+landbouw!E8</f>
        <v>36.335176333012576</v>
      </c>
      <c r="G24" s="688">
        <f>+landbouw!F8</f>
        <v>12586.550498423509</v>
      </c>
      <c r="H24" s="688">
        <f>+landbouw!G8</f>
        <v>0</v>
      </c>
      <c r="I24" s="688">
        <f>+landbouw!H8</f>
        <v>0</v>
      </c>
      <c r="J24" s="688">
        <f>+landbouw!I8</f>
        <v>0</v>
      </c>
      <c r="K24" s="688">
        <f>+landbouw!J8</f>
        <v>477.12509154558603</v>
      </c>
      <c r="L24" s="688">
        <f>+landbouw!K8</f>
        <v>0</v>
      </c>
      <c r="M24" s="688">
        <f>+landbouw!L8</f>
        <v>0</v>
      </c>
      <c r="N24" s="688">
        <f>+landbouw!M8</f>
        <v>0</v>
      </c>
      <c r="O24" s="688">
        <f>+landbouw!N8</f>
        <v>0</v>
      </c>
      <c r="P24" s="688">
        <f>+landbouw!O8</f>
        <v>0</v>
      </c>
      <c r="Q24" s="689">
        <f>+landbouw!P8</f>
        <v>0</v>
      </c>
      <c r="R24" s="691">
        <f>SUM(C24:Q24)</f>
        <v>23013.907884294968</v>
      </c>
      <c r="S24" s="68"/>
    </row>
    <row r="25" spans="1:19" s="457" customFormat="1" ht="15" thickBot="1">
      <c r="A25" s="825" t="s">
        <v>912</v>
      </c>
      <c r="B25" s="1001"/>
      <c r="C25" s="1002">
        <f>IF(Onbekend_ele_kWh="---",0,Onbekend_ele_kWh)/1000+IF(REST_rest_ele_kWh="---",0,REST_rest_ele_kWh)/1000</f>
        <v>2148.0487647944497</v>
      </c>
      <c r="D25" s="1002"/>
      <c r="E25" s="1002">
        <f>IF(onbekend_gas_kWh="---",0,onbekend_gas_kWh)/1000+IF(REST_rest_gas_kWh="---",0,REST_rest_gas_kWh)/1000</f>
        <v>7337.3072028578199</v>
      </c>
      <c r="F25" s="1002"/>
      <c r="G25" s="1002"/>
      <c r="H25" s="1002"/>
      <c r="I25" s="1002"/>
      <c r="J25" s="1002"/>
      <c r="K25" s="1002"/>
      <c r="L25" s="1002"/>
      <c r="M25" s="1002"/>
      <c r="N25" s="1002"/>
      <c r="O25" s="1002"/>
      <c r="P25" s="1002"/>
      <c r="Q25" s="1003"/>
      <c r="R25" s="691">
        <f>SUM(C25:Q25)</f>
        <v>9485.3559676522691</v>
      </c>
      <c r="S25" s="68"/>
    </row>
    <row r="26" spans="1:19" s="457" customFormat="1" ht="15.75" thickBot="1">
      <c r="A26" s="694" t="s">
        <v>913</v>
      </c>
      <c r="B26" s="811"/>
      <c r="C26" s="806">
        <f>SUM(C24:C25)</f>
        <v>6005.0118309289364</v>
      </c>
      <c r="D26" s="806">
        <f t="shared" ref="D26:R26" si="2">SUM(D24:D25)</f>
        <v>5.6688311688311686</v>
      </c>
      <c r="E26" s="806">
        <f t="shared" si="2"/>
        <v>13388.572423547363</v>
      </c>
      <c r="F26" s="806">
        <f t="shared" si="2"/>
        <v>36.335176333012576</v>
      </c>
      <c r="G26" s="806">
        <f t="shared" si="2"/>
        <v>12586.550498423509</v>
      </c>
      <c r="H26" s="806">
        <f t="shared" si="2"/>
        <v>0</v>
      </c>
      <c r="I26" s="806">
        <f t="shared" si="2"/>
        <v>0</v>
      </c>
      <c r="J26" s="806">
        <f t="shared" si="2"/>
        <v>0</v>
      </c>
      <c r="K26" s="806">
        <f t="shared" si="2"/>
        <v>477.12509154558603</v>
      </c>
      <c r="L26" s="806">
        <f t="shared" si="2"/>
        <v>0</v>
      </c>
      <c r="M26" s="806">
        <f t="shared" si="2"/>
        <v>0</v>
      </c>
      <c r="N26" s="806">
        <f t="shared" si="2"/>
        <v>0</v>
      </c>
      <c r="O26" s="806">
        <f t="shared" si="2"/>
        <v>0</v>
      </c>
      <c r="P26" s="806">
        <f t="shared" si="2"/>
        <v>0</v>
      </c>
      <c r="Q26" s="806">
        <f t="shared" si="2"/>
        <v>0</v>
      </c>
      <c r="R26" s="806">
        <f t="shared" si="2"/>
        <v>32499.263851947238</v>
      </c>
      <c r="S26" s="68"/>
    </row>
    <row r="27" spans="1:19" s="457" customFormat="1" ht="17.25" thickTop="1" thickBot="1">
      <c r="A27" s="695" t="s">
        <v>116</v>
      </c>
      <c r="B27" s="798"/>
      <c r="C27" s="696">
        <f ca="1">C22+C16+C26</f>
        <v>237301.57180431311</v>
      </c>
      <c r="D27" s="696">
        <f t="shared" ref="D27:R27" ca="1" si="3">D22+D16+D26</f>
        <v>5.6688311688311686</v>
      </c>
      <c r="E27" s="696">
        <f t="shared" ca="1" si="3"/>
        <v>311601.23975760309</v>
      </c>
      <c r="F27" s="696">
        <f t="shared" si="3"/>
        <v>11258.205186172356</v>
      </c>
      <c r="G27" s="696">
        <f t="shared" ca="1" si="3"/>
        <v>74251.706484802242</v>
      </c>
      <c r="H27" s="696">
        <f t="shared" si="3"/>
        <v>366430.65753690241</v>
      </c>
      <c r="I27" s="696">
        <f t="shared" si="3"/>
        <v>50189.102060106488</v>
      </c>
      <c r="J27" s="696">
        <f t="shared" si="3"/>
        <v>0</v>
      </c>
      <c r="K27" s="696">
        <f t="shared" si="3"/>
        <v>9115.0433916754664</v>
      </c>
      <c r="L27" s="696">
        <f t="shared" si="3"/>
        <v>0</v>
      </c>
      <c r="M27" s="696">
        <f t="shared" ca="1" si="3"/>
        <v>0</v>
      </c>
      <c r="N27" s="696">
        <f t="shared" si="3"/>
        <v>18611.858055478624</v>
      </c>
      <c r="O27" s="696">
        <f t="shared" ca="1" si="3"/>
        <v>47124.252005572904</v>
      </c>
      <c r="P27" s="696">
        <f t="shared" si="3"/>
        <v>189.16333333333336</v>
      </c>
      <c r="Q27" s="696">
        <f t="shared" si="3"/>
        <v>972.4</v>
      </c>
      <c r="R27" s="696">
        <f t="shared" ca="1" si="3"/>
        <v>1127050.8684471287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15275.67813642808</v>
      </c>
      <c r="D40" s="688">
        <f ca="1">tertiair!C20</f>
        <v>0</v>
      </c>
      <c r="E40" s="688">
        <f ca="1">tertiair!D20</f>
        <v>19247.036831928373</v>
      </c>
      <c r="F40" s="688">
        <f>tertiair!E20</f>
        <v>131.44196389014672</v>
      </c>
      <c r="G40" s="688">
        <f ca="1">tertiair!F20</f>
        <v>4007.5885884401255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38661.745520686723</v>
      </c>
    </row>
    <row r="41" spans="1:18">
      <c r="A41" s="816" t="s">
        <v>225</v>
      </c>
      <c r="B41" s="823"/>
      <c r="C41" s="688">
        <f ca="1">huishoudens!B12</f>
        <v>15613.219361044909</v>
      </c>
      <c r="D41" s="688">
        <f ca="1">huishoudens!C12</f>
        <v>0</v>
      </c>
      <c r="E41" s="688">
        <f>huishoudens!D12</f>
        <v>30813.793608528205</v>
      </c>
      <c r="F41" s="688">
        <f>huishoudens!E12</f>
        <v>1928.9108926435017</v>
      </c>
      <c r="G41" s="688">
        <f>huishoudens!F12</f>
        <v>5074.4846786147091</v>
      </c>
      <c r="H41" s="688">
        <f>huishoudens!G12</f>
        <v>0</v>
      </c>
      <c r="I41" s="688">
        <f>huishoudens!H12</f>
        <v>0</v>
      </c>
      <c r="J41" s="688">
        <f>huishoudens!I12</f>
        <v>0</v>
      </c>
      <c r="K41" s="688">
        <f>huishoudens!J12</f>
        <v>2929.08461858998</v>
      </c>
      <c r="L41" s="688">
        <f>huishoudens!K12</f>
        <v>0</v>
      </c>
      <c r="M41" s="688">
        <f>huishoudens!L12</f>
        <v>0</v>
      </c>
      <c r="N41" s="688">
        <f>huishoudens!M12</f>
        <v>0</v>
      </c>
      <c r="O41" s="688">
        <f>huishoudens!N12</f>
        <v>0</v>
      </c>
      <c r="P41" s="688">
        <f>huishoudens!O12</f>
        <v>0</v>
      </c>
      <c r="Q41" s="763">
        <f>huishoudens!P12</f>
        <v>0</v>
      </c>
      <c r="R41" s="844">
        <f t="shared" ca="1" si="4"/>
        <v>56359.493159421305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17493.906630248286</v>
      </c>
      <c r="D43" s="688">
        <f ca="1">industrie!C22</f>
        <v>0</v>
      </c>
      <c r="E43" s="688">
        <f>industrie!D22</f>
        <v>10173.704744035844</v>
      </c>
      <c r="F43" s="688">
        <f>industrie!E22</f>
        <v>159.23204999009101</v>
      </c>
      <c r="G43" s="688">
        <f>industrie!F22</f>
        <v>7382.5233813082905</v>
      </c>
      <c r="H43" s="688">
        <f>industrie!G22</f>
        <v>0</v>
      </c>
      <c r="I43" s="688">
        <f>industrie!H22</f>
        <v>0</v>
      </c>
      <c r="J43" s="688">
        <f>industrie!I22</f>
        <v>0</v>
      </c>
      <c r="K43" s="688">
        <f>industrie!J22</f>
        <v>128.73845965599767</v>
      </c>
      <c r="L43" s="688">
        <f>industrie!K22</f>
        <v>0</v>
      </c>
      <c r="M43" s="688">
        <f>industrie!L22</f>
        <v>0</v>
      </c>
      <c r="N43" s="688">
        <f>industrie!M22</f>
        <v>0</v>
      </c>
      <c r="O43" s="688">
        <f>industrie!N22</f>
        <v>0</v>
      </c>
      <c r="P43" s="688">
        <f>industrie!O22</f>
        <v>0</v>
      </c>
      <c r="Q43" s="763">
        <f>industrie!P22</f>
        <v>0</v>
      </c>
      <c r="R43" s="843">
        <f t="shared" ca="1" si="4"/>
        <v>35338.105265238511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48382.804127721276</v>
      </c>
      <c r="D46" s="721">
        <f t="shared" ref="D46:Q46" ca="1" si="5">SUM(D39:D45)</f>
        <v>0</v>
      </c>
      <c r="E46" s="721">
        <f t="shared" ca="1" si="5"/>
        <v>60234.535184492423</v>
      </c>
      <c r="F46" s="721">
        <f t="shared" si="5"/>
        <v>2219.5849065237394</v>
      </c>
      <c r="G46" s="721">
        <f t="shared" ca="1" si="5"/>
        <v>16464.596648363127</v>
      </c>
      <c r="H46" s="721">
        <f t="shared" si="5"/>
        <v>0</v>
      </c>
      <c r="I46" s="721">
        <f t="shared" si="5"/>
        <v>0</v>
      </c>
      <c r="J46" s="721">
        <f t="shared" si="5"/>
        <v>0</v>
      </c>
      <c r="K46" s="721">
        <f t="shared" si="5"/>
        <v>3057.8230782459777</v>
      </c>
      <c r="L46" s="721">
        <f t="shared" si="5"/>
        <v>0</v>
      </c>
      <c r="M46" s="721">
        <f t="shared" ca="1" si="5"/>
        <v>0</v>
      </c>
      <c r="N46" s="721">
        <f t="shared" si="5"/>
        <v>0</v>
      </c>
      <c r="O46" s="721">
        <f t="shared" ca="1" si="5"/>
        <v>0</v>
      </c>
      <c r="P46" s="721">
        <f t="shared" si="5"/>
        <v>0</v>
      </c>
      <c r="Q46" s="721">
        <f t="shared" si="5"/>
        <v>0</v>
      </c>
      <c r="R46" s="721">
        <f ca="1">SUM(R39:R45)</f>
        <v>130359.34394534654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562.77982702635722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562.77982702635722</v>
      </c>
    </row>
    <row r="50" spans="1:18">
      <c r="A50" s="819" t="s">
        <v>307</v>
      </c>
      <c r="B50" s="829"/>
      <c r="C50" s="1008">
        <f ca="1">transport!B18</f>
        <v>1.6291720204724143</v>
      </c>
      <c r="D50" s="1008">
        <f>transport!C18</f>
        <v>0</v>
      </c>
      <c r="E50" s="1008">
        <f>transport!D18</f>
        <v>4.423616986834527</v>
      </c>
      <c r="F50" s="1008">
        <f>transport!E18</f>
        <v>327.77958570979143</v>
      </c>
      <c r="G50" s="1008">
        <f>transport!F18</f>
        <v>0</v>
      </c>
      <c r="H50" s="1008">
        <f>transport!G18</f>
        <v>97274.205735326599</v>
      </c>
      <c r="I50" s="1008">
        <f>transport!H18</f>
        <v>12497.086412966515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110105.12452301021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1.6291720204724143</v>
      </c>
      <c r="D52" s="721">
        <f t="shared" ref="D52:Q52" ca="1" si="6">SUM(D48:D51)</f>
        <v>0</v>
      </c>
      <c r="E52" s="721">
        <f t="shared" si="6"/>
        <v>4.423616986834527</v>
      </c>
      <c r="F52" s="721">
        <f t="shared" si="6"/>
        <v>327.77958570979143</v>
      </c>
      <c r="G52" s="721">
        <f t="shared" si="6"/>
        <v>0</v>
      </c>
      <c r="H52" s="721">
        <f t="shared" si="6"/>
        <v>97836.985562352958</v>
      </c>
      <c r="I52" s="721">
        <f t="shared" si="6"/>
        <v>12497.086412966515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110667.90435003657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806.8298648039812</v>
      </c>
      <c r="D54" s="1008">
        <f ca="1">+landbouw!C12</f>
        <v>0</v>
      </c>
      <c r="E54" s="1008">
        <f>+landbouw!D12</f>
        <v>1222.3555745792878</v>
      </c>
      <c r="F54" s="1008">
        <f>+landbouw!E12</f>
        <v>8.2480850275938558</v>
      </c>
      <c r="G54" s="1008">
        <f>+landbouw!F12</f>
        <v>3360.608983079077</v>
      </c>
      <c r="H54" s="1008">
        <f>+landbouw!G12</f>
        <v>0</v>
      </c>
      <c r="I54" s="1008">
        <f>+landbouw!H12</f>
        <v>0</v>
      </c>
      <c r="J54" s="1008">
        <f>+landbouw!I12</f>
        <v>0</v>
      </c>
      <c r="K54" s="1008">
        <f>+landbouw!J12</f>
        <v>168.90228240713745</v>
      </c>
      <c r="L54" s="1008">
        <f>+landbouw!K12</f>
        <v>0</v>
      </c>
      <c r="M54" s="1008">
        <f>+landbouw!L12</f>
        <v>0</v>
      </c>
      <c r="N54" s="1008">
        <f>+landbouw!M12</f>
        <v>0</v>
      </c>
      <c r="O54" s="1008">
        <f>+landbouw!N12</f>
        <v>0</v>
      </c>
      <c r="P54" s="1008">
        <f>+landbouw!O12</f>
        <v>0</v>
      </c>
      <c r="Q54" s="1009">
        <f>+landbouw!P12</f>
        <v>0</v>
      </c>
      <c r="R54" s="720">
        <f ca="1">SUM(C54:Q54)</f>
        <v>5566.9447898970766</v>
      </c>
    </row>
    <row r="55" spans="1:18" ht="15" thickBot="1">
      <c r="A55" s="819" t="s">
        <v>912</v>
      </c>
      <c r="B55" s="829"/>
      <c r="C55" s="1008">
        <f ca="1">C25*'EF ele_warmte'!B12</f>
        <v>449.34573258136396</v>
      </c>
      <c r="D55" s="1008"/>
      <c r="E55" s="1008">
        <f>E25*EF_CO2_aardgas</f>
        <v>1482.1360549772796</v>
      </c>
      <c r="F55" s="1008"/>
      <c r="G55" s="1008"/>
      <c r="H55" s="1008"/>
      <c r="I55" s="1008"/>
      <c r="J55" s="1008"/>
      <c r="K55" s="1008"/>
      <c r="L55" s="1008"/>
      <c r="M55" s="1008"/>
      <c r="N55" s="1008"/>
      <c r="O55" s="1008"/>
      <c r="P55" s="1008"/>
      <c r="Q55" s="1009"/>
      <c r="R55" s="720">
        <f ca="1">SUM(C55:Q55)</f>
        <v>1931.4817875586436</v>
      </c>
    </row>
    <row r="56" spans="1:18" ht="15.75" thickBot="1">
      <c r="A56" s="817" t="s">
        <v>913</v>
      </c>
      <c r="B56" s="830"/>
      <c r="C56" s="721">
        <f ca="1">SUM(C54:C55)</f>
        <v>1256.1755973853451</v>
      </c>
      <c r="D56" s="721">
        <f t="shared" ref="D56:Q56" ca="1" si="7">SUM(D54:D55)</f>
        <v>0</v>
      </c>
      <c r="E56" s="721">
        <f t="shared" si="7"/>
        <v>2704.4916295565672</v>
      </c>
      <c r="F56" s="721">
        <f t="shared" si="7"/>
        <v>8.2480850275938558</v>
      </c>
      <c r="G56" s="721">
        <f t="shared" si="7"/>
        <v>3360.608983079077</v>
      </c>
      <c r="H56" s="721">
        <f t="shared" si="7"/>
        <v>0</v>
      </c>
      <c r="I56" s="721">
        <f t="shared" si="7"/>
        <v>0</v>
      </c>
      <c r="J56" s="721">
        <f t="shared" si="7"/>
        <v>0</v>
      </c>
      <c r="K56" s="721">
        <f t="shared" si="7"/>
        <v>168.90228240713745</v>
      </c>
      <c r="L56" s="721">
        <f t="shared" si="7"/>
        <v>0</v>
      </c>
      <c r="M56" s="721">
        <f t="shared" si="7"/>
        <v>0</v>
      </c>
      <c r="N56" s="721">
        <f t="shared" si="7"/>
        <v>0</v>
      </c>
      <c r="O56" s="721">
        <f t="shared" si="7"/>
        <v>0</v>
      </c>
      <c r="P56" s="721">
        <f t="shared" si="7"/>
        <v>0</v>
      </c>
      <c r="Q56" s="722">
        <f t="shared" si="7"/>
        <v>0</v>
      </c>
      <c r="R56" s="723">
        <f ca="1">SUM(R54:R55)</f>
        <v>7498.4265774557207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49640.608897127095</v>
      </c>
      <c r="D61" s="729">
        <f t="shared" ref="D61:Q61" ca="1" si="8">D46+D52+D56</f>
        <v>0</v>
      </c>
      <c r="E61" s="729">
        <f t="shared" ca="1" si="8"/>
        <v>62943.450431035817</v>
      </c>
      <c r="F61" s="729">
        <f t="shared" si="8"/>
        <v>2555.6125772611244</v>
      </c>
      <c r="G61" s="729">
        <f t="shared" ca="1" si="8"/>
        <v>19825.205631442204</v>
      </c>
      <c r="H61" s="729">
        <f t="shared" si="8"/>
        <v>97836.985562352958</v>
      </c>
      <c r="I61" s="729">
        <f t="shared" si="8"/>
        <v>12497.086412966515</v>
      </c>
      <c r="J61" s="729">
        <f t="shared" si="8"/>
        <v>0</v>
      </c>
      <c r="K61" s="729">
        <f t="shared" si="8"/>
        <v>3226.7253606531153</v>
      </c>
      <c r="L61" s="729">
        <f t="shared" si="8"/>
        <v>0</v>
      </c>
      <c r="M61" s="729">
        <f t="shared" ca="1" si="8"/>
        <v>0</v>
      </c>
      <c r="N61" s="729">
        <f t="shared" si="8"/>
        <v>0</v>
      </c>
      <c r="O61" s="729">
        <f t="shared" ca="1" si="8"/>
        <v>0</v>
      </c>
      <c r="P61" s="729">
        <f t="shared" si="8"/>
        <v>0</v>
      </c>
      <c r="Q61" s="729">
        <f t="shared" si="8"/>
        <v>0</v>
      </c>
      <c r="R61" s="729">
        <f ca="1">R46+R52+R56</f>
        <v>248525.67487283883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0.20918786386321292</v>
      </c>
      <c r="D63" s="773">
        <f t="shared" ca="1" si="9"/>
        <v>0</v>
      </c>
      <c r="E63" s="1010">
        <f t="shared" ca="1" si="9"/>
        <v>0.20199999999999999</v>
      </c>
      <c r="F63" s="773">
        <f t="shared" si="9"/>
        <v>0.22699999999999998</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12679.463816490013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3.9681818181818178</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4.6684491978609612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12683.431998308195</v>
      </c>
      <c r="C78" s="744">
        <f>SUM(C72:C77)</f>
        <v>0</v>
      </c>
      <c r="D78" s="745">
        <f t="shared" ref="D78:H78" si="10">SUM(D76:D77)</f>
        <v>0</v>
      </c>
      <c r="E78" s="745">
        <f t="shared" si="10"/>
        <v>0</v>
      </c>
      <c r="F78" s="745">
        <f t="shared" si="10"/>
        <v>0</v>
      </c>
      <c r="G78" s="745">
        <f t="shared" si="10"/>
        <v>0</v>
      </c>
      <c r="H78" s="745">
        <f t="shared" si="10"/>
        <v>0</v>
      </c>
      <c r="I78" s="745">
        <f>SUM(I76:I77)</f>
        <v>0</v>
      </c>
      <c r="J78" s="745">
        <f>SUM(J76:J77)</f>
        <v>4.6684491978609612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5.6688311688311686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6.6692131398013741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5.6688311688311686</v>
      </c>
      <c r="C90" s="744">
        <f>SUM(C87:C89)</f>
        <v>0</v>
      </c>
      <c r="D90" s="744">
        <f t="shared" ref="D90:H90" si="12">SUM(D87:D89)</f>
        <v>0</v>
      </c>
      <c r="E90" s="744">
        <f t="shared" si="12"/>
        <v>0</v>
      </c>
      <c r="F90" s="744">
        <f t="shared" si="12"/>
        <v>0</v>
      </c>
      <c r="G90" s="744">
        <f t="shared" si="12"/>
        <v>0</v>
      </c>
      <c r="H90" s="744">
        <f t="shared" si="12"/>
        <v>0</v>
      </c>
      <c r="I90" s="744">
        <f>SUM(I87:I89)</f>
        <v>0</v>
      </c>
      <c r="J90" s="744">
        <f>SUM(J87:J89)</f>
        <v>6.6692131398013741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12679.463816490013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3.9681818181818178</v>
      </c>
      <c r="C8" s="558">
        <f>B101</f>
        <v>0</v>
      </c>
      <c r="D8" s="991"/>
      <c r="E8" s="991">
        <f>E101</f>
        <v>0</v>
      </c>
      <c r="F8" s="992"/>
      <c r="G8" s="559"/>
      <c r="H8" s="991">
        <f>I101</f>
        <v>0</v>
      </c>
      <c r="I8" s="991">
        <f>G101+F101</f>
        <v>0</v>
      </c>
      <c r="J8" s="991">
        <f>H101+D101+C101</f>
        <v>4.6684491978609612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12683.431998308195</v>
      </c>
      <c r="C10" s="570">
        <f t="shared" ref="C10:L10" si="0">SUM(C8:C9)</f>
        <v>0</v>
      </c>
      <c r="D10" s="570">
        <f t="shared" si="0"/>
        <v>0</v>
      </c>
      <c r="E10" s="570">
        <f t="shared" si="0"/>
        <v>0</v>
      </c>
      <c r="F10" s="570">
        <f t="shared" si="0"/>
        <v>0</v>
      </c>
      <c r="G10" s="570">
        <f t="shared" si="0"/>
        <v>0</v>
      </c>
      <c r="H10" s="570">
        <f t="shared" si="0"/>
        <v>0</v>
      </c>
      <c r="I10" s="570">
        <f t="shared" si="0"/>
        <v>0</v>
      </c>
      <c r="J10" s="570">
        <f t="shared" si="0"/>
        <v>4.6684491978609612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5.6688311688311686</v>
      </c>
      <c r="C17" s="582">
        <f>B102</f>
        <v>0</v>
      </c>
      <c r="D17" s="583"/>
      <c r="E17" s="583">
        <f>E102</f>
        <v>0</v>
      </c>
      <c r="F17" s="584"/>
      <c r="G17" s="585"/>
      <c r="H17" s="582">
        <f>I102</f>
        <v>0</v>
      </c>
      <c r="I17" s="583">
        <f>G102+F102</f>
        <v>0</v>
      </c>
      <c r="J17" s="583">
        <f>H102+D102+C102</f>
        <v>6.6692131398013741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5.6688311688311686</v>
      </c>
      <c r="C20" s="569">
        <f>SUM(C17:C19)</f>
        <v>0</v>
      </c>
      <c r="D20" s="569">
        <f t="shared" ref="D20:L20" si="1">SUM(D17:D19)</f>
        <v>0</v>
      </c>
      <c r="E20" s="569">
        <f t="shared" si="1"/>
        <v>0</v>
      </c>
      <c r="F20" s="569">
        <f t="shared" si="1"/>
        <v>0</v>
      </c>
      <c r="G20" s="569">
        <f t="shared" si="1"/>
        <v>0</v>
      </c>
      <c r="H20" s="569">
        <f t="shared" si="1"/>
        <v>0</v>
      </c>
      <c r="I20" s="569">
        <f t="shared" si="1"/>
        <v>0</v>
      </c>
      <c r="J20" s="569">
        <f t="shared" si="1"/>
        <v>6.6692131398013741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46014</v>
      </c>
      <c r="C28" s="789">
        <v>9160</v>
      </c>
      <c r="D28" s="642" t="s">
        <v>946</v>
      </c>
      <c r="E28" s="641" t="s">
        <v>947</v>
      </c>
      <c r="F28" s="641" t="s">
        <v>948</v>
      </c>
      <c r="G28" s="641" t="s">
        <v>949</v>
      </c>
      <c r="H28" s="641" t="s">
        <v>950</v>
      </c>
      <c r="I28" s="641" t="s">
        <v>951</v>
      </c>
      <c r="J28" s="788">
        <v>40941</v>
      </c>
      <c r="K28" s="788">
        <v>41214</v>
      </c>
      <c r="L28" s="641" t="s">
        <v>952</v>
      </c>
      <c r="M28" s="641">
        <v>9.6999999999999993</v>
      </c>
      <c r="N28" s="641">
        <v>3.9681818181818178</v>
      </c>
      <c r="O28" s="641">
        <v>5.6688311688311686</v>
      </c>
      <c r="P28" s="641">
        <v>0</v>
      </c>
      <c r="Q28" s="641">
        <v>11.337662337662337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3.9681818181818178</v>
      </c>
      <c r="O58" s="599">
        <f t="shared" ref="O58:W58" si="2">SUM(O28:O57)</f>
        <v>5.6688311688311686</v>
      </c>
      <c r="P58" s="599">
        <f t="shared" si="2"/>
        <v>0</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4.6684491978609612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6.6692131398013741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74637.309606327501</v>
      </c>
      <c r="C4" s="461">
        <f>huishoudens!C8</f>
        <v>0</v>
      </c>
      <c r="D4" s="461">
        <f>huishoudens!D8</f>
        <v>152543.53271548616</v>
      </c>
      <c r="E4" s="461">
        <f>huishoudens!E8</f>
        <v>8497.4048134074965</v>
      </c>
      <c r="F4" s="461">
        <f>huishoudens!F8</f>
        <v>19005.560594062579</v>
      </c>
      <c r="G4" s="461">
        <f>huishoudens!G8</f>
        <v>0</v>
      </c>
      <c r="H4" s="461">
        <f>huishoudens!H8</f>
        <v>0</v>
      </c>
      <c r="I4" s="461">
        <f>huishoudens!I8</f>
        <v>0</v>
      </c>
      <c r="J4" s="461">
        <f>huishoudens!J8</f>
        <v>8274.2503349999442</v>
      </c>
      <c r="K4" s="461">
        <f>huishoudens!K8</f>
        <v>0</v>
      </c>
      <c r="L4" s="461">
        <f>huishoudens!L8</f>
        <v>0</v>
      </c>
      <c r="M4" s="461">
        <f>huishoudens!M8</f>
        <v>0</v>
      </c>
      <c r="N4" s="461">
        <f>huishoudens!N8</f>
        <v>37548.224017000743</v>
      </c>
      <c r="O4" s="461">
        <f>huishoudens!O8</f>
        <v>189.16333333333336</v>
      </c>
      <c r="P4" s="462">
        <f>huishoudens!P8</f>
        <v>972.4</v>
      </c>
      <c r="Q4" s="463">
        <f>SUM(B4:P4)</f>
        <v>301667.8454146178</v>
      </c>
    </row>
    <row r="5" spans="1:17">
      <c r="A5" s="460" t="s">
        <v>156</v>
      </c>
      <c r="B5" s="461">
        <f ca="1">tertiair!B16</f>
        <v>70321.457221829623</v>
      </c>
      <c r="C5" s="461">
        <f ca="1">tertiair!C16</f>
        <v>0</v>
      </c>
      <c r="D5" s="461">
        <f ca="1">tertiair!D16</f>
        <v>95282.360554100844</v>
      </c>
      <c r="E5" s="461">
        <f>tertiair!E16</f>
        <v>579.03948850284894</v>
      </c>
      <c r="F5" s="461">
        <f ca="1">tertiair!F16</f>
        <v>15009.695087790731</v>
      </c>
      <c r="G5" s="461">
        <f>tertiair!G16</f>
        <v>0</v>
      </c>
      <c r="H5" s="461">
        <f>tertiair!H16</f>
        <v>0</v>
      </c>
      <c r="I5" s="461">
        <f>tertiair!I16</f>
        <v>0</v>
      </c>
      <c r="J5" s="461">
        <f>tertiair!J16</f>
        <v>0</v>
      </c>
      <c r="K5" s="461">
        <f>tertiair!K16</f>
        <v>0</v>
      </c>
      <c r="L5" s="461">
        <f ca="1">tertiair!L16</f>
        <v>0</v>
      </c>
      <c r="M5" s="461">
        <f>tertiair!M16</f>
        <v>0</v>
      </c>
      <c r="N5" s="461">
        <f ca="1">tertiair!N16</f>
        <v>6591.8699948668209</v>
      </c>
      <c r="O5" s="461">
        <f>tertiair!O16</f>
        <v>0</v>
      </c>
      <c r="P5" s="462">
        <f>tertiair!P16</f>
        <v>0</v>
      </c>
      <c r="Q5" s="460">
        <f t="shared" ref="Q5:Q14" ca="1" si="0">SUM(B5:P5)</f>
        <v>187784.42234709082</v>
      </c>
    </row>
    <row r="6" spans="1:17">
      <c r="A6" s="460" t="s">
        <v>194</v>
      </c>
      <c r="B6" s="461">
        <f>'openbare verlichting'!B8</f>
        <v>2702.2730000000001</v>
      </c>
      <c r="C6" s="461"/>
      <c r="D6" s="461"/>
      <c r="E6" s="461"/>
      <c r="F6" s="461"/>
      <c r="G6" s="461"/>
      <c r="H6" s="461"/>
      <c r="I6" s="461"/>
      <c r="J6" s="461"/>
      <c r="K6" s="461"/>
      <c r="L6" s="461"/>
      <c r="M6" s="461"/>
      <c r="N6" s="461"/>
      <c r="O6" s="461"/>
      <c r="P6" s="462"/>
      <c r="Q6" s="460">
        <f t="shared" si="0"/>
        <v>2702.2730000000001</v>
      </c>
    </row>
    <row r="7" spans="1:17">
      <c r="A7" s="460" t="s">
        <v>112</v>
      </c>
      <c r="B7" s="461">
        <f>landbouw!B8</f>
        <v>3856.9630661344868</v>
      </c>
      <c r="C7" s="461">
        <f>landbouw!C8</f>
        <v>5.6688311688311686</v>
      </c>
      <c r="D7" s="461">
        <f>landbouw!D8</f>
        <v>6051.2652206895427</v>
      </c>
      <c r="E7" s="461">
        <f>landbouw!E8</f>
        <v>36.335176333012576</v>
      </c>
      <c r="F7" s="461">
        <f>landbouw!F8</f>
        <v>12586.550498423509</v>
      </c>
      <c r="G7" s="461">
        <f>landbouw!G8</f>
        <v>0</v>
      </c>
      <c r="H7" s="461">
        <f>landbouw!H8</f>
        <v>0</v>
      </c>
      <c r="I7" s="461">
        <f>landbouw!I8</f>
        <v>0</v>
      </c>
      <c r="J7" s="461">
        <f>landbouw!J8</f>
        <v>477.12509154558603</v>
      </c>
      <c r="K7" s="461">
        <f>landbouw!K8</f>
        <v>0</v>
      </c>
      <c r="L7" s="461">
        <f>landbouw!L8</f>
        <v>0</v>
      </c>
      <c r="M7" s="461">
        <f>landbouw!M8</f>
        <v>0</v>
      </c>
      <c r="N7" s="461">
        <f>landbouw!N8</f>
        <v>0</v>
      </c>
      <c r="O7" s="461">
        <f>landbouw!O8</f>
        <v>0</v>
      </c>
      <c r="P7" s="462">
        <f>landbouw!P8</f>
        <v>0</v>
      </c>
      <c r="Q7" s="460">
        <f t="shared" si="0"/>
        <v>23013.907884294968</v>
      </c>
    </row>
    <row r="8" spans="1:17">
      <c r="A8" s="460" t="s">
        <v>685</v>
      </c>
      <c r="B8" s="461">
        <f>industrie!B18</f>
        <v>83627.732064262978</v>
      </c>
      <c r="C8" s="461">
        <f>industrie!C18</f>
        <v>0</v>
      </c>
      <c r="D8" s="461">
        <f>industrie!D18</f>
        <v>50364.87497047447</v>
      </c>
      <c r="E8" s="461">
        <f>industrie!E18</f>
        <v>701.46277528674455</v>
      </c>
      <c r="F8" s="461">
        <f>industrie!F18</f>
        <v>27649.900304525432</v>
      </c>
      <c r="G8" s="461">
        <f>industrie!G18</f>
        <v>0</v>
      </c>
      <c r="H8" s="461">
        <f>industrie!H18</f>
        <v>0</v>
      </c>
      <c r="I8" s="461">
        <f>industrie!I18</f>
        <v>0</v>
      </c>
      <c r="J8" s="461">
        <f>industrie!J18</f>
        <v>363.66796512993693</v>
      </c>
      <c r="K8" s="461">
        <f>industrie!K18</f>
        <v>0</v>
      </c>
      <c r="L8" s="461">
        <f>industrie!L18</f>
        <v>0</v>
      </c>
      <c r="M8" s="461">
        <f>industrie!M18</f>
        <v>0</v>
      </c>
      <c r="N8" s="461">
        <f>industrie!N18</f>
        <v>2984.1579937053375</v>
      </c>
      <c r="O8" s="461">
        <f>industrie!O18</f>
        <v>0</v>
      </c>
      <c r="P8" s="462">
        <f>industrie!P18</f>
        <v>0</v>
      </c>
      <c r="Q8" s="460">
        <f t="shared" si="0"/>
        <v>165691.7960733849</v>
      </c>
    </row>
    <row r="9" spans="1:17" s="466" customFormat="1">
      <c r="A9" s="464" t="s">
        <v>579</v>
      </c>
      <c r="B9" s="465">
        <f>transport!B14</f>
        <v>7.7880809640932291</v>
      </c>
      <c r="C9" s="465">
        <f>transport!C14</f>
        <v>0</v>
      </c>
      <c r="D9" s="465">
        <f>transport!D14</f>
        <v>21.899093994230331</v>
      </c>
      <c r="E9" s="465">
        <f>transport!E14</f>
        <v>1443.962932642253</v>
      </c>
      <c r="F9" s="465">
        <f>transport!F14</f>
        <v>0</v>
      </c>
      <c r="G9" s="465">
        <f>transport!G14</f>
        <v>364322.86792257149</v>
      </c>
      <c r="H9" s="465">
        <f>transport!H14</f>
        <v>50189.102060106488</v>
      </c>
      <c r="I9" s="465">
        <f>transport!I14</f>
        <v>0</v>
      </c>
      <c r="J9" s="465">
        <f>transport!J14</f>
        <v>0</v>
      </c>
      <c r="K9" s="465">
        <f>transport!K14</f>
        <v>0</v>
      </c>
      <c r="L9" s="465">
        <f>transport!L14</f>
        <v>0</v>
      </c>
      <c r="M9" s="465">
        <f>transport!M14</f>
        <v>18519.301536496892</v>
      </c>
      <c r="N9" s="465">
        <f>transport!N14</f>
        <v>0</v>
      </c>
      <c r="O9" s="465">
        <f>transport!O14</f>
        <v>0</v>
      </c>
      <c r="P9" s="465">
        <f>transport!P14</f>
        <v>0</v>
      </c>
      <c r="Q9" s="464">
        <f>SUM(B9:P9)</f>
        <v>434504.92162677541</v>
      </c>
    </row>
    <row r="10" spans="1:17">
      <c r="A10" s="460" t="s">
        <v>569</v>
      </c>
      <c r="B10" s="461">
        <f>transport!B54</f>
        <v>0</v>
      </c>
      <c r="C10" s="461">
        <f>transport!C54</f>
        <v>0</v>
      </c>
      <c r="D10" s="461">
        <f>transport!D54</f>
        <v>0</v>
      </c>
      <c r="E10" s="461">
        <f>transport!E54</f>
        <v>0</v>
      </c>
      <c r="F10" s="461">
        <f>transport!F54</f>
        <v>0</v>
      </c>
      <c r="G10" s="461">
        <f>transport!G54</f>
        <v>2107.7896143309258</v>
      </c>
      <c r="H10" s="461">
        <f>transport!H54</f>
        <v>0</v>
      </c>
      <c r="I10" s="461">
        <f>transport!I54</f>
        <v>0</v>
      </c>
      <c r="J10" s="461">
        <f>transport!J54</f>
        <v>0</v>
      </c>
      <c r="K10" s="461">
        <f>transport!K54</f>
        <v>0</v>
      </c>
      <c r="L10" s="461">
        <f>transport!L54</f>
        <v>0</v>
      </c>
      <c r="M10" s="461">
        <f>transport!M54</f>
        <v>92.556518981730946</v>
      </c>
      <c r="N10" s="461">
        <f>transport!N54</f>
        <v>0</v>
      </c>
      <c r="O10" s="461">
        <f>transport!O54</f>
        <v>0</v>
      </c>
      <c r="P10" s="462">
        <f>transport!P54</f>
        <v>0</v>
      </c>
      <c r="Q10" s="460">
        <f t="shared" si="0"/>
        <v>2200.3461333126565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2148.0487647944497</v>
      </c>
      <c r="C14" s="468"/>
      <c r="D14" s="468">
        <f>'SEAP template'!E25</f>
        <v>7337.3072028578199</v>
      </c>
      <c r="E14" s="468"/>
      <c r="F14" s="468"/>
      <c r="G14" s="468"/>
      <c r="H14" s="468"/>
      <c r="I14" s="468"/>
      <c r="J14" s="468"/>
      <c r="K14" s="468"/>
      <c r="L14" s="468"/>
      <c r="M14" s="468"/>
      <c r="N14" s="468"/>
      <c r="O14" s="468"/>
      <c r="P14" s="469"/>
      <c r="Q14" s="460">
        <f t="shared" si="0"/>
        <v>9485.3559676522691</v>
      </c>
    </row>
    <row r="15" spans="1:17" s="473" customFormat="1">
      <c r="A15" s="470" t="s">
        <v>573</v>
      </c>
      <c r="B15" s="471">
        <f ca="1">SUM(B4:B14)</f>
        <v>237301.57180431311</v>
      </c>
      <c r="C15" s="471">
        <f t="shared" ref="C15:Q15" ca="1" si="1">SUM(C4:C14)</f>
        <v>5.6688311688311686</v>
      </c>
      <c r="D15" s="471">
        <f t="shared" ca="1" si="1"/>
        <v>311601.23975760303</v>
      </c>
      <c r="E15" s="471">
        <f t="shared" si="1"/>
        <v>11258.205186172354</v>
      </c>
      <c r="F15" s="471">
        <f t="shared" ca="1" si="1"/>
        <v>74251.706484802256</v>
      </c>
      <c r="G15" s="471">
        <f t="shared" si="1"/>
        <v>366430.65753690241</v>
      </c>
      <c r="H15" s="471">
        <f t="shared" si="1"/>
        <v>50189.102060106488</v>
      </c>
      <c r="I15" s="471">
        <f t="shared" si="1"/>
        <v>0</v>
      </c>
      <c r="J15" s="471">
        <f t="shared" si="1"/>
        <v>9115.0433916754664</v>
      </c>
      <c r="K15" s="471">
        <f t="shared" si="1"/>
        <v>0</v>
      </c>
      <c r="L15" s="471">
        <f t="shared" ca="1" si="1"/>
        <v>0</v>
      </c>
      <c r="M15" s="471">
        <f t="shared" si="1"/>
        <v>18611.858055478624</v>
      </c>
      <c r="N15" s="471">
        <f t="shared" ca="1" si="1"/>
        <v>47124.252005572904</v>
      </c>
      <c r="O15" s="471">
        <f t="shared" si="1"/>
        <v>189.16333333333336</v>
      </c>
      <c r="P15" s="471">
        <f t="shared" si="1"/>
        <v>972.4</v>
      </c>
      <c r="Q15" s="471">
        <f t="shared" ca="1" si="1"/>
        <v>1127050.8684471289</v>
      </c>
    </row>
    <row r="17" spans="1:17">
      <c r="A17" s="474" t="s">
        <v>574</v>
      </c>
      <c r="B17" s="778">
        <f ca="1">huishoudens!B10</f>
        <v>0.20918786386321289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15613.219361044909</v>
      </c>
      <c r="C22" s="461">
        <f t="shared" ref="C22:C32" ca="1" si="3">C4*$C$17</f>
        <v>0</v>
      </c>
      <c r="D22" s="461">
        <f t="shared" ref="D22:D32" si="4">D4*$D$17</f>
        <v>30813.793608528205</v>
      </c>
      <c r="E22" s="461">
        <f t="shared" ref="E22:E32" si="5">E4*$E$17</f>
        <v>1928.9108926435017</v>
      </c>
      <c r="F22" s="461">
        <f t="shared" ref="F22:F32" si="6">F4*$F$17</f>
        <v>5074.4846786147091</v>
      </c>
      <c r="G22" s="461">
        <f t="shared" ref="G22:G32" si="7">G4*$G$17</f>
        <v>0</v>
      </c>
      <c r="H22" s="461">
        <f t="shared" ref="H22:H32" si="8">H4*$H$17</f>
        <v>0</v>
      </c>
      <c r="I22" s="461">
        <f t="shared" ref="I22:I32" si="9">I4*$I$17</f>
        <v>0</v>
      </c>
      <c r="J22" s="461">
        <f t="shared" ref="J22:J32" si="10">J4*$J$17</f>
        <v>2929.08461858998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56359.493159421305</v>
      </c>
    </row>
    <row r="23" spans="1:17">
      <c r="A23" s="460" t="s">
        <v>156</v>
      </c>
      <c r="B23" s="461">
        <f t="shared" ca="1" si="2"/>
        <v>14710.395419982844</v>
      </c>
      <c r="C23" s="461">
        <f t="shared" ca="1" si="3"/>
        <v>0</v>
      </c>
      <c r="D23" s="461">
        <f t="shared" ca="1" si="4"/>
        <v>19247.036831928373</v>
      </c>
      <c r="E23" s="461">
        <f t="shared" si="5"/>
        <v>131.44196389014672</v>
      </c>
      <c r="F23" s="461">
        <f t="shared" ca="1" si="6"/>
        <v>4007.5885884401255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38096.462804241492</v>
      </c>
    </row>
    <row r="24" spans="1:17">
      <c r="A24" s="460" t="s">
        <v>194</v>
      </c>
      <c r="B24" s="461">
        <f t="shared" ca="1" si="2"/>
        <v>565.28271644523591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565.28271644523591</v>
      </c>
    </row>
    <row r="25" spans="1:17">
      <c r="A25" s="460" t="s">
        <v>112</v>
      </c>
      <c r="B25" s="461">
        <f t="shared" ca="1" si="2"/>
        <v>806.8298648039812</v>
      </c>
      <c r="C25" s="461">
        <f t="shared" ca="1" si="3"/>
        <v>0</v>
      </c>
      <c r="D25" s="461">
        <f t="shared" si="4"/>
        <v>1222.3555745792878</v>
      </c>
      <c r="E25" s="461">
        <f t="shared" si="5"/>
        <v>8.2480850275938558</v>
      </c>
      <c r="F25" s="461">
        <f t="shared" si="6"/>
        <v>3360.608983079077</v>
      </c>
      <c r="G25" s="461">
        <f t="shared" si="7"/>
        <v>0</v>
      </c>
      <c r="H25" s="461">
        <f t="shared" si="8"/>
        <v>0</v>
      </c>
      <c r="I25" s="461">
        <f t="shared" si="9"/>
        <v>0</v>
      </c>
      <c r="J25" s="461">
        <f t="shared" si="10"/>
        <v>168.90228240713745</v>
      </c>
      <c r="K25" s="461">
        <f t="shared" si="11"/>
        <v>0</v>
      </c>
      <c r="L25" s="461">
        <f t="shared" si="12"/>
        <v>0</v>
      </c>
      <c r="M25" s="461">
        <f t="shared" si="13"/>
        <v>0</v>
      </c>
      <c r="N25" s="461">
        <f t="shared" si="14"/>
        <v>0</v>
      </c>
      <c r="O25" s="461">
        <f t="shared" si="15"/>
        <v>0</v>
      </c>
      <c r="P25" s="462">
        <f t="shared" si="16"/>
        <v>0</v>
      </c>
      <c r="Q25" s="460">
        <f t="shared" ca="1" si="17"/>
        <v>5566.9447898970766</v>
      </c>
    </row>
    <row r="26" spans="1:17">
      <c r="A26" s="460" t="s">
        <v>685</v>
      </c>
      <c r="B26" s="461">
        <f t="shared" ca="1" si="2"/>
        <v>17493.906630248286</v>
      </c>
      <c r="C26" s="461">
        <f t="shared" ca="1" si="3"/>
        <v>0</v>
      </c>
      <c r="D26" s="461">
        <f t="shared" si="4"/>
        <v>10173.704744035844</v>
      </c>
      <c r="E26" s="461">
        <f t="shared" si="5"/>
        <v>159.23204999009101</v>
      </c>
      <c r="F26" s="461">
        <f t="shared" si="6"/>
        <v>7382.5233813082905</v>
      </c>
      <c r="G26" s="461">
        <f t="shared" si="7"/>
        <v>0</v>
      </c>
      <c r="H26" s="461">
        <f t="shared" si="8"/>
        <v>0</v>
      </c>
      <c r="I26" s="461">
        <f t="shared" si="9"/>
        <v>0</v>
      </c>
      <c r="J26" s="461">
        <f t="shared" si="10"/>
        <v>128.73845965599767</v>
      </c>
      <c r="K26" s="461">
        <f t="shared" si="11"/>
        <v>0</v>
      </c>
      <c r="L26" s="461">
        <f t="shared" si="12"/>
        <v>0</v>
      </c>
      <c r="M26" s="461">
        <f t="shared" si="13"/>
        <v>0</v>
      </c>
      <c r="N26" s="461">
        <f t="shared" si="14"/>
        <v>0</v>
      </c>
      <c r="O26" s="461">
        <f t="shared" si="15"/>
        <v>0</v>
      </c>
      <c r="P26" s="462">
        <f t="shared" si="16"/>
        <v>0</v>
      </c>
      <c r="Q26" s="460">
        <f t="shared" ca="1" si="17"/>
        <v>35338.105265238511</v>
      </c>
    </row>
    <row r="27" spans="1:17" s="466" customFormat="1">
      <c r="A27" s="464" t="s">
        <v>579</v>
      </c>
      <c r="B27" s="772">
        <f t="shared" ca="1" si="2"/>
        <v>1.6291720204724143</v>
      </c>
      <c r="C27" s="465">
        <f t="shared" ca="1" si="3"/>
        <v>0</v>
      </c>
      <c r="D27" s="465">
        <f t="shared" si="4"/>
        <v>4.423616986834527</v>
      </c>
      <c r="E27" s="465">
        <f t="shared" si="5"/>
        <v>327.77958570979143</v>
      </c>
      <c r="F27" s="465">
        <f t="shared" si="6"/>
        <v>0</v>
      </c>
      <c r="G27" s="465">
        <f t="shared" si="7"/>
        <v>97274.205735326599</v>
      </c>
      <c r="H27" s="465">
        <f t="shared" si="8"/>
        <v>12497.086412966515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110105.12452301021</v>
      </c>
    </row>
    <row r="28" spans="1:17">
      <c r="A28" s="460" t="s">
        <v>569</v>
      </c>
      <c r="B28" s="461">
        <f t="shared" ca="1" si="2"/>
        <v>0</v>
      </c>
      <c r="C28" s="461">
        <f t="shared" ca="1" si="3"/>
        <v>0</v>
      </c>
      <c r="D28" s="461">
        <f t="shared" si="4"/>
        <v>0</v>
      </c>
      <c r="E28" s="461">
        <f t="shared" si="5"/>
        <v>0</v>
      </c>
      <c r="F28" s="461">
        <f t="shared" si="6"/>
        <v>0</v>
      </c>
      <c r="G28" s="461">
        <f t="shared" si="7"/>
        <v>562.77982702635722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562.77982702635722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449.34573258136396</v>
      </c>
      <c r="C32" s="461">
        <f t="shared" ca="1" si="3"/>
        <v>0</v>
      </c>
      <c r="D32" s="461">
        <f t="shared" si="4"/>
        <v>1482.1360549772796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1931.4817875586436</v>
      </c>
    </row>
    <row r="33" spans="1:17" s="473" customFormat="1">
      <c r="A33" s="470" t="s">
        <v>573</v>
      </c>
      <c r="B33" s="471">
        <f ca="1">SUM(B22:B32)</f>
        <v>49640.608897127095</v>
      </c>
      <c r="C33" s="471">
        <f t="shared" ref="C33:Q33" ca="1" si="18">SUM(C22:C32)</f>
        <v>0</v>
      </c>
      <c r="D33" s="471">
        <f t="shared" ca="1" si="18"/>
        <v>62943.450431035824</v>
      </c>
      <c r="E33" s="471">
        <f t="shared" si="18"/>
        <v>2555.6125772611244</v>
      </c>
      <c r="F33" s="471">
        <f t="shared" ca="1" si="18"/>
        <v>19825.205631442201</v>
      </c>
      <c r="G33" s="471">
        <f t="shared" si="18"/>
        <v>97836.985562352958</v>
      </c>
      <c r="H33" s="471">
        <f t="shared" si="18"/>
        <v>12497.086412966515</v>
      </c>
      <c r="I33" s="471">
        <f t="shared" si="18"/>
        <v>0</v>
      </c>
      <c r="J33" s="471">
        <f t="shared" si="18"/>
        <v>3226.7253606531153</v>
      </c>
      <c r="K33" s="471">
        <f t="shared" si="18"/>
        <v>0</v>
      </c>
      <c r="L33" s="471">
        <f t="shared" ca="1" si="18"/>
        <v>0</v>
      </c>
      <c r="M33" s="471">
        <f t="shared" si="18"/>
        <v>0</v>
      </c>
      <c r="N33" s="471">
        <f t="shared" ca="1" si="18"/>
        <v>0</v>
      </c>
      <c r="O33" s="471">
        <f t="shared" si="18"/>
        <v>0</v>
      </c>
      <c r="P33" s="471">
        <f t="shared" si="18"/>
        <v>0</v>
      </c>
      <c r="Q33" s="471">
        <f t="shared" ca="1" si="18"/>
        <v>248525.67487283883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12679.463816490013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3.9681818181818178</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4.6684491978609612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12683.431998308195</v>
      </c>
      <c r="C10" s="1041">
        <f>SUM(C4:C9)</f>
        <v>0</v>
      </c>
      <c r="D10" s="1041">
        <f t="shared" ref="D10:H10" si="0">SUM(D8:D9)</f>
        <v>0</v>
      </c>
      <c r="E10" s="1041">
        <f t="shared" si="0"/>
        <v>0</v>
      </c>
      <c r="F10" s="1041">
        <f t="shared" si="0"/>
        <v>0</v>
      </c>
      <c r="G10" s="1041">
        <f t="shared" si="0"/>
        <v>0</v>
      </c>
      <c r="H10" s="1041">
        <f t="shared" si="0"/>
        <v>0</v>
      </c>
      <c r="I10" s="1041">
        <f>SUM(I8:I9)</f>
        <v>0</v>
      </c>
      <c r="J10" s="1041">
        <f>SUM(J8:J9)</f>
        <v>4.6684491978609612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0.20918786386321289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5.6688311688311686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6.6692131398013741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5.6688311688311686</v>
      </c>
      <c r="C20" s="1041">
        <f>SUM(C17:C19)</f>
        <v>0</v>
      </c>
      <c r="D20" s="1041">
        <f t="shared" ref="D20:H20" si="2">SUM(D17:D19)</f>
        <v>0</v>
      </c>
      <c r="E20" s="1041">
        <f t="shared" si="2"/>
        <v>0</v>
      </c>
      <c r="F20" s="1041">
        <f t="shared" si="2"/>
        <v>0</v>
      </c>
      <c r="G20" s="1041">
        <f t="shared" si="2"/>
        <v>0</v>
      </c>
      <c r="H20" s="1041">
        <f t="shared" si="2"/>
        <v>0</v>
      </c>
      <c r="I20" s="1041">
        <f>SUM(I17:I19)</f>
        <v>0</v>
      </c>
      <c r="J20" s="1041">
        <f>SUM(J17:J19)</f>
        <v>6.6692131398013741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0.20918786386321289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2019-06-29T16:14:25Z</dcterms:modified>
</cp:coreProperties>
</file>