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I9"/>
  <c r="G9"/>
  <c r="F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5"/>
  <c r="B4"/>
  <c r="O18" l="1"/>
  <c r="C98"/>
  <c r="G101" s="1"/>
  <c r="B10"/>
  <c r="B8"/>
  <c r="O19"/>
  <c r="I102"/>
  <c r="H17" s="1"/>
  <c r="H20" s="1"/>
  <c r="E102"/>
  <c r="E17" s="1"/>
  <c r="E20" s="1"/>
  <c r="G102"/>
  <c r="C102"/>
  <c r="H102"/>
  <c r="D102"/>
  <c r="F102"/>
  <c r="B102"/>
  <c r="C17" s="1"/>
  <c r="N6" i="17"/>
  <c r="L6"/>
  <c r="F6"/>
  <c r="D6"/>
  <c r="C6"/>
  <c r="N16" i="16"/>
  <c r="L16"/>
  <c r="F16"/>
  <c r="D16"/>
  <c r="C16"/>
  <c r="B16"/>
  <c r="B13" i="15"/>
  <c r="C101" i="18" l="1"/>
  <c r="H101"/>
  <c r="J8" s="1"/>
  <c r="D101"/>
  <c r="F101"/>
  <c r="B101"/>
  <c r="C8" s="1"/>
  <c r="C10" s="1"/>
  <c r="I101"/>
  <c r="H8" s="1"/>
  <c r="H10" s="1"/>
  <c r="E101"/>
  <c r="E8" s="1"/>
  <c r="E10" s="1"/>
  <c r="C20"/>
  <c r="I8"/>
  <c r="I10" s="1"/>
  <c r="I17"/>
  <c r="I20" s="1"/>
  <c r="J17"/>
  <c r="J20" s="1"/>
  <c r="B19" i="6"/>
  <c r="B18"/>
  <c r="B5"/>
  <c r="C29" i="14" s="1"/>
  <c r="B6" i="6"/>
  <c r="C64" i="14" s="1"/>
  <c r="D14" i="48"/>
  <c r="P7"/>
  <c r="P25" s="1"/>
  <c r="O7"/>
  <c r="O25" s="1"/>
  <c r="M7"/>
  <c r="K7"/>
  <c r="I7"/>
  <c r="H7"/>
  <c r="G7"/>
  <c r="P10"/>
  <c r="O10"/>
  <c r="N10"/>
  <c r="L10"/>
  <c r="K10"/>
  <c r="J10"/>
  <c r="I10"/>
  <c r="H10"/>
  <c r="F10"/>
  <c r="E10"/>
  <c r="D10"/>
  <c r="C10"/>
  <c r="P9"/>
  <c r="P27" s="1"/>
  <c r="O9"/>
  <c r="N9"/>
  <c r="L9"/>
  <c r="K9"/>
  <c r="J9"/>
  <c r="I9"/>
  <c r="F9"/>
  <c r="C9"/>
  <c r="P13"/>
  <c r="P31" s="1"/>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O31"/>
  <c r="Q12"/>
  <c r="Q11"/>
  <c r="P28"/>
  <c r="O28"/>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H20" s="1"/>
  <c r="G87" i="14"/>
  <c r="G17" i="56" s="1"/>
  <c r="F87" i="14"/>
  <c r="F17" i="56" s="1"/>
  <c r="F20"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B75"/>
  <c r="B7" i="56" s="1"/>
  <c r="B74" i="14"/>
  <c r="B6" i="56" s="1"/>
  <c r="B73" i="14"/>
  <c r="B5" i="56" s="1"/>
  <c r="B72" i="14"/>
  <c r="B4" i="56" s="1"/>
  <c r="Q54" i="14"/>
  <c r="P54"/>
  <c r="L54"/>
  <c r="J54"/>
  <c r="I54"/>
  <c r="H54"/>
  <c r="H56" s="1"/>
  <c r="Q24"/>
  <c r="P24"/>
  <c r="N24"/>
  <c r="L24"/>
  <c r="J24"/>
  <c r="I24"/>
  <c r="I26" s="1"/>
  <c r="H24"/>
  <c r="H26" s="1"/>
  <c r="Q50"/>
  <c r="P50"/>
  <c r="O50"/>
  <c r="M50"/>
  <c r="L50"/>
  <c r="K50"/>
  <c r="J50"/>
  <c r="G50"/>
  <c r="D50"/>
  <c r="Q49"/>
  <c r="Q52" s="1"/>
  <c r="P49"/>
  <c r="P52" s="1"/>
  <c r="Q20"/>
  <c r="P20"/>
  <c r="P22" s="1"/>
  <c r="O20"/>
  <c r="M20"/>
  <c r="L20"/>
  <c r="K20"/>
  <c r="J20"/>
  <c r="G20"/>
  <c r="D20"/>
  <c r="Q19"/>
  <c r="P19"/>
  <c r="O19"/>
  <c r="O22" s="1"/>
  <c r="M19"/>
  <c r="M22" s="1"/>
  <c r="L19"/>
  <c r="K19"/>
  <c r="J19"/>
  <c r="I19"/>
  <c r="G19"/>
  <c r="G22" s="1"/>
  <c r="F19"/>
  <c r="E19"/>
  <c r="D19"/>
  <c r="Q48"/>
  <c r="P48"/>
  <c r="O48"/>
  <c r="M48"/>
  <c r="L48"/>
  <c r="K48"/>
  <c r="J48"/>
  <c r="G48"/>
  <c r="D48"/>
  <c r="Q18"/>
  <c r="P18"/>
  <c r="O18"/>
  <c r="M18"/>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N90"/>
  <c r="R78"/>
  <c r="F78"/>
  <c r="P56"/>
  <c r="L56"/>
  <c r="J56"/>
  <c r="Q56"/>
  <c r="I56"/>
  <c r="R44"/>
  <c r="Q26"/>
  <c r="N26"/>
  <c r="J26"/>
  <c r="E25"/>
  <c r="C25"/>
  <c r="B14" i="48" s="1"/>
  <c r="Q14" s="1"/>
  <c r="P26" i="14"/>
  <c r="L26"/>
  <c r="Q22"/>
  <c r="R12"/>
  <c r="F13" i="15"/>
  <c r="D13"/>
  <c r="C13"/>
  <c r="J10" i="18" l="1"/>
  <c r="J76" i="14"/>
  <c r="C77"/>
  <c r="C9" i="56" s="1"/>
  <c r="D9"/>
  <c r="Q88" i="14"/>
  <c r="P18" i="56" s="1"/>
  <c r="D18"/>
  <c r="K90" i="14"/>
  <c r="K18" i="56"/>
  <c r="N78" i="14"/>
  <c r="N8" i="56"/>
  <c r="N10" s="1"/>
  <c r="M78" i="14"/>
  <c r="M8" i="56"/>
  <c r="M10" s="1"/>
  <c r="G90" i="14"/>
  <c r="G18" i="56"/>
  <c r="G20" s="1"/>
  <c r="F90" i="14"/>
  <c r="M20" i="56"/>
  <c r="G78" i="14"/>
  <c r="Q89"/>
  <c r="P19" i="56" s="1"/>
  <c r="I76" i="14"/>
  <c r="I8" i="56" s="1"/>
  <c r="I10" s="1"/>
  <c r="I87" i="14"/>
  <c r="I17" i="56" s="1"/>
  <c r="I20" s="1"/>
  <c r="E8"/>
  <c r="E10" s="1"/>
  <c r="H78" i="14"/>
  <c r="H9" i="56"/>
  <c r="H10" s="1"/>
  <c r="Q87" i="14"/>
  <c r="P17" i="56" s="1"/>
  <c r="P20" s="1"/>
  <c r="D17"/>
  <c r="K78" i="14"/>
  <c r="K8" i="56"/>
  <c r="K10" s="1"/>
  <c r="O78" i="14"/>
  <c r="O9" i="56"/>
  <c r="L90" i="14"/>
  <c r="L17" i="56"/>
  <c r="L20" s="1"/>
  <c r="O90" i="14"/>
  <c r="O18" i="56"/>
  <c r="O20" s="1"/>
  <c r="O10"/>
  <c r="C88" i="14"/>
  <c r="C18" i="56" s="1"/>
  <c r="H90" i="14"/>
  <c r="D76"/>
  <c r="K20" i="56"/>
  <c r="L78" i="14"/>
  <c r="N20" i="56"/>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E90"/>
  <c r="I90"/>
  <c r="M90"/>
  <c r="D90"/>
  <c r="D8" i="56" l="1"/>
  <c r="D10" s="1"/>
  <c r="Q76" i="14"/>
  <c r="P8" i="56" s="1"/>
  <c r="J8"/>
  <c r="J10" s="1"/>
  <c r="J78" i="14"/>
  <c r="P9" i="56"/>
  <c r="Q90" i="14"/>
  <c r="B17" i="6" s="1"/>
  <c r="D78" i="14"/>
  <c r="B76"/>
  <c r="C76"/>
  <c r="J90"/>
  <c r="J17" i="56"/>
  <c r="J20" s="1"/>
  <c r="D20"/>
  <c r="C90" i="14"/>
  <c r="B87"/>
  <c r="B90" l="1"/>
  <c r="B17" i="56"/>
  <c r="B20" s="1"/>
  <c r="B8"/>
  <c r="B10" s="1"/>
  <c r="B78" i="14"/>
  <c r="B4" i="6" s="1"/>
  <c r="C8" i="56"/>
  <c r="C10" s="1"/>
  <c r="C78" i="14"/>
  <c r="Q78"/>
  <c r="B9" i="6" s="1"/>
  <c r="P10" i="56"/>
  <c r="D5" i="17"/>
  <c r="H14" i="15" l="1"/>
  <c r="H16" s="1"/>
  <c r="G14"/>
  <c r="G16" s="1"/>
  <c r="H5" i="48" l="1"/>
  <c r="I10" i="14"/>
  <c r="I16" s="1"/>
  <c r="G5" i="48"/>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31"/>
  <c r="D28"/>
  <c r="D32"/>
  <c r="D29"/>
  <c r="D24"/>
  <c r="L32"/>
  <c r="L27"/>
  <c r="L31"/>
  <c r="L24"/>
  <c r="L28"/>
  <c r="L29"/>
  <c r="L22"/>
  <c r="L30"/>
  <c r="Q10" i="14"/>
  <c r="P5" i="48"/>
  <c r="P23" s="1"/>
  <c r="K32"/>
  <c r="K31"/>
  <c r="K25"/>
  <c r="K29"/>
  <c r="K26"/>
  <c r="K30"/>
  <c r="K28"/>
  <c r="K27"/>
  <c r="K22"/>
  <c r="K24"/>
  <c r="I5"/>
  <c r="J10" i="14"/>
  <c r="J16" s="1"/>
  <c r="J27" s="1"/>
  <c r="J32" i="48"/>
  <c r="J29"/>
  <c r="J30"/>
  <c r="J24"/>
  <c r="J31"/>
  <c r="J28"/>
  <c r="J27"/>
  <c r="Q11" i="14"/>
  <c r="P4" i="48"/>
  <c r="B7"/>
  <c r="C24" i="14"/>
  <c r="C26" s="1"/>
  <c r="P11"/>
  <c r="O4" i="48"/>
  <c r="I32"/>
  <c r="I22"/>
  <c r="I26"/>
  <c r="I25"/>
  <c r="I28"/>
  <c r="I30"/>
  <c r="I27"/>
  <c r="I24"/>
  <c r="I29"/>
  <c r="I31"/>
  <c r="E11" i="14"/>
  <c r="D4" i="48"/>
  <c r="D22" s="1"/>
  <c r="H32"/>
  <c r="H26"/>
  <c r="H28"/>
  <c r="H29"/>
  <c r="H24"/>
  <c r="H22"/>
  <c r="H30"/>
  <c r="H25"/>
  <c r="H23"/>
  <c r="C4"/>
  <c r="D11" i="14"/>
  <c r="G32" i="48"/>
  <c r="G26"/>
  <c r="G29"/>
  <c r="G22"/>
  <c r="G25"/>
  <c r="G30"/>
  <c r="G24"/>
  <c r="G23"/>
  <c r="B4"/>
  <c r="C11" i="14"/>
  <c r="F24" i="48"/>
  <c r="F32"/>
  <c r="F30"/>
  <c r="F28"/>
  <c r="F27"/>
  <c r="F29"/>
  <c r="F31"/>
  <c r="N30"/>
  <c r="N28"/>
  <c r="N24"/>
  <c r="N27"/>
  <c r="N31"/>
  <c r="N32"/>
  <c r="N29"/>
  <c r="B10"/>
  <c r="C19" i="14"/>
  <c r="E32" i="48"/>
  <c r="E28"/>
  <c r="E30"/>
  <c r="E31"/>
  <c r="E29"/>
  <c r="E24"/>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5" i="48" l="1"/>
  <c r="P22"/>
  <c r="P33" s="1"/>
  <c r="P10" i="14"/>
  <c r="O5" i="48"/>
  <c r="O23" s="1"/>
  <c r="K23"/>
  <c r="K15"/>
  <c r="G11" i="14"/>
  <c r="F4" i="48"/>
  <c r="F22" s="1"/>
  <c r="I18" i="14"/>
  <c r="H13" i="48"/>
  <c r="H31" s="1"/>
  <c r="O22"/>
  <c r="P8"/>
  <c r="P26" s="1"/>
  <c r="Q13" i="14"/>
  <c r="Q16" s="1"/>
  <c r="Q27" s="1"/>
  <c r="M32" i="48"/>
  <c r="M25"/>
  <c r="M22"/>
  <c r="M26"/>
  <c r="M24"/>
  <c r="M30"/>
  <c r="M29"/>
  <c r="M23"/>
  <c r="H18" i="14"/>
  <c r="G13" i="48"/>
  <c r="N18" i="14"/>
  <c r="M13" i="48"/>
  <c r="M31" s="1"/>
  <c r="I23"/>
  <c r="I15"/>
  <c r="J12" i="17"/>
  <c r="K54" i="14" s="1"/>
  <c r="K56" s="1"/>
  <c r="J7" i="48"/>
  <c r="J25" s="1"/>
  <c r="K24" i="14"/>
  <c r="K26" s="1"/>
  <c r="J46"/>
  <c r="J61" s="1"/>
  <c r="L63"/>
  <c r="L46"/>
  <c r="L61"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G10"/>
  <c r="H19" i="14"/>
  <c r="J4" i="48"/>
  <c r="K11" i="14"/>
  <c r="M9" i="48"/>
  <c r="N20" i="14"/>
  <c r="E7" i="48"/>
  <c r="E25" s="1"/>
  <c r="F24" i="14"/>
  <c r="F26" s="1"/>
  <c r="E9" i="48"/>
  <c r="E27" s="1"/>
  <c r="F20" i="14"/>
  <c r="F22" s="1"/>
  <c r="R18"/>
  <c r="G31" i="48"/>
  <c r="Q13"/>
  <c r="P13" i="14"/>
  <c r="O8" i="48"/>
  <c r="M10"/>
  <c r="M28" s="1"/>
  <c r="N19" i="14"/>
  <c r="N22" s="1"/>
  <c r="N27" s="1"/>
  <c r="D9" i="48"/>
  <c r="D27" s="1"/>
  <c r="E20" i="14"/>
  <c r="E22" s="1"/>
  <c r="C20"/>
  <c r="B9" i="48"/>
  <c r="E12" i="17"/>
  <c r="F54" i="14" s="1"/>
  <c r="F56" s="1"/>
  <c r="H14" i="22"/>
  <c r="D16" i="14"/>
  <c r="D27" s="1"/>
  <c r="B20" i="6" s="1"/>
  <c r="B22" s="1"/>
  <c r="C22" i="56" s="1"/>
  <c r="P16" i="14"/>
  <c r="P27" s="1"/>
  <c r="P46"/>
  <c r="P61" s="1"/>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N63" l="1"/>
  <c r="I20"/>
  <c r="I22" s="1"/>
  <c r="I27" s="1"/>
  <c r="H9" i="48"/>
  <c r="J22"/>
  <c r="G9"/>
  <c r="H20" i="14"/>
  <c r="H22" s="1"/>
  <c r="H27" s="1"/>
  <c r="H63" s="1"/>
  <c r="C22"/>
  <c r="M27" i="48"/>
  <c r="M33" s="1"/>
  <c r="M15"/>
  <c r="K10" i="14"/>
  <c r="J5" i="48"/>
  <c r="J23" s="1"/>
  <c r="E5"/>
  <c r="E23" s="1"/>
  <c r="F10" i="14"/>
  <c r="O26" i="48"/>
  <c r="O33" s="1"/>
  <c r="O15"/>
  <c r="E22"/>
  <c r="Q4"/>
  <c r="G28"/>
  <c r="Q10"/>
  <c r="R19" i="14"/>
  <c r="H18" i="22"/>
  <c r="I50" i="14" s="1"/>
  <c r="I52" s="1"/>
  <c r="I61" s="1"/>
  <c r="R11"/>
  <c r="E46"/>
  <c r="E61" s="1"/>
  <c r="P63"/>
  <c r="D15" i="48"/>
  <c r="E16" i="14"/>
  <c r="E27" s="1"/>
  <c r="D33" i="48"/>
  <c r="M61" i="14"/>
  <c r="M63" s="1"/>
  <c r="F23" i="48"/>
  <c r="C16" i="14"/>
  <c r="C27" s="1"/>
  <c r="B3" i="6" s="1"/>
  <c r="B12" s="1"/>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R22" l="1"/>
  <c r="G27" i="48"/>
  <c r="G33" s="1"/>
  <c r="G15"/>
  <c r="J8"/>
  <c r="J26" s="1"/>
  <c r="J33" s="1"/>
  <c r="K13" i="14"/>
  <c r="F13"/>
  <c r="E8" i="48"/>
  <c r="E26" s="1"/>
  <c r="E33" s="1"/>
  <c r="H27"/>
  <c r="H33" s="1"/>
  <c r="H15"/>
  <c r="K46" i="14"/>
  <c r="K61" s="1"/>
  <c r="F16"/>
  <c r="F27" s="1"/>
  <c r="R20"/>
  <c r="Q5" i="48"/>
  <c r="E63" i="14"/>
  <c r="E15" i="48"/>
  <c r="F46" i="14"/>
  <c r="F61" s="1"/>
  <c r="I63"/>
  <c r="Q9" i="48"/>
  <c r="K16" i="14"/>
  <c r="K27" s="1"/>
  <c r="R10"/>
  <c r="J15" i="48"/>
  <c r="C55" i="14"/>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F63" l="1"/>
  <c r="K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<sst xmlns="http://schemas.openxmlformats.org/spreadsheetml/2006/main" count="2483" uniqueCount="946">
  <si>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</si>
  <si>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</si>
  <si>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</si>
  <si>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</si>
  <si>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</si>
  <si>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</si>
  <si>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</si>
  <si>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</si>
  <si>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</si>
  <si>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</si>
  <si>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</si>
  <si>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</si>
  <si>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</si>
  <si>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</si>
  <si>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</si>
  <si>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</si>
  <si>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</si>
  <si>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</si>
  <si>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</si>
  <si>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</si>
  <si>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</si>
  <si>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</si>
  <si>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</si>
  <si>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</si>
  <si>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</si>
  <si>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</si>
  <si>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</si>
  <si>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</si>
  <si>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</si>
  <si>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</si>
  <si>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</si>
  <si>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</si>
  <si>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</si>
  <si>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</si>
  <si>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</si>
  <si>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</si>
  <si>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</si>
  <si>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</si>
  <si>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</si>
  <si>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</si>
  <si>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</si>
  <si>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</si>
  <si>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</si>
  <si>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</si>
  <si>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</si>
  <si>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</si>
  <si>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</si>
  <si>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</si>
  <si>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</si>
  <si>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</si>
  <si>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</si>
  <si>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</si>
  <si>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</si>
  <si>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</si>
  <si>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</si>
  <si>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</si>
  <si>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</si>
  <si>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</si>
  <si>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</si>
  <si>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</si>
  <si>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</si>
  <si>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</si>
  <si>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</si>
  <si>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</si>
  <si>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</si>
  <si>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</si>
  <si>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</si>
  <si>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</si>
  <si>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</si>
  <si>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</si>
  <si>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</si>
  <si>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</si>
  <si>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</si>
  <si>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</si>
  <si>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</si>
  <si>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</si>
  <si>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</si>
  <si>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</si>
  <si>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</si>
  <si>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</si>
  <si>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</si>
  <si>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</si>
  <si>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</si>
  <si>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</si>
  <si>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</si>
  <si>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</si>
  <si>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</si>
  <si>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</si>
  <si>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</si>
  <si>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</si>
  <si>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</si>
  <si>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</si>
  <si>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</si>
  <si>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</si>
  <si>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</si>
  <si>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</si>
  <si>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</si>
  <si>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</si>
  <si>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</si>
  <si>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</si>
  <si>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</si>
  <si>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</si>
  <si>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</si>
  <si>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</si>
  <si>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</si>
  <si>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</si>
  <si>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</si>
  <si>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</si>
  <si>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</si>
  <si>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</si>
  <si>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</si>
  <si>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</si>
  <si>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</si>
  <si>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</si>
  <si>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</si>
  <si>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</si>
  <si>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</si>
  <si>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</si>
  <si>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</si>
  <si>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</si>
  <si>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</si>
  <si>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</si>
  <si>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</si>
  <si>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</si>
  <si>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</si>
  <si>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</si>
  <si>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</si>
  <si>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</si>
  <si>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</si>
  <si>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</si>
  <si>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</si>
  <si>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</si>
  <si>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</si>
  <si>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</si>
  <si>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</si>
  <si>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</si>
  <si>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</si>
  <si>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</si>
  <si>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</si>
  <si>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</si>
  <si>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</si>
  <si>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</si>
  <si>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</si>
  <si>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</si>
  <si>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</si>
  <si>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</si>
  <si>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</si>
  <si>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</si>
  <si>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</si>
  <si>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</si>
  <si>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</si>
  <si>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</si>
  <si>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</si>
  <si>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</si>
  <si>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</si>
  <si>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</si>
  <si>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</si>
  <si>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</si>
  <si>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</si>
  <si>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</si>
  <si>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</si>
  <si>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</si>
  <si>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</si>
  <si>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</si>
  <si>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</si>
  <si>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</si>
  <si>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</si>
  <si>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</si>
  <si>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</si>
  <si>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</si>
  <si>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</si>
  <si>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</si>
  <si>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</si>
  <si>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</si>
  <si>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</si>
  <si>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</si>
  <si>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</si>
  <si>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</si>
  <si>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</si>
  <si>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</si>
  <si>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</si>
  <si>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</si>
  <si>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</si>
  <si>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</si>
  <si>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</si>
  <si>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</si>
  <si>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</si>
  <si>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</si>
  <si>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</si>
  <si>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</si>
  <si>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</si>
  <si>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</si>
  <si>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</si>
  <si>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</si>
  <si>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</si>
  <si>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</si>
  <si>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</si>
  <si>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</si>
  <si>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</si>
  <si>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</si>
  <si>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</si>
  <si>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</si>
  <si>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</si>
  <si>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</si>
  <si>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</si>
  <si>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</si>
  <si>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</si>
  <si>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</si>
  <si>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</si>
  <si>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</si>
  <si>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</si>
  <si>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</si>
  <si>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</si>
  <si>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</si>
  <si>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</si>
  <si>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</si>
  <si>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</si>
  <si>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</si>
  <si>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</si>
  <si>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</si>
  <si>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</si>
  <si>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</si>
  <si>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</si>
  <si>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</si>
  <si>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</si>
  <si>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</si>
  <si>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</si>
  <si>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</si>
  <si>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</si>
  <si>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</si>
  <si>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</si>
  <si>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</si>
  <si>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</si>
  <si>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</si>
  <si>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</si>
  <si>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</si>
  <si>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</si>
  <si>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</si>
  <si>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</si>
  <si>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</si>
  <si>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</si>
  <si>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</si>
  <si>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</si>
  <si>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</si>
  <si>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</si>
  <si>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</si>
  <si>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</si>
  <si>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</si>
  <si>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</si>
  <si>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</si>
  <si>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</si>
  <si>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</si>
  <si>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</si>
  <si>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</si>
  <si>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</si>
  <si>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</si>
  <si>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</si>
  <si>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</si>
  <si>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</si>
  <si>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</si>
  <si>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</si>
  <si>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</si>
  <si>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</si>
  <si>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</si>
  <si>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</si>
  <si>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</si>
  <si>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</si>
  <si>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</si>
  <si>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</si>
  <si>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</si>
  <si>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</si>
  <si>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</si>
  <si>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</si>
  <si>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</si>
  <si>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</si>
  <si>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</si>
  <si>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</si>
  <si>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</si>
  <si>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</si>
  <si>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</si>
  <si>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</si>
  <si>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</si>
  <si>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</si>
  <si>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</si>
  <si>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</si>
  <si>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</si>
  <si>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</si>
  <si>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</si>
  <si>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</si>
  <si>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</si>
  <si>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</si>
  <si>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</si>
  <si>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</si>
  <si>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</si>
  <si>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</si>
  <si>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</si>
  <si>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</si>
  <si>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</si>
  <si>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</si>
  <si>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</si>
  <si>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</si>
  <si>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</si>
  <si>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</si>
  <si>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</si>
  <si>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</si>
  <si>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</si>
  <si>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</si>
  <si>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</si>
  <si>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</si>
  <si>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</si>
  <si>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</si>
  <si>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</si>
  <si>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</si>
  <si>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</si>
  <si>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</si>
  <si>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</si>
  <si>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</si>
  <si>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</si>
  <si>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</si>
  <si>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</si>
  <si>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</si>
  <si>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</si>
  <si>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</si>
  <si>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</si>
  <si>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</si>
  <si>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</si>
  <si>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</si>
  <si>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</si>
  <si>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</si>
  <si>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</si>
  <si>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</si>
  <si>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</si>
  <si>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</si>
  <si>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</si>
  <si>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</si>
  <si>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</si>
  <si>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</si>
  <si>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</si>
  <si>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</si>
  <si>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</si>
  <si>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</si>
  <si>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</si>
  <si>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</si>
  <si>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</si>
  <si>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</si>
  <si>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</si>
  <si>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</si>
  <si>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</si>
  <si>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</si>
  <si>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</si>
  <si>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</si>
  <si>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</si>
  <si>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</si>
  <si>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</si>
  <si>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</si>
  <si>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</si>
  <si>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</si>
  <si>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</si>
  <si>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</si>
  <si>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</si>
  <si>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</si>
  <si>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</si>
  <si>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</si>
  <si>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</si>
  <si>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</si>
  <si>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</si>
  <si>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</si>
  <si>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</si>
  <si>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</si>
  <si>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</si>
  <si>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</si>
  <si>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</si>
  <si>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</si>
  <si>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</si>
  <si>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</si>
  <si>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</si>
  <si>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</si>
  <si>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</si>
  <si>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</si>
  <si>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</si>
  <si>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</si>
  <si>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</si>
  <si>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</si>
  <si>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</si>
  <si>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</si>
  <si>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</si>
  <si>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</si>
  <si>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</si>
  <si>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</si>
  <si>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</si>
  <si>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</si>
  <si>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</si>
  <si>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</si>
  <si>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</si>
  <si>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</si>
  <si>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</si>
  <si>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</si>
  <si>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</si>
  <si>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</si>
  <si>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</si>
  <si>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</si>
  <si>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</si>
  <si>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</si>
  <si>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</si>
  <si>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</si>
  <si>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</si>
  <si>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</si>
  <si>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</si>
  <si>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</si>
  <si>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</si>
  <si>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</si>
  <si>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</si>
  <si>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</si>
  <si>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</si>
  <si>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</si>
  <si>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</si>
  <si>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</si>
  <si>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</si>
  <si>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</si>
  <si>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</si>
  <si>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</si>
  <si>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</si>
  <si>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</si>
  <si>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</si>
  <si>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</si>
  <si>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</si>
  <si>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</si>
  <si>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</si>
  <si>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</si>
  <si>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</si>
  <si>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</si>
  <si>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</si>
  <si>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</si>
  <si>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</si>
  <si>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</si>
  <si>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</si>
  <si>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</si>
  <si>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</si>
  <si>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</si>
  <si>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</si>
  <si>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</si>
  <si>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</si>
  <si>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</si>
  <si>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</si>
  <si>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</si>
  <si>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</si>
  <si>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</si>
  <si>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</si>
  <si>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</si>
  <si>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</si>
  <si>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</si>
  <si>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</si>
  <si>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</si>
  <si>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</si>
  <si>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</si>
  <si>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</si>
  <si>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</si>
  <si>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</si>
  <si>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</si>
  <si>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</si>
  <si>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</si>
  <si>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</si>
  <si>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</si>
  <si>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</si>
  <si>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</si>
  <si>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</si>
  <si>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</si>
  <si>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</si>
  <si>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</si>
  <si>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</si>
  <si>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</si>
  <si>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</si>
  <si>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</si>
  <si>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</si>
  <si>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</si>
  <si>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</si>
  <si>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</si>
  <si>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</si>
  <si>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</si>
  <si>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</si>
  <si>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</si>
  <si>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</si>
  <si>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</si>
  <si>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</si>
  <si>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</si>
  <si>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</si>
  <si>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</si>
  <si>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</si>
  <si>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</si>
  <si>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</si>
  <si>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</si>
  <si>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</si>
  <si>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</si>
  <si>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</si>
  <si>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</si>
  <si>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</si>
  <si>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</si>
  <si>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</si>
  <si>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</si>
  <si>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</si>
  <si>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</si>
  <si>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</si>
  <si>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</si>
  <si>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</si>
  <si>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</si>
  <si>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</si>
  <si>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</si>
  <si>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</si>
  <si>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</si>
  <si>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</si>
  <si>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</si>
  <si>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</si>
  <si>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</si>
  <si>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</si>
  <si>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</si>
  <si>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</si>
  <si>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</si>
  <si>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</si>
  <si>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</si>
  <si>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</si>
  <si>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</si>
  <si>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</si>
  <si>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</si>
  <si>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</si>
  <si>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</si>
  <si>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</si>
  <si>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</si>
  <si>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</si>
  <si>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</si>
  <si>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</si>
  <si>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</si>
  <si>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</si>
  <si>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</si>
  <si>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</si>
  <si>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</si>
  <si>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</si>
  <si>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</si>
  <si>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</si>
  <si>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</si>
  <si>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</si>
  <si>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</si>
  <si>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</si>
  <si>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</si>
  <si>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</si>
  <si>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</si>
  <si>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</si>
  <si>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</si>
  <si>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</si>
  <si>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</si>
  <si>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</si>
  <si>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</si>
  <si>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</si>
  <si>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</si>
  <si>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</si>
  <si>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</si>
  <si>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</si>
  <si>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</si>
  <si>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</si>
  <si>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</si>
  <si>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</si>
  <si>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</si>
  <si>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</si>
  <si>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</si>
  <si>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</si>
  <si>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</si>
  <si>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</si>
  <si>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</si>
  <si>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</si>
  <si>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</si>
  <si>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</si>
  <si>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</si>
  <si>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</si>
  <si>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</si>
  <si>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</si>
  <si>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</si>
  <si>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</si>
  <si>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</si>
  <si>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</si>
  <si>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</si>
  <si>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</si>
  <si>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</si>
  <si>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</si>
  <si>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</si>
  <si>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</si>
  <si>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</si>
  <si>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</si>
  <si>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</si>
  <si>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</si>
  <si>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</si>
  <si>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</si>
  <si>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</si>
  <si>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</si>
  <si>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</si>
  <si>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</si>
  <si>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</si>
  <si>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</si>
  <si>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</si>
  <si>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</si>
  <si>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</si>
  <si>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</si>
  <si>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</si>
  <si>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</si>
  <si>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</si>
  <si>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</si>
  <si>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</si>
  <si>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</si>
  <si>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</si>
  <si>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</si>
  <si>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</si>
  <si>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</si>
  <si>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</si>
  <si>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</si>
  <si>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</si>
  <si>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</si>
  <si>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</si>
  <si>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</si>
  <si>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</si>
  <si>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</si>
  <si>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</si>
  <si>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</si>
  <si>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</si>
  <si>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</si>
  <si>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</si>
  <si>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</si>
  <si>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</si>
  <si>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</si>
  <si>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</si>
  <si>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</si>
  <si>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</si>
  <si>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</si>
  <si>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</si>
  <si>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</si>
  <si>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</si>
  <si>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</si>
  <si>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</si>
  <si>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</si>
  <si>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</si>
  <si>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</si>
  <si>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</si>
  <si>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</si>
  <si>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</si>
  <si>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</si>
  <si>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</si>
  <si>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</si>
  <si>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</si>
  <si>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</si>
  <si>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</si>
  <si>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</si>
  <si>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</si>
  <si>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</si>
  <si>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</si>
  <si>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</si>
  <si>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</si>
  <si>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</si>
  <si>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</si>
  <si>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</si>
  <si>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</si>
  <si>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</si>
  <si>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</si>
  <si>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</si>
  <si>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</si>
  <si>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</si>
  <si>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</si>
  <si>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</si>
  <si>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</si>
  <si>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</si>
  <si>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</si>
  <si>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</si>
  <si>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</si>
  <si>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</si>
  <si>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</si>
  <si>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</si>
  <si>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</si>
  <si>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</si>
  <si>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</si>
  <si>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</si>
  <si>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</si>
  <si>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</si>
  <si>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</si>
  <si>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</si>
  <si>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</si>
  <si>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</si>
  <si>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</si>
  <si>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</si>
  <si>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</si>
  <si>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</si>
  <si>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</si>
  <si>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</si>
  <si>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</si>
  <si>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</si>
  <si>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</si>
  <si>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</si>
  <si>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</si>
  <si>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</si>
  <si>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</si>
  <si>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</si>
  <si>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</si>
  <si>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</si>
  <si>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</si>
  <si>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</si>
  <si>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</si>
  <si>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</si>
  <si>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</si>
  <si>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</si>
  <si>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</si>
  <si>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</si>
  <si>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</si>
  <si>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</si>
  <si>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</si>
  <si>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</si>
  <si>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</si>
  <si>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</si>
  <si>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</si>
  <si>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</si>
  <si>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</si>
  <si>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</si>
  <si>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</si>
  <si>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</si>
  <si>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</si>
  <si>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</si>
  <si>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</si>
  <si>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</si>
  <si>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</si>
  <si>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</si>
  <si>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</si>
  <si>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</si>
  <si>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</si>
  <si>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</si>
  <si>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</si>
  <si>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</si>
  <si>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</si>
  <si>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</si>
  <si>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</si>
  <si>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</si>
  <si>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</si>
  <si>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</si>
  <si>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</si>
  <si>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</si>
  <si>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</si>
  <si>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</si>
  <si>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</si>
  <si>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</si>
  <si>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</si>
  <si>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</si>
  <si>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</si>
  <si>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</si>
  <si>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</si>
  <si>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</si>
  <si>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</si>
  <si>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</si>
  <si>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</si>
  <si>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</si>
  <si>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</si>
  <si>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</si>
  <si>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</si>
  <si>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</si>
  <si>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</si>
  <si>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</si>
  <si>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</si>
  <si>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</si>
  <si>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</si>
  <si>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</si>
  <si>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</si>
  <si>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</si>
  <si>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</si>
  <si>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</si>
  <si>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</si>
  <si>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</si>
  <si>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</si>
  <si>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</si>
  <si>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</si>
  <si>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</si>
  <si>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</si>
  <si>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</si>
  <si>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</si>
  <si>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</si>
  <si>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</si>
  <si>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</si>
  <si>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</si>
  <si>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</si>
  <si>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</si>
  <si>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</si>
  <si>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</si>
  <si>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</si>
  <si>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</si>
  <si>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</si>
  <si>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</si>
  <si>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</si>
  <si>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</si>
  <si>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</si>
  <si>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</si>
  <si>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</si>
  <si>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</si>
  <si>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</si>
  <si>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</si>
  <si>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</si>
  <si>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</si>
  <si>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</si>
  <si>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</si>
  <si>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</si>
  <si>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</si>
  <si>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</si>
  <si>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</si>
  <si>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</si>
  <si>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</si>
  <si>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</si>
  <si>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</si>
  <si>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</si>
  <si>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</si>
  <si>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</si>
  <si>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</si>
  <si>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</si>
  <si>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</si>
  <si>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</si>
  <si>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</si>
  <si>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</si>
  <si>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</si>
  <si>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</si>
  <si>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</si>
  <si>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</si>
  <si>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</si>
  <si>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</si>
  <si>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</si>
  <si>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</si>
  <si>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</si>
  <si>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</si>
  <si>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</si>
  <si>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</si>
  <si>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</si>
  <si>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</si>
  <si>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</si>
  <si>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</si>
  <si>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</si>
  <si>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</si>
  <si>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</si>
  <si>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</si>
  <si>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</si>
  <si>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</si>
  <si>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</si>
  <si>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</si>
  <si>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</si>
  <si>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</si>
  <si>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</si>
  <si>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</si>
  <si>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</si>
  <si>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</si>
  <si>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</si>
  <si>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</si>
  <si>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</si>
  <si>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</si>
  <si>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</si>
  <si>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</si>
  <si>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</si>
  <si>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</si>
  <si>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</si>
  <si>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</si>
  <si>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</si>
  <si>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</si>
  <si>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</si>
  <si>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</si>
  <si>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</si>
  <si>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</si>
  <si>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</si>
  <si>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</si>
  <si>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</si>
  <si>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</si>
  <si>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</si>
  <si>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</si>
  <si>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</si>
  <si>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</si>
  <si>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</si>
  <si>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</si>
  <si>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</si>
  <si>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</si>
  <si>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</si>
  <si>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</si>
  <si>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</si>
  <si>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</si>
  <si>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</si>
  <si>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</si>
  <si>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</si>
  <si>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</si>
  <si>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</si>
  <si>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</si>
  <si>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</si>
  <si>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</si>
  <si>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</si>
  <si>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</si>
  <si>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</si>
  <si>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</si>
  <si>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</si>
  <si>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</si>
  <si>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</si>
  <si>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</si>
  <si>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</si>
  <si>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</si>
  <si>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</si>
  <si>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</si>
  <si>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</si>
  <si>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</si>
  <si>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</si>
  <si>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</si>
  <si>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</si>
  <si>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</si>
  <si>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</si>
  <si>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</si>
  <si>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</si>
  <si>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</si>
  <si>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</si>
  <si>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</si>
  <si>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</si>
  <si>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</si>
  <si>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</si>
  <si>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</si>
  <si>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</si>
  <si>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</si>
  <si>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</si>
  <si>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</si>
  <si>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</si>
  <si>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</si>
  <si>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</si>
  <si>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</si>
  <si>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</si>
  <si>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</si>
  <si>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</si>
  <si>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</si>
  <si>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</si>
  <si>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</si>
  <si>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</si>
  <si>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</si>
  <si>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</si>
  <si>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</si>
  <si>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</si>
  <si>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</si>
  <si>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</si>
  <si>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</si>
  <si>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</si>
  <si>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</si>
  <si>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</si>
  <si>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</si>
  <si>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42025</t>
  </si>
  <si>
    <t>WETTEREN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</si>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</sst>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42025</v>
      </c>
      <c r="B6" s="397"/>
      <c r="C6" s="398"/>
    </row>
    <row r="7" spans="1:7" s="395" customFormat="1" ht="15.75" customHeight="1">
      <c r="A7" s="399" t="str">
        <f>txtMunicipality</f>
        <v>WETTEREN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0.21396513252924154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0.21396513252924154</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42025</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10557</v>
      </c>
      <c r="C9" s="338">
        <v>10957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1671</v>
      </c>
    </row>
    <row r="15" spans="1:6">
      <c r="A15" s="1286" t="s">
        <v>184</v>
      </c>
      <c r="B15" s="335">
        <v>10</v>
      </c>
    </row>
    <row r="16" spans="1:6">
      <c r="A16" s="1286" t="s">
        <v>6</v>
      </c>
      <c r="B16" s="335">
        <v>499</v>
      </c>
    </row>
    <row r="17" spans="1:6">
      <c r="A17" s="1286" t="s">
        <v>7</v>
      </c>
      <c r="B17" s="335">
        <v>531</v>
      </c>
    </row>
    <row r="18" spans="1:6">
      <c r="A18" s="1286" t="s">
        <v>8</v>
      </c>
      <c r="B18" s="335">
        <v>750</v>
      </c>
    </row>
    <row r="19" spans="1:6">
      <c r="A19" s="1286" t="s">
        <v>9</v>
      </c>
      <c r="B19" s="335">
        <v>697</v>
      </c>
    </row>
    <row r="20" spans="1:6">
      <c r="A20" s="1286" t="s">
        <v>10</v>
      </c>
      <c r="B20" s="335">
        <v>730</v>
      </c>
    </row>
    <row r="21" spans="1:6">
      <c r="A21" s="1286" t="s">
        <v>11</v>
      </c>
      <c r="B21" s="335">
        <v>0</v>
      </c>
    </row>
    <row r="22" spans="1:6">
      <c r="A22" s="1286" t="s">
        <v>12</v>
      </c>
      <c r="B22" s="335">
        <v>2220</v>
      </c>
    </row>
    <row r="23" spans="1:6">
      <c r="A23" s="1286" t="s">
        <v>13</v>
      </c>
      <c r="B23" s="335">
        <v>0</v>
      </c>
    </row>
    <row r="24" spans="1:6">
      <c r="A24" s="1286" t="s">
        <v>14</v>
      </c>
      <c r="B24" s="335">
        <v>0</v>
      </c>
    </row>
    <row r="25" spans="1:6">
      <c r="A25" s="1286" t="s">
        <v>15</v>
      </c>
      <c r="B25" s="335">
        <v>0</v>
      </c>
    </row>
    <row r="26" spans="1:6">
      <c r="A26" s="1286" t="s">
        <v>16</v>
      </c>
      <c r="B26" s="335">
        <v>70</v>
      </c>
    </row>
    <row r="27" spans="1:6">
      <c r="A27" s="1286" t="s">
        <v>17</v>
      </c>
      <c r="B27" s="335">
        <v>3</v>
      </c>
    </row>
    <row r="28" spans="1:6" s="341" customFormat="1">
      <c r="A28" s="1287" t="s">
        <v>18</v>
      </c>
      <c r="B28" s="1287">
        <v>630</v>
      </c>
    </row>
    <row r="29" spans="1:6">
      <c r="A29" s="1287" t="s">
        <v>942</v>
      </c>
      <c r="B29" s="1287">
        <v>88</v>
      </c>
      <c r="C29" s="341"/>
      <c r="D29" s="341"/>
      <c r="E29" s="341"/>
      <c r="F29" s="341"/>
    </row>
    <row r="30" spans="1:6">
      <c r="A30" s="1282" t="s">
        <v>943</v>
      </c>
      <c r="B30" s="1282">
        <v>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23979.049507457999</v>
      </c>
      <c r="E38" s="335">
        <v>4</v>
      </c>
      <c r="F38" s="335">
        <v>96110.902392102405</v>
      </c>
    </row>
    <row r="39" spans="1:6">
      <c r="A39" s="1286" t="s">
        <v>30</v>
      </c>
      <c r="B39" s="1286" t="s">
        <v>31</v>
      </c>
      <c r="C39" s="335">
        <v>6767</v>
      </c>
      <c r="D39" s="335">
        <v>110219247.002262</v>
      </c>
      <c r="E39" s="335">
        <v>10507</v>
      </c>
      <c r="F39" s="335">
        <v>46450926.932153299</v>
      </c>
    </row>
    <row r="40" spans="1:6">
      <c r="A40" s="1286" t="s">
        <v>30</v>
      </c>
      <c r="B40" s="1286" t="s">
        <v>29</v>
      </c>
      <c r="C40" s="335">
        <v>0</v>
      </c>
      <c r="D40" s="335">
        <v>0</v>
      </c>
      <c r="E40" s="335">
        <v>0</v>
      </c>
      <c r="F40" s="335">
        <v>0</v>
      </c>
    </row>
    <row r="41" spans="1:6">
      <c r="A41" s="1286" t="s">
        <v>32</v>
      </c>
      <c r="B41" s="1286" t="s">
        <v>33</v>
      </c>
      <c r="C41" s="335">
        <v>99</v>
      </c>
      <c r="D41" s="335">
        <v>2242726.8105921</v>
      </c>
      <c r="E41" s="335">
        <v>188</v>
      </c>
      <c r="F41" s="335">
        <v>2645212.34564086</v>
      </c>
    </row>
    <row r="42" spans="1:6">
      <c r="A42" s="1286" t="s">
        <v>32</v>
      </c>
      <c r="B42" s="1286" t="s">
        <v>34</v>
      </c>
      <c r="C42" s="335">
        <v>0</v>
      </c>
      <c r="D42" s="335">
        <v>0</v>
      </c>
      <c r="E42" s="335">
        <v>0</v>
      </c>
      <c r="F42" s="335">
        <v>0</v>
      </c>
    </row>
    <row r="43" spans="1:6">
      <c r="A43" s="1286" t="s">
        <v>32</v>
      </c>
      <c r="B43" s="1286" t="s">
        <v>35</v>
      </c>
      <c r="C43" s="335">
        <v>0</v>
      </c>
      <c r="D43" s="335">
        <v>0</v>
      </c>
      <c r="E43" s="335">
        <v>3</v>
      </c>
      <c r="F43" s="335">
        <v>2103262.1952387402</v>
      </c>
    </row>
    <row r="44" spans="1:6">
      <c r="A44" s="1286" t="s">
        <v>32</v>
      </c>
      <c r="B44" s="1286" t="s">
        <v>36</v>
      </c>
      <c r="C44" s="335">
        <v>3</v>
      </c>
      <c r="D44" s="335">
        <v>924059.10476456804</v>
      </c>
      <c r="E44" s="335">
        <v>21</v>
      </c>
      <c r="F44" s="335">
        <v>2938132.28368305</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6</v>
      </c>
      <c r="D47" s="335">
        <v>164750.77912942099</v>
      </c>
      <c r="E47" s="335">
        <v>14</v>
      </c>
      <c r="F47" s="335">
        <v>492209.63160216098</v>
      </c>
    </row>
    <row r="48" spans="1:6">
      <c r="A48" s="1286" t="s">
        <v>32</v>
      </c>
      <c r="B48" s="1286" t="s">
        <v>29</v>
      </c>
      <c r="C48" s="335">
        <v>42</v>
      </c>
      <c r="D48" s="335">
        <v>64186301.125581898</v>
      </c>
      <c r="E48" s="335">
        <v>38</v>
      </c>
      <c r="F48" s="335">
        <v>75709187.496608093</v>
      </c>
    </row>
    <row r="49" spans="1:6">
      <c r="A49" s="1286" t="s">
        <v>32</v>
      </c>
      <c r="B49" s="1286" t="s">
        <v>40</v>
      </c>
      <c r="C49" s="335">
        <v>0</v>
      </c>
      <c r="D49" s="335">
        <v>0</v>
      </c>
      <c r="E49" s="335">
        <v>11</v>
      </c>
      <c r="F49" s="335">
        <v>137862.994174024</v>
      </c>
    </row>
    <row r="50" spans="1:6">
      <c r="A50" s="1286" t="s">
        <v>32</v>
      </c>
      <c r="B50" s="1286" t="s">
        <v>41</v>
      </c>
      <c r="C50" s="335">
        <v>17</v>
      </c>
      <c r="D50" s="335">
        <v>1398197.6357674401</v>
      </c>
      <c r="E50" s="335">
        <v>22</v>
      </c>
      <c r="F50" s="335">
        <v>1278855.3137125501</v>
      </c>
    </row>
    <row r="51" spans="1:6">
      <c r="A51" s="1286" t="s">
        <v>42</v>
      </c>
      <c r="B51" s="1286" t="s">
        <v>43</v>
      </c>
      <c r="C51" s="335">
        <v>26</v>
      </c>
      <c r="D51" s="335">
        <v>814496.95673150895</v>
      </c>
      <c r="E51" s="335">
        <v>144</v>
      </c>
      <c r="F51" s="335">
        <v>1739443.18213093</v>
      </c>
    </row>
    <row r="52" spans="1:6">
      <c r="A52" s="1286" t="s">
        <v>42</v>
      </c>
      <c r="B52" s="1286" t="s">
        <v>29</v>
      </c>
      <c r="C52" s="335">
        <v>3</v>
      </c>
      <c r="D52" s="335">
        <v>91827.789364879398</v>
      </c>
      <c r="E52" s="335">
        <v>5</v>
      </c>
      <c r="F52" s="335">
        <v>96385.663408119202</v>
      </c>
    </row>
    <row r="53" spans="1:6">
      <c r="A53" s="1286" t="s">
        <v>44</v>
      </c>
      <c r="B53" s="1286" t="s">
        <v>45</v>
      </c>
      <c r="C53" s="335">
        <v>191</v>
      </c>
      <c r="D53" s="335">
        <v>8341255.47231468</v>
      </c>
      <c r="E53" s="335">
        <v>331</v>
      </c>
      <c r="F53" s="335">
        <v>1819042.76879626</v>
      </c>
    </row>
    <row r="54" spans="1:6">
      <c r="A54" s="1286" t="s">
        <v>46</v>
      </c>
      <c r="B54" s="1286" t="s">
        <v>47</v>
      </c>
      <c r="C54" s="335">
        <v>0</v>
      </c>
      <c r="D54" s="335">
        <v>0</v>
      </c>
      <c r="E54" s="335">
        <v>3</v>
      </c>
      <c r="F54" s="335">
        <v>1924708</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70</v>
      </c>
      <c r="D57" s="335">
        <v>1998179.2658909799</v>
      </c>
      <c r="E57" s="335">
        <v>163</v>
      </c>
      <c r="F57" s="335">
        <v>3265652.3326808</v>
      </c>
    </row>
    <row r="58" spans="1:6">
      <c r="A58" s="1286" t="s">
        <v>49</v>
      </c>
      <c r="B58" s="1286" t="s">
        <v>51</v>
      </c>
      <c r="C58" s="335">
        <v>29</v>
      </c>
      <c r="D58" s="335">
        <v>1011291.6890454</v>
      </c>
      <c r="E58" s="335">
        <v>48</v>
      </c>
      <c r="F58" s="335">
        <v>933149.58540202305</v>
      </c>
    </row>
    <row r="59" spans="1:6">
      <c r="A59" s="1286" t="s">
        <v>49</v>
      </c>
      <c r="B59" s="1286" t="s">
        <v>52</v>
      </c>
      <c r="C59" s="335">
        <v>186</v>
      </c>
      <c r="D59" s="335">
        <v>7556898.3095423896</v>
      </c>
      <c r="E59" s="335">
        <v>395</v>
      </c>
      <c r="F59" s="335">
        <v>13749444.404644899</v>
      </c>
    </row>
    <row r="60" spans="1:6">
      <c r="A60" s="1286" t="s">
        <v>49</v>
      </c>
      <c r="B60" s="1286" t="s">
        <v>53</v>
      </c>
      <c r="C60" s="335">
        <v>102</v>
      </c>
      <c r="D60" s="335">
        <v>7449840.6283594901</v>
      </c>
      <c r="E60" s="335">
        <v>127</v>
      </c>
      <c r="F60" s="335">
        <v>2917413.43767311</v>
      </c>
    </row>
    <row r="61" spans="1:6">
      <c r="A61" s="1286" t="s">
        <v>49</v>
      </c>
      <c r="B61" s="1286" t="s">
        <v>54</v>
      </c>
      <c r="C61" s="335">
        <v>222</v>
      </c>
      <c r="D61" s="335">
        <v>11056576.717873501</v>
      </c>
      <c r="E61" s="335">
        <v>475</v>
      </c>
      <c r="F61" s="335">
        <v>10856176.8108002</v>
      </c>
    </row>
    <row r="62" spans="1:6">
      <c r="A62" s="1286" t="s">
        <v>49</v>
      </c>
      <c r="B62" s="1286" t="s">
        <v>55</v>
      </c>
      <c r="C62" s="335">
        <v>12</v>
      </c>
      <c r="D62" s="335">
        <v>4734666.8356168596</v>
      </c>
      <c r="E62" s="335">
        <v>17</v>
      </c>
      <c r="F62" s="335">
        <v>1330920.46792696</v>
      </c>
    </row>
    <row r="63" spans="1:6">
      <c r="A63" s="1286" t="s">
        <v>49</v>
      </c>
      <c r="B63" s="1286" t="s">
        <v>29</v>
      </c>
      <c r="C63" s="335">
        <v>97</v>
      </c>
      <c r="D63" s="335">
        <v>9841941.1632686798</v>
      </c>
      <c r="E63" s="335">
        <v>104</v>
      </c>
      <c r="F63" s="335">
        <v>5751486.4544290798</v>
      </c>
    </row>
    <row r="64" spans="1:6">
      <c r="A64" s="1286" t="s">
        <v>56</v>
      </c>
      <c r="B64" s="1286" t="s">
        <v>57</v>
      </c>
      <c r="C64" s="335">
        <v>0</v>
      </c>
      <c r="D64" s="335">
        <v>0</v>
      </c>
      <c r="E64" s="335">
        <v>0</v>
      </c>
      <c r="F64" s="335">
        <v>0</v>
      </c>
    </row>
    <row r="65" spans="1:6">
      <c r="A65" s="1286" t="s">
        <v>56</v>
      </c>
      <c r="B65" s="1286" t="s">
        <v>29</v>
      </c>
      <c r="C65" s="335">
        <v>0</v>
      </c>
      <c r="D65" s="335">
        <v>0</v>
      </c>
      <c r="E65" s="335">
        <v>3</v>
      </c>
      <c r="F65" s="335">
        <v>72433.060919273397</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4</v>
      </c>
      <c r="D68" s="335">
        <v>404777.97760897101</v>
      </c>
      <c r="E68" s="335">
        <v>9</v>
      </c>
      <c r="F68" s="335">
        <v>631936.06424582703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80692691</v>
      </c>
      <c r="E73" s="335">
        <v>94455548.197172806</v>
      </c>
    </row>
    <row r="74" spans="1:6">
      <c r="A74" s="1286" t="s">
        <v>64</v>
      </c>
      <c r="B74" s="1286" t="s">
        <v>772</v>
      </c>
      <c r="C74" s="1297" t="s">
        <v>766</v>
      </c>
      <c r="D74" s="335">
        <v>5977754.7357191425</v>
      </c>
      <c r="E74" s="335">
        <v>6562150.0863767518</v>
      </c>
    </row>
    <row r="75" spans="1:6">
      <c r="A75" s="1286" t="s">
        <v>65</v>
      </c>
      <c r="B75" s="1286" t="s">
        <v>771</v>
      </c>
      <c r="C75" s="1297" t="s">
        <v>767</v>
      </c>
      <c r="D75" s="335">
        <v>23495132</v>
      </c>
      <c r="E75" s="335">
        <v>25682158.15914876</v>
      </c>
    </row>
    <row r="76" spans="1:6">
      <c r="A76" s="1286" t="s">
        <v>65</v>
      </c>
      <c r="B76" s="1286" t="s">
        <v>772</v>
      </c>
      <c r="C76" s="1297" t="s">
        <v>768</v>
      </c>
      <c r="D76" s="335">
        <v>1398684.7357191425</v>
      </c>
      <c r="E76" s="335">
        <v>1381626.8256493725</v>
      </c>
    </row>
    <row r="77" spans="1:6">
      <c r="A77" s="1286" t="s">
        <v>66</v>
      </c>
      <c r="B77" s="1286" t="s">
        <v>771</v>
      </c>
      <c r="C77" s="1297" t="s">
        <v>769</v>
      </c>
      <c r="D77" s="335">
        <v>125818264</v>
      </c>
      <c r="E77" s="335">
        <v>131479359.28369926</v>
      </c>
    </row>
    <row r="78" spans="1:6">
      <c r="A78" s="1282" t="s">
        <v>66</v>
      </c>
      <c r="B78" s="1282" t="s">
        <v>772</v>
      </c>
      <c r="C78" s="1282" t="s">
        <v>770</v>
      </c>
      <c r="D78" s="1282">
        <v>15495945</v>
      </c>
      <c r="E78" s="1282">
        <v>16815559.760749996</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445468.52856171486</v>
      </c>
      <c r="C83" s="335">
        <v>427861.03231476556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2633.464461277903</v>
      </c>
    </row>
    <row r="92" spans="1:6">
      <c r="A92" s="1282" t="s">
        <v>69</v>
      </c>
      <c r="B92" s="338">
        <v>3057.3860435042097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4298</v>
      </c>
    </row>
    <row r="98" spans="1:6">
      <c r="A98" s="1286" t="s">
        <v>72</v>
      </c>
      <c r="B98" s="335">
        <v>2</v>
      </c>
    </row>
    <row r="99" spans="1:6">
      <c r="A99" s="1286" t="s">
        <v>73</v>
      </c>
      <c r="B99" s="335">
        <v>96</v>
      </c>
    </row>
    <row r="100" spans="1:6">
      <c r="A100" s="1286" t="s">
        <v>74</v>
      </c>
      <c r="B100" s="335">
        <v>1348</v>
      </c>
    </row>
    <row r="101" spans="1:6">
      <c r="A101" s="1286" t="s">
        <v>75</v>
      </c>
      <c r="B101" s="335">
        <v>87</v>
      </c>
    </row>
    <row r="102" spans="1:6">
      <c r="A102" s="1286" t="s">
        <v>76</v>
      </c>
      <c r="B102" s="335">
        <v>169</v>
      </c>
    </row>
    <row r="103" spans="1:6">
      <c r="A103" s="1286" t="s">
        <v>77</v>
      </c>
      <c r="B103" s="335">
        <v>485</v>
      </c>
    </row>
    <row r="104" spans="1:6">
      <c r="A104" s="1286" t="s">
        <v>78</v>
      </c>
      <c r="B104" s="335">
        <v>2881</v>
      </c>
    </row>
    <row r="105" spans="1:6">
      <c r="A105" s="1282" t="s">
        <v>79</v>
      </c>
      <c r="B105" s="1282">
        <v>8</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11</v>
      </c>
      <c r="C123" s="335">
        <v>7</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62</v>
      </c>
    </row>
    <row r="130" spans="1:6">
      <c r="A130" s="1286" t="s">
        <v>295</v>
      </c>
      <c r="B130" s="335">
        <v>0</v>
      </c>
    </row>
    <row r="131" spans="1:6">
      <c r="A131" s="1286" t="s">
        <v>296</v>
      </c>
      <c r="B131" s="335">
        <v>0</v>
      </c>
    </row>
    <row r="132" spans="1:6">
      <c r="A132" s="1282" t="s">
        <v>297</v>
      </c>
      <c r="B132" s="338">
        <v>7</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178777.7760966474</v>
      </c>
      <c r="C3" s="44" t="s">
        <v>170</v>
      </c>
      <c r="D3" s="44"/>
      <c r="E3" s="157"/>
      <c r="F3" s="44"/>
      <c r="G3" s="44"/>
      <c r="H3" s="44"/>
      <c r="I3" s="44"/>
      <c r="J3" s="44"/>
      <c r="K3" s="97"/>
    </row>
    <row r="4" spans="1:11">
      <c r="A4" s="365" t="s">
        <v>171</v>
      </c>
      <c r="B4" s="50">
        <f>IF(ISERROR('SEAP template'!B78),0,'SEAP template'!B78)</f>
        <v>5690.8505047821127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0.21396513252924154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1924.7080000000001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1924.7080000000001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0.21396513252924154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411.82040230009147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46450.926932153299</v>
      </c>
      <c r="C5" s="18">
        <f>IF(ISERROR('Eigen informatie GS &amp; warmtenet'!B57),0,'Eigen informatie GS &amp; warmtenet'!B57)</f>
        <v>0</v>
      </c>
      <c r="D5" s="31">
        <f>(SUM(HH_hh_gas_kWh,HH_rest_gas_kWh)/1000)*0.902</f>
        <v>99417.760796040326</v>
      </c>
      <c r="E5" s="18">
        <f>B46*B57</f>
        <v>3972.6026660170151</v>
      </c>
      <c r="F5" s="18">
        <f>B51*B62</f>
        <v>13006.609758441875</v>
      </c>
      <c r="G5" s="19"/>
      <c r="H5" s="18"/>
      <c r="I5" s="18"/>
      <c r="J5" s="18">
        <f>B50*B61+C50*C61</f>
        <v>7513.726181401551</v>
      </c>
      <c r="K5" s="18"/>
      <c r="L5" s="18"/>
      <c r="M5" s="18"/>
      <c r="N5" s="18">
        <f>B48*B59+C48*C59</f>
        <v>11691.708631871177</v>
      </c>
      <c r="O5" s="18">
        <f>B69*B70*B71</f>
        <v>109.43333333333334</v>
      </c>
      <c r="P5" s="18">
        <f>B77*B78*B79/1000-B77*B78*B79/1000/B80</f>
        <v>343.2</v>
      </c>
    </row>
    <row r="6" spans="1:16">
      <c r="A6" s="17" t="s">
        <v>639</v>
      </c>
      <c r="B6" s="780">
        <f>kWh_PV_kleiner_dan_10kW</f>
        <v>2633.464461277903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49084.3913934312</v>
      </c>
      <c r="C8" s="22">
        <f>C5</f>
        <v>0</v>
      </c>
      <c r="D8" s="22">
        <f>D5</f>
        <v>99417.760796040326</v>
      </c>
      <c r="E8" s="22">
        <f>E5</f>
        <v>3972.6026660170151</v>
      </c>
      <c r="F8" s="22">
        <f>F5</f>
        <v>13006.609758441875</v>
      </c>
      <c r="G8" s="22"/>
      <c r="H8" s="22"/>
      <c r="I8" s="22"/>
      <c r="J8" s="22">
        <f>J5</f>
        <v>7513.726181401551</v>
      </c>
      <c r="K8" s="22"/>
      <c r="L8" s="22">
        <f>L5</f>
        <v>0</v>
      </c>
      <c r="M8" s="22">
        <f>M5</f>
        <v>0</v>
      </c>
      <c r="N8" s="22">
        <f>N5</f>
        <v>11691.708631871177</v>
      </c>
      <c r="O8" s="22">
        <f>O5</f>
        <v>109.43333333333334</v>
      </c>
      <c r="P8" s="22">
        <f>P5</f>
        <v>343.2</v>
      </c>
    </row>
    <row r="9" spans="1:16">
      <c r="B9" s="20"/>
      <c r="C9" s="20"/>
      <c r="D9" s="262"/>
      <c r="E9" s="20"/>
      <c r="F9" s="20"/>
      <c r="G9" s="20"/>
      <c r="H9" s="20"/>
      <c r="I9" s="20"/>
      <c r="J9" s="20"/>
      <c r="K9" s="20"/>
      <c r="L9" s="20"/>
      <c r="M9" s="20"/>
      <c r="N9" s="20"/>
      <c r="O9" s="20"/>
      <c r="P9" s="20"/>
    </row>
    <row r="10" spans="1:16">
      <c r="A10" s="25" t="s">
        <v>214</v>
      </c>
      <c r="B10" s="26">
        <f ca="1">'EF ele_warmte'!B12</f>
        <v>0.21396513252924154</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10502.348309612669</v>
      </c>
      <c r="C12" s="24">
        <f ca="1">C10*C8</f>
        <v>0</v>
      </c>
      <c r="D12" s="24">
        <f>D8*D10</f>
        <v>20082.387680800148</v>
      </c>
      <c r="E12" s="24">
        <f>E10*E8</f>
        <v>901.78080518586239</v>
      </c>
      <c r="F12" s="24">
        <f>F10*F8</f>
        <v>3472.7648055039808</v>
      </c>
      <c r="G12" s="24"/>
      <c r="H12" s="24"/>
      <c r="I12" s="24"/>
      <c r="J12" s="24">
        <f>J10*J8</f>
        <v>2659.8590682161489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4298</v>
      </c>
      <c r="C18" s="169" t="s">
        <v>111</v>
      </c>
      <c r="D18" s="231"/>
      <c r="E18" s="16"/>
    </row>
    <row r="19" spans="1:7">
      <c r="A19" s="174" t="s">
        <v>72</v>
      </c>
      <c r="B19" s="38">
        <f>aantalw2001_ander</f>
        <v>2</v>
      </c>
      <c r="C19" s="169" t="s">
        <v>111</v>
      </c>
      <c r="D19" s="232"/>
      <c r="E19" s="16"/>
    </row>
    <row r="20" spans="1:7">
      <c r="A20" s="174" t="s">
        <v>73</v>
      </c>
      <c r="B20" s="38">
        <f>aantalw2001_propaan</f>
        <v>96</v>
      </c>
      <c r="C20" s="170">
        <f>IF(ISERROR(B20/SUM($B$20,$B$21,$B$22)*100),0,B20/SUM($B$20,$B$21,$B$22)*100)</f>
        <v>6.2704114957544093</v>
      </c>
      <c r="D20" s="232"/>
      <c r="E20" s="16"/>
    </row>
    <row r="21" spans="1:7">
      <c r="A21" s="174" t="s">
        <v>74</v>
      </c>
      <c r="B21" s="38">
        <f>aantalw2001_elektriciteit</f>
        <v>1348</v>
      </c>
      <c r="C21" s="170">
        <f>IF(ISERROR(B21/SUM($B$20,$B$21,$B$22)*100),0,B21/SUM($B$20,$B$21,$B$22)*100)</f>
        <v>88.047028086218162</v>
      </c>
      <c r="D21" s="232"/>
      <c r="E21" s="16"/>
    </row>
    <row r="22" spans="1:7">
      <c r="A22" s="174" t="s">
        <v>75</v>
      </c>
      <c r="B22" s="38">
        <f>aantalw2001_hout</f>
        <v>87</v>
      </c>
      <c r="C22" s="170">
        <f>IF(ISERROR(B22/SUM($B$20,$B$21,$B$22)*100),0,B22/SUM($B$20,$B$21,$B$22)*100)</f>
        <v>5.6825604180274336</v>
      </c>
      <c r="D22" s="232"/>
      <c r="E22" s="16"/>
    </row>
    <row r="23" spans="1:7">
      <c r="A23" s="174" t="s">
        <v>76</v>
      </c>
      <c r="B23" s="38">
        <f>aantalw2001_niet_gespec</f>
        <v>169</v>
      </c>
      <c r="C23" s="169" t="s">
        <v>111</v>
      </c>
      <c r="D23" s="231"/>
      <c r="E23" s="16"/>
    </row>
    <row r="24" spans="1:7">
      <c r="A24" s="174" t="s">
        <v>77</v>
      </c>
      <c r="B24" s="38">
        <f>aantalw2001_steenkool</f>
        <v>485</v>
      </c>
      <c r="C24" s="169" t="s">
        <v>111</v>
      </c>
      <c r="D24" s="232"/>
      <c r="E24" s="16"/>
    </row>
    <row r="25" spans="1:7">
      <c r="A25" s="174" t="s">
        <v>78</v>
      </c>
      <c r="B25" s="38">
        <f>aantalw2001_stookolie</f>
        <v>2881</v>
      </c>
      <c r="C25" s="169" t="s">
        <v>111</v>
      </c>
      <c r="D25" s="231"/>
      <c r="E25" s="53"/>
    </row>
    <row r="26" spans="1:7">
      <c r="A26" s="174" t="s">
        <v>79</v>
      </c>
      <c r="B26" s="38">
        <f>aantalw2001_WP</f>
        <v>8</v>
      </c>
      <c r="C26" s="169" t="s">
        <v>111</v>
      </c>
      <c r="D26" s="231"/>
      <c r="E26" s="16"/>
    </row>
    <row r="27" spans="1:7" s="16" customFormat="1">
      <c r="A27" s="174"/>
      <c r="B27" s="30"/>
      <c r="C27" s="37"/>
      <c r="D27" s="231"/>
    </row>
    <row r="28" spans="1:7" s="16" customFormat="1">
      <c r="A28" s="233" t="s">
        <v>665</v>
      </c>
      <c r="B28" s="38">
        <f>aantalHuishoudens2011</f>
        <v>10557</v>
      </c>
      <c r="C28" s="37"/>
      <c r="D28" s="231"/>
    </row>
    <row r="29" spans="1:7" s="16" customFormat="1">
      <c r="A29" s="233" t="s">
        <v>666</v>
      </c>
      <c r="B29" s="38">
        <f>SUM(HH_hh_gas_aantal,HH_rest_gas_aantal)</f>
        <v>6767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6767</v>
      </c>
      <c r="C32" s="170">
        <f>IF(ISERROR(B32/SUM($B$32,$B$34,$B$35,$B$36,$B$38,$B$39)*100),0,B32/SUM($B$32,$B$34,$B$35,$B$36,$B$38,$B$39)*100)</f>
        <v>64.20912800075908</v>
      </c>
      <c r="D32" s="236"/>
      <c r="G32" s="16"/>
    </row>
    <row r="33" spans="1:7">
      <c r="A33" s="174" t="s">
        <v>72</v>
      </c>
      <c r="B33" s="35" t="s">
        <v>111</v>
      </c>
      <c r="C33" s="170"/>
      <c r="D33" s="236"/>
      <c r="G33" s="16"/>
    </row>
    <row r="34" spans="1:7">
      <c r="A34" s="174" t="s">
        <v>73</v>
      </c>
      <c r="B34" s="34">
        <f>IF((($B$28-$B$32-$B$39-$B$77-$B$38)*C20/100)&lt;0,0,($B$28-$B$32-$B$39-$B$77-$B$38)*C20/100)</f>
        <v>180.27433050293928</v>
      </c>
      <c r="C34" s="170">
        <f>IF(ISERROR(B34/SUM($B$32,$B$34,$B$35,$B$36,$B$38,$B$39)*100),0,B34/SUM($B$32,$B$34,$B$35,$B$36,$B$38,$B$39)*100)</f>
        <v>1.7105449331334972</v>
      </c>
      <c r="D34" s="236"/>
      <c r="G34" s="16"/>
    </row>
    <row r="35" spans="1:7">
      <c r="A35" s="174" t="s">
        <v>74</v>
      </c>
      <c r="B35" s="34">
        <f>IF((($B$28-$B$32-$B$39-$B$77-$B$38)*C21/100)&lt;0,0,($B$28-$B$32-$B$39-$B$77-$B$38)*C21/100)</f>
        <v>2531.3520574787722</v>
      </c>
      <c r="C35" s="170">
        <f>IF(ISERROR(B35/SUM($B$32,$B$34,$B$35,$B$36,$B$38,$B$39)*100),0,B35/SUM($B$32,$B$34,$B$35,$B$36,$B$38,$B$39)*100)</f>
        <v>24.018901769416189</v>
      </c>
      <c r="D35" s="236"/>
      <c r="G35" s="16"/>
    </row>
    <row r="36" spans="1:7">
      <c r="A36" s="174" t="s">
        <v>75</v>
      </c>
      <c r="B36" s="34">
        <f>IF((($B$28-$B$32-$B$39-$B$77-$B$38)*C22/100)&lt;0,0,($B$28-$B$32-$B$39-$B$77-$B$38)*C22/100)</f>
        <v>163.37361201828872</v>
      </c>
      <c r="C36" s="170">
        <f>IF(ISERROR(B36/SUM($B$32,$B$34,$B$35,$B$36,$B$38,$B$39)*100),0,B36/SUM($B$32,$B$34,$B$35,$B$36,$B$38,$B$39)*100)</f>
        <v>1.550181345652232</v>
      </c>
      <c r="D36" s="236"/>
      <c r="G36" s="16"/>
    </row>
    <row r="37" spans="1:7">
      <c r="A37" s="174" t="s">
        <v>76</v>
      </c>
      <c r="B37" s="35" t="s">
        <v>111</v>
      </c>
      <c r="C37" s="170"/>
      <c r="D37" s="176"/>
      <c r="G37" s="16"/>
    </row>
    <row r="38" spans="1:7">
      <c r="A38" s="174" t="s">
        <v>77</v>
      </c>
      <c r="B38" s="34">
        <f>IF((B24-(B29-B18)*0.1)&lt;0,0,B24-(B29-B18)*0.1)</f>
        <v>238.1</v>
      </c>
      <c r="C38" s="170">
        <f>IF(ISERROR(B38/SUM($B$32,$B$34,$B$35,$B$36,$B$38,$B$39)*100),0,B38/SUM($B$32,$B$34,$B$35,$B$36,$B$38,$B$39)*100)</f>
        <v>2.2592276307050003</v>
      </c>
      <c r="D38" s="237"/>
      <c r="G38" s="16"/>
    </row>
    <row r="39" spans="1:7">
      <c r="A39" s="174" t="s">
        <v>78</v>
      </c>
      <c r="B39" s="34">
        <f>IF((B25-(B29-B18))&lt;0,0,B25-(B29-B18)*0.9)</f>
        <v>658.90000000000009</v>
      </c>
      <c r="C39" s="170">
        <f>IF(ISERROR(B39/SUM($B$32,$B$34,$B$35,$B$36,$B$38,$B$39)*100),0,B39/SUM($B$32,$B$34,$B$35,$B$36,$B$38,$B$39)*100)</f>
        <v>6.2520163203339987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6767</v>
      </c>
      <c r="C44" s="35" t="s">
        <v>111</v>
      </c>
      <c r="D44" s="177"/>
    </row>
    <row r="45" spans="1:7">
      <c r="A45" s="174" t="s">
        <v>72</v>
      </c>
      <c r="B45" s="34" t="str">
        <f t="shared" si="0"/>
        <v>-</v>
      </c>
      <c r="C45" s="35" t="s">
        <v>111</v>
      </c>
      <c r="D45" s="177"/>
    </row>
    <row r="46" spans="1:7">
      <c r="A46" s="174" t="s">
        <v>73</v>
      </c>
      <c r="B46" s="34">
        <f t="shared" si="0"/>
        <v>180.27433050293928</v>
      </c>
      <c r="C46" s="35" t="s">
        <v>111</v>
      </c>
      <c r="D46" s="177"/>
    </row>
    <row r="47" spans="1:7">
      <c r="A47" s="174" t="s">
        <v>74</v>
      </c>
      <c r="B47" s="34">
        <f t="shared" si="0"/>
        <v>2531.3520574787722</v>
      </c>
      <c r="C47" s="35" t="s">
        <v>111</v>
      </c>
      <c r="D47" s="177"/>
    </row>
    <row r="48" spans="1:7">
      <c r="A48" s="174" t="s">
        <v>75</v>
      </c>
      <c r="B48" s="34">
        <f t="shared" si="0"/>
        <v>163.37361201828872</v>
      </c>
      <c r="C48" s="34">
        <f>B48*10</f>
        <v>1633.7361201828871</v>
      </c>
      <c r="D48" s="237"/>
    </row>
    <row r="49" spans="1:6">
      <c r="A49" s="174" t="s">
        <v>76</v>
      </c>
      <c r="B49" s="34" t="str">
        <f t="shared" si="0"/>
        <v>-</v>
      </c>
      <c r="C49" s="35" t="s">
        <v>111</v>
      </c>
      <c r="D49" s="237"/>
    </row>
    <row r="50" spans="1:6">
      <c r="A50" s="174" t="s">
        <v>77</v>
      </c>
      <c r="B50" s="34">
        <f t="shared" si="0"/>
        <v>238.1</v>
      </c>
      <c r="C50" s="34">
        <f>B50*2</f>
        <v>476.2</v>
      </c>
      <c r="D50" s="237"/>
    </row>
    <row r="51" spans="1:6">
      <c r="A51" s="174" t="s">
        <v>78</v>
      </c>
      <c r="B51" s="34">
        <f t="shared" si="0"/>
        <v>658.90000000000009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38804.243493557064</v>
      </c>
      <c r="C5" s="18">
        <f>IF(ISERROR('Eigen informatie GS &amp; warmtenet'!B58),0,'Eigen informatie GS &amp; warmtenet'!B58)</f>
        <v>0</v>
      </c>
      <c r="D5" s="31">
        <f>SUM(D6:D12)</f>
        <v>39371.753937856767</v>
      </c>
      <c r="E5" s="18">
        <f>SUM(E6:E12)</f>
        <v>321.40846808082256</v>
      </c>
      <c r="F5" s="18">
        <f>SUM(F6:F12)</f>
        <v>7688.062630922218</v>
      </c>
      <c r="G5" s="19"/>
      <c r="H5" s="18"/>
      <c r="I5" s="18"/>
      <c r="J5" s="18">
        <f>SUM(J6:J12)</f>
        <v>0</v>
      </c>
      <c r="K5" s="18"/>
      <c r="L5" s="18"/>
      <c r="M5" s="18"/>
      <c r="N5" s="18">
        <f>SUM(N6:N12)</f>
        <v>2345.3851368315768</v>
      </c>
      <c r="O5" s="18">
        <f>B38*B39*B40</f>
        <v>0</v>
      </c>
      <c r="P5" s="18">
        <f>B46*B47*B48/1000-B46*B47*B48/1000/B49</f>
        <v>0</v>
      </c>
      <c r="R5" s="33"/>
    </row>
    <row r="6" spans="1:18">
      <c r="A6" s="33" t="s">
        <v>54</v>
      </c>
      <c r="B6" s="38">
        <f>B26</f>
        <v>10856.1768108002</v>
      </c>
      <c r="C6" s="34"/>
      <c r="D6" s="38">
        <f>IF(ISERROR(TER_kantoor_gas_kWh/1000),0,TER_kantoor_gas_kWh/1000)*0.902</f>
        <v>9973.0321995218983</v>
      </c>
      <c r="E6" s="34">
        <f>$C$26*'E Balans VL '!I12/100/3.6*1000000</f>
        <v>17.817186431374928</v>
      </c>
      <c r="F6" s="34">
        <f>$C$26*('E Balans VL '!L12+'E Balans VL '!N12)/100/3.6*1000000</f>
        <v>1279.6878140241022</v>
      </c>
      <c r="G6" s="35"/>
      <c r="H6" s="34"/>
      <c r="I6" s="34"/>
      <c r="J6" s="34">
        <f>$C$26*('E Balans VL '!D12+'E Balans VL '!E12)/100/3.6*1000000</f>
        <v>0</v>
      </c>
      <c r="K6" s="34"/>
      <c r="L6" s="34"/>
      <c r="M6" s="34"/>
      <c r="N6" s="34">
        <f>$C$26*'E Balans VL '!Y12/100/3.6*1000000</f>
        <v>2.1934391164163252</v>
      </c>
      <c r="O6" s="34"/>
      <c r="P6" s="34"/>
      <c r="R6" s="33"/>
    </row>
    <row r="7" spans="1:18">
      <c r="A7" s="33" t="s">
        <v>53</v>
      </c>
      <c r="B7" s="38">
        <f t="shared" ref="B7:B12" si="0">B27</f>
        <v>2917.4134376731099</v>
      </c>
      <c r="C7" s="34"/>
      <c r="D7" s="38">
        <f>IF(ISERROR(TER_horeca_gas_kWh/1000),0,TER_horeca_gas_kWh/1000)*0.902</f>
        <v>6719.7562467802609</v>
      </c>
      <c r="E7" s="34">
        <f>$C$27*'E Balans VL '!I9/100/3.6*1000000</f>
        <v>151.39264655984394</v>
      </c>
      <c r="F7" s="34">
        <f>$C$27*('E Balans VL '!L9+'E Balans VL '!N9)/100/3.6*1000000</f>
        <v>665.755863362686</v>
      </c>
      <c r="G7" s="35"/>
      <c r="H7" s="34"/>
      <c r="I7" s="34"/>
      <c r="J7" s="34">
        <f>$C$27*('E Balans VL '!D9+'E Balans VL '!E9)/100/3.6*1000000</f>
        <v>0</v>
      </c>
      <c r="K7" s="34"/>
      <c r="L7" s="34"/>
      <c r="M7" s="34"/>
      <c r="N7" s="34">
        <f>$C$27*'E Balans VL '!Y9/100/3.6*1000000</f>
        <v>0.30807752205524447</v>
      </c>
      <c r="O7" s="34"/>
      <c r="P7" s="34"/>
      <c r="R7" s="33"/>
    </row>
    <row r="8" spans="1:18">
      <c r="A8" s="6" t="s">
        <v>52</v>
      </c>
      <c r="B8" s="38">
        <f t="shared" si="0"/>
        <v>13749.444404644899</v>
      </c>
      <c r="C8" s="34"/>
      <c r="D8" s="38">
        <f>IF(ISERROR(TER_handel_gas_kWh/1000),0,TER_handel_gas_kWh/1000)*0.902</f>
        <v>6816.3222752072352</v>
      </c>
      <c r="E8" s="34">
        <f>$C$28*'E Balans VL '!I13/100/3.6*1000000</f>
        <v>74.042447701166495</v>
      </c>
      <c r="F8" s="34">
        <f>$C$28*('E Balans VL '!L13+'E Balans VL '!N13)/100/3.6*1000000</f>
        <v>2803.9203107938201</v>
      </c>
      <c r="G8" s="35"/>
      <c r="H8" s="34"/>
      <c r="I8" s="34"/>
      <c r="J8" s="34">
        <f>$C$28*('E Balans VL '!D13+'E Balans VL '!E13)/100/3.6*1000000</f>
        <v>0</v>
      </c>
      <c r="K8" s="34"/>
      <c r="L8" s="34"/>
      <c r="M8" s="34"/>
      <c r="N8" s="34">
        <f>$C$28*'E Balans VL '!Y13/100/3.6*1000000</f>
        <v>68.368726150737231</v>
      </c>
      <c r="O8" s="34"/>
      <c r="P8" s="34"/>
      <c r="R8" s="33"/>
    </row>
    <row r="9" spans="1:18">
      <c r="A9" s="33" t="s">
        <v>51</v>
      </c>
      <c r="B9" s="38">
        <f t="shared" si="0"/>
        <v>933.14958540202304</v>
      </c>
      <c r="C9" s="34"/>
      <c r="D9" s="38">
        <f>IF(ISERROR(TER_gezond_gas_kWh/1000),0,TER_gezond_gas_kWh/1000)*0.902</f>
        <v>912.18510351895088</v>
      </c>
      <c r="E9" s="34">
        <f>$C$29*'E Balans VL '!I10/100/3.6*1000000</f>
        <v>0.92476185086657203</v>
      </c>
      <c r="F9" s="34">
        <f>$C$29*('E Balans VL '!L10+'E Balans VL '!N10)/100/3.6*1000000</f>
        <v>323.77600912958894</v>
      </c>
      <c r="G9" s="35"/>
      <c r="H9" s="34"/>
      <c r="I9" s="34"/>
      <c r="J9" s="34">
        <f>$C$29*('E Balans VL '!D10+'E Balans VL '!E10)/100/3.6*1000000</f>
        <v>0</v>
      </c>
      <c r="K9" s="34"/>
      <c r="L9" s="34"/>
      <c r="M9" s="34"/>
      <c r="N9" s="34">
        <f>$C$29*'E Balans VL '!Y10/100/3.6*1000000</f>
        <v>8.0408691390482119</v>
      </c>
      <c r="O9" s="34"/>
      <c r="P9" s="34"/>
      <c r="R9" s="33"/>
    </row>
    <row r="10" spans="1:18">
      <c r="A10" s="33" t="s">
        <v>50</v>
      </c>
      <c r="B10" s="38">
        <f t="shared" si="0"/>
        <v>3265.6523326808001</v>
      </c>
      <c r="C10" s="34"/>
      <c r="D10" s="38">
        <f>IF(ISERROR(TER_ander_gas_kWh/1000),0,TER_ander_gas_kWh/1000)*0.902</f>
        <v>1802.3576978336639</v>
      </c>
      <c r="E10" s="34">
        <f>$C$30*'E Balans VL '!I14/100/3.6*1000000</f>
        <v>26.716299868395602</v>
      </c>
      <c r="F10" s="34">
        <f>$C$30*('E Balans VL '!L14+'E Balans VL '!N14)/100/3.6*1000000</f>
        <v>954.74379186307021</v>
      </c>
      <c r="G10" s="35"/>
      <c r="H10" s="34"/>
      <c r="I10" s="34"/>
      <c r="J10" s="34">
        <f>$C$30*('E Balans VL '!D14+'E Balans VL '!E14)/100/3.6*1000000</f>
        <v>0</v>
      </c>
      <c r="K10" s="34"/>
      <c r="L10" s="34"/>
      <c r="M10" s="34"/>
      <c r="N10" s="34">
        <f>$C$30*'E Balans VL '!Y14/100/3.6*1000000</f>
        <v>1883.8529061657737</v>
      </c>
      <c r="O10" s="34"/>
      <c r="P10" s="34"/>
      <c r="R10" s="33"/>
    </row>
    <row r="11" spans="1:18">
      <c r="A11" s="33" t="s">
        <v>55</v>
      </c>
      <c r="B11" s="38">
        <f t="shared" si="0"/>
        <v>1330.9204679269599</v>
      </c>
      <c r="C11" s="34"/>
      <c r="D11" s="38">
        <f>IF(ISERROR(TER_onderwijs_gas_kWh/1000),0,TER_onderwijs_gas_kWh/1000)*0.902</f>
        <v>4270.6694857264074</v>
      </c>
      <c r="E11" s="34">
        <f>$C$31*'E Balans VL '!I11/100/3.6*1000000</f>
        <v>0.8203232193202562</v>
      </c>
      <c r="F11" s="34">
        <f>$C$31*('E Balans VL '!L11+'E Balans VL '!N11)/100/3.6*1000000</f>
        <v>514.55540671742506</v>
      </c>
      <c r="G11" s="35"/>
      <c r="H11" s="34"/>
      <c r="I11" s="34"/>
      <c r="J11" s="34">
        <f>$C$31*('E Balans VL '!D11+'E Balans VL '!E11)/100/3.6*1000000</f>
        <v>0</v>
      </c>
      <c r="K11" s="34"/>
      <c r="L11" s="34"/>
      <c r="M11" s="34"/>
      <c r="N11" s="34">
        <f>$C$31*'E Balans VL '!Y11/100/3.6*1000000</f>
        <v>4.3291990719997724</v>
      </c>
      <c r="O11" s="34"/>
      <c r="P11" s="34"/>
      <c r="R11" s="33"/>
    </row>
    <row r="12" spans="1:18">
      <c r="A12" s="33" t="s">
        <v>260</v>
      </c>
      <c r="B12" s="38">
        <f t="shared" si="0"/>
        <v>5751.4864544290795</v>
      </c>
      <c r="C12" s="34"/>
      <c r="D12" s="38">
        <f>IF(ISERROR(TER_rest_gas_kWh/1000),0,TER_rest_gas_kWh/1000)*0.902</f>
        <v>8877.4309292683502</v>
      </c>
      <c r="E12" s="34">
        <f>$C$32*'E Balans VL '!I8/100/3.6*1000000</f>
        <v>49.694802449854834</v>
      </c>
      <c r="F12" s="34">
        <f>$C$32*('E Balans VL '!L8+'E Balans VL '!N8)/100/3.6*1000000</f>
        <v>1145.6234350315253</v>
      </c>
      <c r="G12" s="35"/>
      <c r="H12" s="34"/>
      <c r="I12" s="34"/>
      <c r="J12" s="34">
        <f>$C$32*('E Balans VL '!D8+'E Balans VL '!E8)/100/3.6*1000000</f>
        <v>0</v>
      </c>
      <c r="K12" s="34"/>
      <c r="L12" s="34"/>
      <c r="M12" s="34"/>
      <c r="N12" s="34">
        <f>$C$32*'E Balans VL '!Y8/100/3.6*1000000</f>
        <v>378.29191966554646</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38804.243493557064</v>
      </c>
      <c r="C16" s="22">
        <f t="shared" ca="1" si="1"/>
        <v>0</v>
      </c>
      <c r="D16" s="22">
        <f t="shared" ca="1" si="1"/>
        <v>39371.753937856767</v>
      </c>
      <c r="E16" s="22">
        <f t="shared" si="1"/>
        <v>321.40846808082256</v>
      </c>
      <c r="F16" s="22">
        <f t="shared" ca="1" si="1"/>
        <v>7688.062630922218</v>
      </c>
      <c r="G16" s="22">
        <f t="shared" si="1"/>
        <v>0</v>
      </c>
      <c r="H16" s="22">
        <f t="shared" si="1"/>
        <v>0</v>
      </c>
      <c r="I16" s="22">
        <f t="shared" si="1"/>
        <v>0</v>
      </c>
      <c r="J16" s="22">
        <f t="shared" si="1"/>
        <v>0</v>
      </c>
      <c r="K16" s="22">
        <f t="shared" si="1"/>
        <v>0</v>
      </c>
      <c r="L16" s="22">
        <f t="shared" ca="1" si="1"/>
        <v>0</v>
      </c>
      <c r="M16" s="22">
        <f t="shared" si="1"/>
        <v>0</v>
      </c>
      <c r="N16" s="22">
        <f t="shared" ca="1" si="1"/>
        <v>2345.3851368315768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0.21396513252924154</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8302.7551017958958</v>
      </c>
      <c r="C20" s="24">
        <f t="shared" ref="C20:P20" ca="1" si="2">C16*C18</f>
        <v>0</v>
      </c>
      <c r="D20" s="24">
        <f t="shared" ca="1" si="2"/>
        <v>7953.0942954470675</v>
      </c>
      <c r="E20" s="24">
        <f t="shared" si="2"/>
        <v>72.95972225434673</v>
      </c>
      <c r="F20" s="24">
        <f t="shared" ca="1" si="2"/>
        <v>2052.7127224562323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10856.1768108002</v>
      </c>
      <c r="C26" s="40">
        <f>IF(ISERROR(B26*3.6/1000000/'E Balans VL '!Z12*100),0,B26*3.6/1000000/'E Balans VL '!Z12*100)</f>
        <v>0.23068597192809734</v>
      </c>
      <c r="D26" s="240" t="s">
        <v>707</v>
      </c>
      <c r="F26" s="6"/>
    </row>
    <row r="27" spans="1:18">
      <c r="A27" s="234" t="s">
        <v>53</v>
      </c>
      <c r="B27" s="34">
        <f>IF(ISERROR(TER_horeca_ele_kWh/1000),0,TER_horeca_ele_kWh/1000)</f>
        <v>2917.4134376731099</v>
      </c>
      <c r="C27" s="40">
        <f>IF(ISERROR(B27*3.6/1000000/'E Balans VL '!Z9*100),0,B27*3.6/1000000/'E Balans VL '!Z9*100)</f>
        <v>0.22962299780515116</v>
      </c>
      <c r="D27" s="240" t="s">
        <v>707</v>
      </c>
      <c r="F27" s="6"/>
    </row>
    <row r="28" spans="1:18">
      <c r="A28" s="174" t="s">
        <v>52</v>
      </c>
      <c r="B28" s="34">
        <f>IF(ISERROR(TER_handel_ele_kWh/1000),0,TER_handel_ele_kWh/1000)</f>
        <v>13749.444404644899</v>
      </c>
      <c r="C28" s="40">
        <f>IF(ISERROR(B28*3.6/1000000/'E Balans VL '!Z13*100),0,B28*3.6/1000000/'E Balans VL '!Z13*100)</f>
        <v>0.38512929618624103</v>
      </c>
      <c r="D28" s="240" t="s">
        <v>707</v>
      </c>
      <c r="F28" s="6"/>
    </row>
    <row r="29" spans="1:18">
      <c r="A29" s="234" t="s">
        <v>51</v>
      </c>
      <c r="B29" s="34">
        <f>IF(ISERROR(TER_gezond_ele_kWh/1000),0,TER_gezond_ele_kWh/1000)</f>
        <v>933.14958540202304</v>
      </c>
      <c r="C29" s="40">
        <f>IF(ISERROR(B29*3.6/1000000/'E Balans VL '!Z10*100),0,B29*3.6/1000000/'E Balans VL '!Z10*100)</f>
        <v>0.11937804927994641</v>
      </c>
      <c r="D29" s="240" t="s">
        <v>707</v>
      </c>
      <c r="F29" s="6"/>
    </row>
    <row r="30" spans="1:18">
      <c r="A30" s="234" t="s">
        <v>50</v>
      </c>
      <c r="B30" s="34">
        <f>IF(ISERROR(TER_ander_ele_kWh/1000),0,TER_ander_ele_kWh/1000)</f>
        <v>3265.6523326808001</v>
      </c>
      <c r="C30" s="40">
        <f>IF(ISERROR(B30*3.6/1000000/'E Balans VL '!Z14*100),0,B30*3.6/1000000/'E Balans VL '!Z14*100)</f>
        <v>0.24424327761727926</v>
      </c>
      <c r="D30" s="240" t="s">
        <v>707</v>
      </c>
      <c r="F30" s="6"/>
    </row>
    <row r="31" spans="1:18">
      <c r="A31" s="234" t="s">
        <v>55</v>
      </c>
      <c r="B31" s="34">
        <f>IF(ISERROR(TER_onderwijs_ele_kWh/1000),0,TER_onderwijs_ele_kWh/1000)</f>
        <v>1330.9204679269599</v>
      </c>
      <c r="C31" s="40">
        <f>IF(ISERROR(B31*3.6/1000000/'E Balans VL '!Z11*100),0,B31*3.6/1000000/'E Balans VL '!Z11*100)</f>
        <v>0.28102558078544448</v>
      </c>
      <c r="D31" s="240" t="s">
        <v>707</v>
      </c>
    </row>
    <row r="32" spans="1:18">
      <c r="A32" s="234" t="s">
        <v>260</v>
      </c>
      <c r="B32" s="34">
        <f>IF(ISERROR(TER_rest_ele_kWh/1000),0,TER_rest_ele_kWh/1000)</f>
        <v>5751.4864544290795</v>
      </c>
      <c r="C32" s="40">
        <f>IF(ISERROR(B32*3.6/1000000/'E Balans VL '!Z8*100),0,B32*3.6/1000000/'E Balans VL '!Z8*100)</f>
        <v>4.738035468688321E-2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85304.722260659473</v>
      </c>
      <c r="C5" s="18">
        <f>IF(ISERROR('Eigen informatie GS &amp; warmtenet'!B59),0,'Eigen informatie GS &amp; warmtenet'!B59)</f>
        <v>0</v>
      </c>
      <c r="D5" s="31">
        <f>SUM(D6:D15)</f>
        <v>62162.26398116356</v>
      </c>
      <c r="E5" s="18">
        <f>SUM(E6:E15)</f>
        <v>751.95444285644214</v>
      </c>
      <c r="F5" s="18">
        <f>SUM(F6:F15)</f>
        <v>17628.482085906129</v>
      </c>
      <c r="G5" s="19"/>
      <c r="H5" s="18"/>
      <c r="I5" s="18"/>
      <c r="J5" s="18">
        <f>SUM(J6:J15)</f>
        <v>429.16047301919963</v>
      </c>
      <c r="K5" s="18"/>
      <c r="L5" s="18"/>
      <c r="M5" s="18"/>
      <c r="N5" s="18">
        <f>SUM(N6:N15)</f>
        <v>2736.0714479252902</v>
      </c>
      <c r="O5" s="18">
        <f>B43*B44*B45</f>
        <v>0</v>
      </c>
      <c r="P5" s="18">
        <f>B51*B52*B53/1000-B51*B52*B53/1000/B54</f>
        <v>0</v>
      </c>
      <c r="R5" s="33"/>
    </row>
    <row r="6" spans="1:18">
      <c r="A6" s="6" t="s">
        <v>35</v>
      </c>
      <c r="B6" s="38">
        <f>IF( ISERROR(IND_ijzer_ele_kWh/1000),0,IND_ijzer_ele_kWh/1000)</f>
        <v>2103.2621952387403</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2938.13228368305</v>
      </c>
      <c r="C8" s="34"/>
      <c r="D8" s="38">
        <f>IF( ISERROR(IND_metaal_Gas_kWH/1000),0,IND_metaal_Gas_kWH/1000)*0.902</f>
        <v>833.50131249764036</v>
      </c>
      <c r="E8" s="34">
        <f>C30*'E Balans VL '!I18/100/3.6*1000000</f>
        <v>26.757041219765057</v>
      </c>
      <c r="F8" s="34">
        <f>C30*'E Balans VL '!L18/100/3.6*1000000+C30*'E Balans VL '!N18/100/3.6*1000000</f>
        <v>387.51733565800174</v>
      </c>
      <c r="G8" s="35"/>
      <c r="H8" s="34"/>
      <c r="I8" s="34"/>
      <c r="J8" s="41">
        <f>C30*'E Balans VL '!D18/100/3.6*1000000+C30*'E Balans VL '!E18/100/3.6*1000000</f>
        <v>48.181103437940692</v>
      </c>
      <c r="K8" s="34"/>
      <c r="L8" s="34"/>
      <c r="M8" s="34"/>
      <c r="N8" s="34">
        <f>C30*'E Balans VL '!Y18/100/3.6*1000000</f>
        <v>10.097193488962967</v>
      </c>
      <c r="O8" s="34"/>
      <c r="P8" s="34"/>
      <c r="R8" s="33"/>
    </row>
    <row r="9" spans="1:18">
      <c r="A9" s="6" t="s">
        <v>33</v>
      </c>
      <c r="B9" s="38">
        <f t="shared" si="0"/>
        <v>2645.2123456408599</v>
      </c>
      <c r="C9" s="34"/>
      <c r="D9" s="38">
        <f>IF( ISERROR(IND_andere_gas_kWh/1000),0,IND_andere_gas_kWh/1000)*0.902</f>
        <v>2022.9395831540742</v>
      </c>
      <c r="E9" s="34">
        <f>C31*'E Balans VL '!I19/100/3.6*1000000</f>
        <v>15.289722652093255</v>
      </c>
      <c r="F9" s="34">
        <f>C31*'E Balans VL '!L19/100/3.6*1000000+C31*'E Balans VL '!N19/100/3.6*1000000</f>
        <v>2104.3937035386193</v>
      </c>
      <c r="G9" s="35"/>
      <c r="H9" s="34"/>
      <c r="I9" s="34"/>
      <c r="J9" s="41">
        <f>C31*'E Balans VL '!D19/100/3.6*1000000+C31*'E Balans VL '!E19/100/3.6*1000000</f>
        <v>0.25020770571110507</v>
      </c>
      <c r="K9" s="34"/>
      <c r="L9" s="34"/>
      <c r="M9" s="34"/>
      <c r="N9" s="34">
        <f>C31*'E Balans VL '!Y19/100/3.6*1000000</f>
        <v>200.41486599346447</v>
      </c>
      <c r="O9" s="34"/>
      <c r="P9" s="34"/>
      <c r="R9" s="33"/>
    </row>
    <row r="10" spans="1:18">
      <c r="A10" s="6" t="s">
        <v>41</v>
      </c>
      <c r="B10" s="38">
        <f t="shared" si="0"/>
        <v>1278.85531371255</v>
      </c>
      <c r="C10" s="34"/>
      <c r="D10" s="38">
        <f>IF( ISERROR(IND_voed_gas_kWh/1000),0,IND_voed_gas_kWh/1000)*0.902</f>
        <v>1261.174267462231</v>
      </c>
      <c r="E10" s="34">
        <f>C32*'E Balans VL '!I20/100/3.6*1000000</f>
        <v>12.574493412804657</v>
      </c>
      <c r="F10" s="34">
        <f>C32*'E Balans VL '!L20/100/3.6*1000000+C32*'E Balans VL '!N20/100/3.6*1000000</f>
        <v>142.03357503141683</v>
      </c>
      <c r="G10" s="35"/>
      <c r="H10" s="34"/>
      <c r="I10" s="34"/>
      <c r="J10" s="41">
        <f>C32*'E Balans VL '!D20/100/3.6*1000000+C32*'E Balans VL '!E20/100/3.6*1000000</f>
        <v>5.0405493567196287E-3</v>
      </c>
      <c r="K10" s="34"/>
      <c r="L10" s="34"/>
      <c r="M10" s="34"/>
      <c r="N10" s="34">
        <f>C32*'E Balans VL '!Y20/100/3.6*1000000</f>
        <v>18.936839011299092</v>
      </c>
      <c r="O10" s="34"/>
      <c r="P10" s="34"/>
      <c r="R10" s="33"/>
    </row>
    <row r="11" spans="1:18">
      <c r="A11" s="6" t="s">
        <v>40</v>
      </c>
      <c r="B11" s="38">
        <f t="shared" si="0"/>
        <v>137.86299417402401</v>
      </c>
      <c r="C11" s="34"/>
      <c r="D11" s="38">
        <f>IF( ISERROR(IND_textiel_gas_kWh/1000),0,IND_textiel_gas_kWh/1000)*0.902</f>
        <v>0</v>
      </c>
      <c r="E11" s="34">
        <f>C33*'E Balans VL '!I21/100/3.6*1000000</f>
        <v>0.26845126238788691</v>
      </c>
      <c r="F11" s="34">
        <f>C33*'E Balans VL '!L21/100/3.6*1000000+C33*'E Balans VL '!N21/100/3.6*1000000</f>
        <v>4.5471739457685629</v>
      </c>
      <c r="G11" s="35"/>
      <c r="H11" s="34"/>
      <c r="I11" s="34"/>
      <c r="J11" s="41">
        <f>C33*'E Balans VL '!D21/100/3.6*1000000+C33*'E Balans VL '!E21/100/3.6*1000000</f>
        <v>0</v>
      </c>
      <c r="K11" s="34"/>
      <c r="L11" s="34"/>
      <c r="M11" s="34"/>
      <c r="N11" s="34">
        <f>C33*'E Balans VL '!Y21/100/3.6*1000000</f>
        <v>1.4300018537015522</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492.20963160216098</v>
      </c>
      <c r="C13" s="34"/>
      <c r="D13" s="38">
        <f>IF( ISERROR(IND_papier_gas_kWh/1000),0,IND_papier_gas_kWh/1000)*0.902</f>
        <v>148.60520277473773</v>
      </c>
      <c r="E13" s="34">
        <f>C35*'E Balans VL '!I23/100/3.6*1000000</f>
        <v>16.765373710195661</v>
      </c>
      <c r="F13" s="34">
        <f>C35*'E Balans VL '!L23/100/3.6*1000000+C35*'E Balans VL '!N23/100/3.6*1000000</f>
        <v>81.301479229284737</v>
      </c>
      <c r="G13" s="35"/>
      <c r="H13" s="34"/>
      <c r="I13" s="34"/>
      <c r="J13" s="41">
        <f>C35*'E Balans VL '!D23/100/3.6*1000000+C35*'E Balans VL '!E23/100/3.6*1000000</f>
        <v>0</v>
      </c>
      <c r="K13" s="34"/>
      <c r="L13" s="34"/>
      <c r="M13" s="34"/>
      <c r="N13" s="34">
        <f>C35*'E Balans VL '!Y23/100/3.6*1000000</f>
        <v>181.1199443905434</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75709.187496608094</v>
      </c>
      <c r="C15" s="34"/>
      <c r="D15" s="38">
        <f>IF( ISERROR(IND_rest_gas_kWh/1000),0,IND_rest_gas_kWh/1000)*0.902</f>
        <v>57896.043615274873</v>
      </c>
      <c r="E15" s="34">
        <f>C37*'E Balans VL '!I15/100/3.6*1000000</f>
        <v>680.29936059919567</v>
      </c>
      <c r="F15" s="34">
        <f>C37*'E Balans VL '!L15/100/3.6*1000000+C37*'E Balans VL '!N15/100/3.6*1000000</f>
        <v>14908.688818503037</v>
      </c>
      <c r="G15" s="35"/>
      <c r="H15" s="34"/>
      <c r="I15" s="34"/>
      <c r="J15" s="41">
        <f>C37*'E Balans VL '!D15/100/3.6*1000000+C37*'E Balans VL '!E15/100/3.6*1000000</f>
        <v>380.7241213261911</v>
      </c>
      <c r="K15" s="34"/>
      <c r="L15" s="34"/>
      <c r="M15" s="34"/>
      <c r="N15" s="34">
        <f>C37*'E Balans VL '!Y15/100/3.6*1000000</f>
        <v>2324.0726031873187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85304.722260659473</v>
      </c>
      <c r="C18" s="22">
        <f>C5+C16</f>
        <v>0</v>
      </c>
      <c r="D18" s="22">
        <f>MAX((D5+D16),0)</f>
        <v>62162.26398116356</v>
      </c>
      <c r="E18" s="22">
        <f>MAX((E5+E16),0)</f>
        <v>751.95444285644214</v>
      </c>
      <c r="F18" s="22">
        <f>MAX((F5+F16),0)</f>
        <v>17628.482085906129</v>
      </c>
      <c r="G18" s="22"/>
      <c r="H18" s="22"/>
      <c r="I18" s="22"/>
      <c r="J18" s="22">
        <f>MAX((J5+J16),0)</f>
        <v>429.16047301919963</v>
      </c>
      <c r="K18" s="22"/>
      <c r="L18" s="22">
        <f>MAX((L5+L16),0)</f>
        <v>0</v>
      </c>
      <c r="M18" s="22"/>
      <c r="N18" s="22">
        <f>MAX((N5+N16),0)</f>
        <v>2736.0714479252902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0.21396513252924154</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18252.236203872144</v>
      </c>
      <c r="C22" s="24">
        <f ca="1">C18*C20</f>
        <v>0</v>
      </c>
      <c r="D22" s="24">
        <f>D18*D20</f>
        <v>12556.77732419504</v>
      </c>
      <c r="E22" s="24">
        <f>E18*E20</f>
        <v>170.69365852841239</v>
      </c>
      <c r="F22" s="24">
        <f>F18*F20</f>
        <v>4706.8047169369365</v>
      </c>
      <c r="G22" s="24"/>
      <c r="H22" s="24"/>
      <c r="I22" s="24"/>
      <c r="J22" s="24">
        <f>J18*J20</f>
        <v>151.92280744879665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2938.13228368305</v>
      </c>
      <c r="C30" s="40">
        <f>IF(ISERROR(B30*3.6/1000000/'E Balans VL '!Z18*100),0,B30*3.6/1000000/'E Balans VL '!Z18*100)</f>
        <v>0.16348741446494794</v>
      </c>
      <c r="D30" s="240" t="s">
        <v>707</v>
      </c>
    </row>
    <row r="31" spans="1:18">
      <c r="A31" s="6" t="s">
        <v>33</v>
      </c>
      <c r="B31" s="38">
        <f>IF( ISERROR(IND_ander_ele_kWh/1000),0,IND_ander_ele_kWh/1000)</f>
        <v>2645.2123456408599</v>
      </c>
      <c r="C31" s="40">
        <f>IF(ISERROR(B31*3.6/1000000/'E Balans VL '!Z19*100),0,B31*3.6/1000000/'E Balans VL '!Z19*100)</f>
        <v>0.12296897482047485</v>
      </c>
      <c r="D31" s="240" t="s">
        <v>707</v>
      </c>
    </row>
    <row r="32" spans="1:18">
      <c r="A32" s="174" t="s">
        <v>41</v>
      </c>
      <c r="B32" s="38">
        <f>IF( ISERROR(IND_voed_ele_kWh/1000),0,IND_voed_ele_kWh/1000)</f>
        <v>1278.85531371255</v>
      </c>
      <c r="C32" s="40">
        <f>IF(ISERROR(B32*3.6/1000000/'E Balans VL '!Z20*100),0,B32*3.6/1000000/'E Balans VL '!Z20*100)</f>
        <v>4.5204952582051677E-2</v>
      </c>
      <c r="D32" s="240" t="s">
        <v>707</v>
      </c>
    </row>
    <row r="33" spans="1:5">
      <c r="A33" s="174" t="s">
        <v>40</v>
      </c>
      <c r="B33" s="38">
        <f>IF( ISERROR(IND_textiel_ele_kWh/1000),0,IND_textiel_ele_kWh/1000)</f>
        <v>137.86299417402401</v>
      </c>
      <c r="C33" s="40">
        <f>IF(ISERROR(B33*3.6/1000000/'E Balans VL '!Z21*100),0,B33*3.6/1000000/'E Balans VL '!Z21*100)</f>
        <v>1.8620489287537845E-2</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492.20963160216098</v>
      </c>
      <c r="C35" s="40">
        <f>IF(ISERROR(B35*3.6/1000000/'E Balans VL '!Z22*100),0,B35*3.6/1000000/'E Balans VL '!Z22*100)</f>
        <v>9.8920256109341173E-2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75709.187496608094</v>
      </c>
      <c r="C37" s="40">
        <f>IF(ISERROR(B37*3.6/1000000/'E Balans VL '!Z15*100),0,B37*3.6/1000000/'E Balans VL '!Z15*100)</f>
        <v>0.57171620498111209</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1835.8288455390493</v>
      </c>
      <c r="C5" s="18">
        <f>'Eigen informatie GS &amp; warmtenet'!B60</f>
        <v>0</v>
      </c>
      <c r="D5" s="31">
        <f>IF(ISERROR(SUM(LB_lb_gas_kWh,LB_rest_gas_kWh)/1000),0,SUM(LB_lb_gas_kWh,LB_rest_gas_kWh)/1000)*0.902</f>
        <v>817.50492097894232</v>
      </c>
      <c r="E5" s="18">
        <f>B17*'E Balans VL '!I25/3.6*1000000/100</f>
        <v>17.294737770653661</v>
      </c>
      <c r="F5" s="18">
        <f>B17*('E Balans VL '!L25/3.6*1000000+'E Balans VL '!N25/3.6*1000000)/100</f>
        <v>5990.9187810807189</v>
      </c>
      <c r="G5" s="19"/>
      <c r="H5" s="18"/>
      <c r="I5" s="18"/>
      <c r="J5" s="18">
        <f>('E Balans VL '!D25+'E Balans VL '!E25)/3.6*1000000*landbouw!B17/100</f>
        <v>227.10095766296982</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1835.8288455390493</v>
      </c>
      <c r="C8" s="22">
        <f>C5+C6</f>
        <v>0</v>
      </c>
      <c r="D8" s="22">
        <f>MAX((D5+D6),0)</f>
        <v>817.50492097894232</v>
      </c>
      <c r="E8" s="22">
        <f>MAX((E5+E6),0)</f>
        <v>17.294737770653661</v>
      </c>
      <c r="F8" s="22">
        <f>MAX((F5+F6),0)</f>
        <v>5990.9187810807189</v>
      </c>
      <c r="G8" s="22"/>
      <c r="H8" s="22"/>
      <c r="I8" s="22"/>
      <c r="J8" s="22">
        <f>MAX((J5+J6),0)</f>
        <v>227.10095766296982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0.21396513252924154</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392.80336223676721</v>
      </c>
      <c r="C12" s="24">
        <f ca="1">C8*C10</f>
        <v>0</v>
      </c>
      <c r="D12" s="24">
        <f>D8*D10</f>
        <v>165.13599403774637</v>
      </c>
      <c r="E12" s="24">
        <f>E8*E10</f>
        <v>3.9259054739383812</v>
      </c>
      <c r="F12" s="24">
        <f>F8*F10</f>
        <v>1599.5753145485521</v>
      </c>
      <c r="G12" s="24"/>
      <c r="H12" s="24"/>
      <c r="I12" s="24"/>
      <c r="J12" s="24">
        <f>J8*J10</f>
        <v>80.393739012691313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0.248541890078806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218.04324974141423</v>
      </c>
      <c r="C26" s="250">
        <f>B26*'GWP N2O_CH4'!B5</f>
        <v>4578.9082445696986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40.975536892880093</v>
      </c>
      <c r="C27" s="250">
        <f>B27*'GWP N2O_CH4'!B5</f>
        <v>860.48627475048193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3.0231092803551687</v>
      </c>
      <c r="C28" s="250">
        <f>B28*'GWP N2O_CH4'!B4</f>
        <v>937.16387691010232</v>
      </c>
      <c r="D28" s="51"/>
    </row>
    <row r="29" spans="1:4">
      <c r="A29" s="42" t="s">
        <v>277</v>
      </c>
      <c r="B29" s="250">
        <f>B34*'ha_N2O bodem landbouw'!B4</f>
        <v>9.2161746712687194</v>
      </c>
      <c r="C29" s="250">
        <f>B29*'GWP N2O_CH4'!B4</f>
        <v>2857.014148093303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2.4880770336046742E-3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1.7421604791632941E-5</v>
      </c>
      <c r="C5" s="447" t="s">
        <v>211</v>
      </c>
      <c r="D5" s="432">
        <f>SUM(D6:D11)</f>
        <v>4.6808163061476976E-5</v>
      </c>
      <c r="E5" s="432">
        <f>SUM(E6:E11)</f>
        <v>3.0950868978228997E-3</v>
      </c>
      <c r="F5" s="445" t="s">
        <v>211</v>
      </c>
      <c r="G5" s="432">
        <f>SUM(G6:G11)</f>
        <v>0.6345119090917487</v>
      </c>
      <c r="H5" s="432">
        <f>SUM(H6:H11)</f>
        <v>0.10751350718860672</v>
      </c>
      <c r="I5" s="447" t="s">
        <v>211</v>
      </c>
      <c r="J5" s="447" t="s">
        <v>211</v>
      </c>
      <c r="K5" s="447" t="s">
        <v>211</v>
      </c>
      <c r="L5" s="447" t="s">
        <v>211</v>
      </c>
      <c r="M5" s="432">
        <f>SUM(M6:M11)</f>
        <v>3.3173062433106845E-2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6.1119955150376354E-6</v>
      </c>
      <c r="C6" s="433"/>
      <c r="D6" s="433">
        <f>vkm_2011_GW_PW*SUMIFS(TableVerdeelsleutelVkm[CNG],TableVerdeelsleutelVkm[Voertuigtype],"Lichte voertuigen")*SUMIFS(TableECFTransport[EnergieConsumptieFactor (PJ per km)],TableECFTransport[Index],CONCATENATE($A6,"_CNG_CNG"))</f>
        <v>1.4925595405961407E-5</v>
      </c>
      <c r="E6" s="435">
        <f>vkm_2011_GW_PW*SUMIFS(TableVerdeelsleutelVkm[LPG],TableVerdeelsleutelVkm[Voertuigtype],"Lichte voertuigen")*SUMIFS(TableECFTransport[EnergieConsumptieFactor (PJ per km)],TableECFTransport[Index],CONCATENATE($A6,"_LPG_LPG"))</f>
        <v>8.8471216226266181E-4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0.1278955503456983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3.3517749374509985E-2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7.2283848222945641E-3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5.5578416481651682E-2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2.2423724230018064E-5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2.4760012584159282E-3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1.779617703036044E-6</v>
      </c>
      <c r="C8" s="433"/>
      <c r="D8" s="435">
        <f>vkm_2011_NGW_PW*SUMIFS(TableVerdeelsleutelVkm[CNG],TableVerdeelsleutelVkm[Voertuigtype],"Lichte voertuigen")*SUMIFS(TableECFTransport[EnergieConsumptieFactor (PJ per km)],TableECFTransport[Index],CONCATENATE($A8,"_CNG_CNG"))</f>
        <v>7.797204449995943E-6</v>
      </c>
      <c r="E8" s="435">
        <f>vkm_2011_NGW_PW*SUMIFS(TableVerdeelsleutelVkm[LPG],TableVerdeelsleutelVkm[Voertuigtype],"Lichte voertuigen")*SUMIFS(TableECFTransport[EnergieConsumptieFactor (PJ per km)],TableECFTransport[Index],CONCATENATE($A8,"_LPG_LPG"))</f>
        <v>4.2400195378923132E-4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5.7903963972304878E-2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1.6767370316756125E-2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3.3454425956317172E-3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1.8029039438759567E-2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6.3334524192832629E-6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8.031451093394186E-4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9.529991573559262E-6</v>
      </c>
      <c r="C10" s="433"/>
      <c r="D10" s="435">
        <f>vkm_2011_SW_PW*SUMIFS(TableVerdeelsleutelVkm[CNG],TableVerdeelsleutelVkm[Voertuigtype],"Lichte voertuigen")*SUMIFS(TableECFTransport[EnergieConsumptieFactor (PJ per km)],TableECFTransport[Index],CONCATENATE($A10,"_CNG_CNG"))</f>
        <v>2.4085363205519623E-5</v>
      </c>
      <c r="E10" s="435">
        <f>vkm_2011_SW_PW*SUMIFS(TableVerdeelsleutelVkm[LPG],TableVerdeelsleutelVkm[Voertuigtype],"Lichte voertuigen")*SUMIFS(TableECFTransport[EnergieConsumptieFactor (PJ per km)],TableECFTransport[Index],CONCATENATE($A10,"_LPG_LPG"))</f>
        <v>1.7863727817710065E-3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0.23534462275570242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5.7139805722468885E-2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1.3093652616009586E-2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0.13976031609763187</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5.9824598222429501E-5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6.2264360314156272E-3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4.8393346643424833</v>
      </c>
      <c r="C14" s="22"/>
      <c r="D14" s="22">
        <f t="shared" ref="D14:M14" si="0">((D5)*10^9/3600)+D12</f>
        <v>13.002267517076938</v>
      </c>
      <c r="E14" s="22">
        <f t="shared" si="0"/>
        <v>859.74636050636104</v>
      </c>
      <c r="F14" s="22"/>
      <c r="G14" s="22">
        <f t="shared" si="0"/>
        <v>176253.30808104132</v>
      </c>
      <c r="H14" s="22">
        <f t="shared" si="0"/>
        <v>29864.863107946312</v>
      </c>
      <c r="I14" s="22"/>
      <c r="J14" s="22"/>
      <c r="K14" s="22"/>
      <c r="L14" s="22"/>
      <c r="M14" s="22">
        <f t="shared" si="0"/>
        <v>9214.7395647519006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0.21396513252924154</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1.035448882809392</v>
      </c>
      <c r="C18" s="24"/>
      <c r="D18" s="24">
        <f t="shared" ref="D18:M18" si="1">D14*D16</f>
        <v>2.6264580384495417</v>
      </c>
      <c r="E18" s="24">
        <f t="shared" si="1"/>
        <v>195.16242383494395</v>
      </c>
      <c r="F18" s="24"/>
      <c r="G18" s="24">
        <f t="shared" si="1"/>
        <v>47059.633257638037</v>
      </c>
      <c r="H18" s="24">
        <f t="shared" si="1"/>
        <v>7436.3509138786321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5.8388755633535213E-3</v>
      </c>
      <c r="H50" s="323">
        <f t="shared" si="2"/>
        <v>0</v>
      </c>
      <c r="I50" s="323">
        <f t="shared" si="2"/>
        <v>0</v>
      </c>
      <c r="J50" s="323">
        <f t="shared" si="2"/>
        <v>0</v>
      </c>
      <c r="K50" s="323">
        <f t="shared" si="2"/>
        <v>0</v>
      </c>
      <c r="L50" s="323">
        <f t="shared" si="2"/>
        <v>0</v>
      </c>
      <c r="M50" s="323">
        <f t="shared" si="2"/>
        <v>2.5639465781457621E-4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5.8388755633535213E-3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2.5639465781457621E-4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1621.9098787093114</v>
      </c>
      <c r="H54" s="22">
        <f t="shared" si="3"/>
        <v>0</v>
      </c>
      <c r="I54" s="22">
        <f t="shared" si="3"/>
        <v>0</v>
      </c>
      <c r="J54" s="22">
        <f t="shared" si="3"/>
        <v>0</v>
      </c>
      <c r="K54" s="22">
        <f t="shared" si="3"/>
        <v>0</v>
      </c>
      <c r="L54" s="22">
        <f t="shared" si="3"/>
        <v>0</v>
      </c>
      <c r="M54" s="22">
        <f t="shared" si="3"/>
        <v>71.220738281826726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0.21396513252924154</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433.04993761538617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40728.951493557062</v>
      </c>
      <c r="D10" s="688">
        <f ca="1">tertiair!C16</f>
        <v>0</v>
      </c>
      <c r="E10" s="688">
        <f ca="1">tertiair!D16</f>
        <v>39371.753937856767</v>
      </c>
      <c r="F10" s="688">
        <f>tertiair!E16</f>
        <v>321.40846808082256</v>
      </c>
      <c r="G10" s="688">
        <f ca="1">tertiair!F16</f>
        <v>7688.062630922218</v>
      </c>
      <c r="H10" s="688">
        <f>tertiair!G16</f>
        <v>0</v>
      </c>
      <c r="I10" s="688">
        <f>tertiair!H16</f>
        <v>0</v>
      </c>
      <c r="J10" s="688">
        <f>tertiair!I16</f>
        <v>0</v>
      </c>
      <c r="K10" s="688">
        <f>tertiair!J16</f>
        <v>0</v>
      </c>
      <c r="L10" s="688">
        <f>tertiair!K16</f>
        <v>0</v>
      </c>
      <c r="M10" s="688">
        <f ca="1">tertiair!L16</f>
        <v>0</v>
      </c>
      <c r="N10" s="688">
        <f>tertiair!M16</f>
        <v>0</v>
      </c>
      <c r="O10" s="688">
        <f ca="1">tertiair!N16</f>
        <v>2345.3851368315768</v>
      </c>
      <c r="P10" s="688">
        <f>tertiair!O16</f>
        <v>0</v>
      </c>
      <c r="Q10" s="689">
        <f>tertiair!P16</f>
        <v>0</v>
      </c>
      <c r="R10" s="691">
        <f ca="1">SUM(C10:Q10)</f>
        <v>90455.561667248447</v>
      </c>
      <c r="S10" s="68"/>
    </row>
    <row r="11" spans="1:19" s="457" customFormat="1">
      <c r="A11" s="803" t="s">
        <v>225</v>
      </c>
      <c r="B11" s="808"/>
      <c r="C11" s="688">
        <f>huishoudens!B8</f>
        <v>49084.3913934312</v>
      </c>
      <c r="D11" s="688">
        <f>huishoudens!C8</f>
        <v>0</v>
      </c>
      <c r="E11" s="688">
        <f>huishoudens!D8</f>
        <v>99417.760796040326</v>
      </c>
      <c r="F11" s="688">
        <f>huishoudens!E8</f>
        <v>3972.6026660170151</v>
      </c>
      <c r="G11" s="688">
        <f>huishoudens!F8</f>
        <v>13006.609758441875</v>
      </c>
      <c r="H11" s="688">
        <f>huishoudens!G8</f>
        <v>0</v>
      </c>
      <c r="I11" s="688">
        <f>huishoudens!H8</f>
        <v>0</v>
      </c>
      <c r="J11" s="688">
        <f>huishoudens!I8</f>
        <v>0</v>
      </c>
      <c r="K11" s="688">
        <f>huishoudens!J8</f>
        <v>7513.726181401551</v>
      </c>
      <c r="L11" s="688">
        <f>huishoudens!K8</f>
        <v>0</v>
      </c>
      <c r="M11" s="688">
        <f>huishoudens!L8</f>
        <v>0</v>
      </c>
      <c r="N11" s="688">
        <f>huishoudens!M8</f>
        <v>0</v>
      </c>
      <c r="O11" s="688">
        <f>huishoudens!N8</f>
        <v>11691.708631871177</v>
      </c>
      <c r="P11" s="688">
        <f>huishoudens!O8</f>
        <v>109.43333333333334</v>
      </c>
      <c r="Q11" s="689">
        <f>huishoudens!P8</f>
        <v>343.2</v>
      </c>
      <c r="R11" s="691">
        <f>SUM(C11:Q11)</f>
        <v>185139.43276053647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85304.722260659473</v>
      </c>
      <c r="D13" s="688">
        <f>industrie!C18</f>
        <v>0</v>
      </c>
      <c r="E13" s="688">
        <f>industrie!D18</f>
        <v>62162.26398116356</v>
      </c>
      <c r="F13" s="688">
        <f>industrie!E18</f>
        <v>751.95444285644214</v>
      </c>
      <c r="G13" s="688">
        <f>industrie!F18</f>
        <v>17628.482085906129</v>
      </c>
      <c r="H13" s="688">
        <f>industrie!G18</f>
        <v>0</v>
      </c>
      <c r="I13" s="688">
        <f>industrie!H18</f>
        <v>0</v>
      </c>
      <c r="J13" s="688">
        <f>industrie!I18</f>
        <v>0</v>
      </c>
      <c r="K13" s="688">
        <f>industrie!J18</f>
        <v>429.16047301919963</v>
      </c>
      <c r="L13" s="688">
        <f>industrie!K18</f>
        <v>0</v>
      </c>
      <c r="M13" s="688">
        <f>industrie!L18</f>
        <v>0</v>
      </c>
      <c r="N13" s="688">
        <f>industrie!M18</f>
        <v>0</v>
      </c>
      <c r="O13" s="688">
        <f>industrie!N18</f>
        <v>2736.0714479252902</v>
      </c>
      <c r="P13" s="688">
        <f>industrie!O18</f>
        <v>0</v>
      </c>
      <c r="Q13" s="689">
        <f>industrie!P18</f>
        <v>0</v>
      </c>
      <c r="R13" s="691">
        <f>SUM(C13:Q13)</f>
        <v>169012.65469153013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175118.06514764775</v>
      </c>
      <c r="D16" s="721">
        <f t="shared" ref="D16:R16" ca="1" si="0">SUM(D9:D15)</f>
        <v>0</v>
      </c>
      <c r="E16" s="721">
        <f t="shared" ca="1" si="0"/>
        <v>200951.77871506065</v>
      </c>
      <c r="F16" s="721">
        <f t="shared" si="0"/>
        <v>5045.9655769542796</v>
      </c>
      <c r="G16" s="721">
        <f t="shared" ca="1" si="0"/>
        <v>38323.154475270218</v>
      </c>
      <c r="H16" s="721">
        <f t="shared" si="0"/>
        <v>0</v>
      </c>
      <c r="I16" s="721">
        <f t="shared" si="0"/>
        <v>0</v>
      </c>
      <c r="J16" s="721">
        <f t="shared" si="0"/>
        <v>0</v>
      </c>
      <c r="K16" s="721">
        <f t="shared" si="0"/>
        <v>7942.8866544207503</v>
      </c>
      <c r="L16" s="721">
        <f t="shared" si="0"/>
        <v>0</v>
      </c>
      <c r="M16" s="721">
        <f t="shared" ca="1" si="0"/>
        <v>0</v>
      </c>
      <c r="N16" s="721">
        <f t="shared" si="0"/>
        <v>0</v>
      </c>
      <c r="O16" s="721">
        <f t="shared" ca="1" si="0"/>
        <v>16773.165216628044</v>
      </c>
      <c r="P16" s="721">
        <f t="shared" si="0"/>
        <v>109.43333333333334</v>
      </c>
      <c r="Q16" s="721">
        <f t="shared" si="0"/>
        <v>343.2</v>
      </c>
      <c r="R16" s="721">
        <f t="shared" ca="1" si="0"/>
        <v>444607.64911931509</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1621.9098787093114</v>
      </c>
      <c r="I19" s="688">
        <f>transport!H54</f>
        <v>0</v>
      </c>
      <c r="J19" s="688">
        <f>transport!I54</f>
        <v>0</v>
      </c>
      <c r="K19" s="688">
        <f>transport!J54</f>
        <v>0</v>
      </c>
      <c r="L19" s="688">
        <f>transport!K54</f>
        <v>0</v>
      </c>
      <c r="M19" s="688">
        <f>transport!L54</f>
        <v>0</v>
      </c>
      <c r="N19" s="688">
        <f>transport!M54</f>
        <v>71.220738281826726</v>
      </c>
      <c r="O19" s="688">
        <f>transport!N54</f>
        <v>0</v>
      </c>
      <c r="P19" s="688">
        <f>transport!O54</f>
        <v>0</v>
      </c>
      <c r="Q19" s="689">
        <f>transport!P54</f>
        <v>0</v>
      </c>
      <c r="R19" s="691">
        <f>SUM(C19:Q19)</f>
        <v>1693.1306169911381</v>
      </c>
      <c r="S19" s="68"/>
    </row>
    <row r="20" spans="1:19" s="457" customFormat="1">
      <c r="A20" s="803" t="s">
        <v>307</v>
      </c>
      <c r="B20" s="808"/>
      <c r="C20" s="688">
        <f>transport!B14</f>
        <v>4.8393346643424833</v>
      </c>
      <c r="D20" s="688">
        <f>transport!C14</f>
        <v>0</v>
      </c>
      <c r="E20" s="688">
        <f>transport!D14</f>
        <v>13.002267517076938</v>
      </c>
      <c r="F20" s="688">
        <f>transport!E14</f>
        <v>859.74636050636104</v>
      </c>
      <c r="G20" s="688">
        <f>transport!F14</f>
        <v>0</v>
      </c>
      <c r="H20" s="688">
        <f>transport!G14</f>
        <v>176253.30808104132</v>
      </c>
      <c r="I20" s="688">
        <f>transport!H14</f>
        <v>29864.863107946312</v>
      </c>
      <c r="J20" s="688">
        <f>transport!I14</f>
        <v>0</v>
      </c>
      <c r="K20" s="688">
        <f>transport!J14</f>
        <v>0</v>
      </c>
      <c r="L20" s="688">
        <f>transport!K14</f>
        <v>0</v>
      </c>
      <c r="M20" s="688">
        <f>transport!L14</f>
        <v>0</v>
      </c>
      <c r="N20" s="688">
        <f>transport!M14</f>
        <v>9214.7395647519006</v>
      </c>
      <c r="O20" s="688">
        <f>transport!N14</f>
        <v>0</v>
      </c>
      <c r="P20" s="688">
        <f>transport!O14</f>
        <v>0</v>
      </c>
      <c r="Q20" s="689">
        <f>transport!P14</f>
        <v>0</v>
      </c>
      <c r="R20" s="691">
        <f>SUM(C20:Q20)</f>
        <v>216210.4987164273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4.8393346643424833</v>
      </c>
      <c r="D22" s="806">
        <f t="shared" ref="D22:R22" si="1">SUM(D18:D21)</f>
        <v>0</v>
      </c>
      <c r="E22" s="806">
        <f t="shared" si="1"/>
        <v>13.002267517076938</v>
      </c>
      <c r="F22" s="806">
        <f t="shared" si="1"/>
        <v>859.74636050636104</v>
      </c>
      <c r="G22" s="806">
        <f t="shared" si="1"/>
        <v>0</v>
      </c>
      <c r="H22" s="806">
        <f t="shared" si="1"/>
        <v>177875.21795975065</v>
      </c>
      <c r="I22" s="806">
        <f t="shared" si="1"/>
        <v>29864.863107946312</v>
      </c>
      <c r="J22" s="806">
        <f t="shared" si="1"/>
        <v>0</v>
      </c>
      <c r="K22" s="806">
        <f t="shared" si="1"/>
        <v>0</v>
      </c>
      <c r="L22" s="806">
        <f t="shared" si="1"/>
        <v>0</v>
      </c>
      <c r="M22" s="806">
        <f t="shared" si="1"/>
        <v>0</v>
      </c>
      <c r="N22" s="806">
        <f t="shared" si="1"/>
        <v>9285.9603030337275</v>
      </c>
      <c r="O22" s="806">
        <f t="shared" si="1"/>
        <v>0</v>
      </c>
      <c r="P22" s="806">
        <f t="shared" si="1"/>
        <v>0</v>
      </c>
      <c r="Q22" s="806">
        <f t="shared" si="1"/>
        <v>0</v>
      </c>
      <c r="R22" s="806">
        <f t="shared" si="1"/>
        <v>217903.62933341844</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1835.8288455390493</v>
      </c>
      <c r="D24" s="688">
        <f>+landbouw!C8</f>
        <v>0</v>
      </c>
      <c r="E24" s="688">
        <f>+landbouw!D8</f>
        <v>817.50492097894232</v>
      </c>
      <c r="F24" s="688">
        <f>+landbouw!E8</f>
        <v>17.294737770653661</v>
      </c>
      <c r="G24" s="688">
        <f>+landbouw!F8</f>
        <v>5990.9187810807189</v>
      </c>
      <c r="H24" s="688">
        <f>+landbouw!G8</f>
        <v>0</v>
      </c>
      <c r="I24" s="688">
        <f>+landbouw!H8</f>
        <v>0</v>
      </c>
      <c r="J24" s="688">
        <f>+landbouw!I8</f>
        <v>0</v>
      </c>
      <c r="K24" s="688">
        <f>+landbouw!J8</f>
        <v>227.10095766296982</v>
      </c>
      <c r="L24" s="688">
        <f>+landbouw!K8</f>
        <v>0</v>
      </c>
      <c r="M24" s="688">
        <f>+landbouw!L8</f>
        <v>0</v>
      </c>
      <c r="N24" s="688">
        <f>+landbouw!M8</f>
        <v>0</v>
      </c>
      <c r="O24" s="688">
        <f>+landbouw!N8</f>
        <v>0</v>
      </c>
      <c r="P24" s="688">
        <f>+landbouw!O8</f>
        <v>0</v>
      </c>
      <c r="Q24" s="689">
        <f>+landbouw!P8</f>
        <v>0</v>
      </c>
      <c r="R24" s="691">
        <f>SUM(C24:Q24)</f>
        <v>8888.648243032334</v>
      </c>
      <c r="S24" s="68"/>
    </row>
    <row r="25" spans="1:19" s="457" customFormat="1" ht="15" thickBot="1">
      <c r="A25" s="825" t="s">
        <v>912</v>
      </c>
      <c r="B25" s="1001"/>
      <c r="C25" s="1002">
        <f>IF(Onbekend_ele_kWh="---",0,Onbekend_ele_kWh)/1000+IF(REST_rest_ele_kWh="---",0,REST_rest_ele_kWh)/1000</f>
        <v>1819.0427687962599</v>
      </c>
      <c r="D25" s="1002"/>
      <c r="E25" s="1002">
        <f>IF(onbekend_gas_kWh="---",0,onbekend_gas_kWh)/1000+IF(REST_rest_gas_kWh="---",0,REST_rest_gas_kWh)/1000</f>
        <v>8341.2554723146804</v>
      </c>
      <c r="F25" s="1002"/>
      <c r="G25" s="1002"/>
      <c r="H25" s="1002"/>
      <c r="I25" s="1002"/>
      <c r="J25" s="1002"/>
      <c r="K25" s="1002"/>
      <c r="L25" s="1002"/>
      <c r="M25" s="1002"/>
      <c r="N25" s="1002"/>
      <c r="O25" s="1002"/>
      <c r="P25" s="1002"/>
      <c r="Q25" s="1003"/>
      <c r="R25" s="691">
        <f>SUM(C25:Q25)</f>
        <v>10160.298241110941</v>
      </c>
      <c r="S25" s="68"/>
    </row>
    <row r="26" spans="1:19" s="457" customFormat="1" ht="15.75" thickBot="1">
      <c r="A26" s="694" t="s">
        <v>913</v>
      </c>
      <c r="B26" s="811"/>
      <c r="C26" s="806">
        <f>SUM(C24:C25)</f>
        <v>3654.8716143353095</v>
      </c>
      <c r="D26" s="806">
        <f t="shared" ref="D26:R26" si="2">SUM(D24:D25)</f>
        <v>0</v>
      </c>
      <c r="E26" s="806">
        <f t="shared" si="2"/>
        <v>9158.7603932936236</v>
      </c>
      <c r="F26" s="806">
        <f t="shared" si="2"/>
        <v>17.294737770653661</v>
      </c>
      <c r="G26" s="806">
        <f t="shared" si="2"/>
        <v>5990.9187810807189</v>
      </c>
      <c r="H26" s="806">
        <f t="shared" si="2"/>
        <v>0</v>
      </c>
      <c r="I26" s="806">
        <f t="shared" si="2"/>
        <v>0</v>
      </c>
      <c r="J26" s="806">
        <f t="shared" si="2"/>
        <v>0</v>
      </c>
      <c r="K26" s="806">
        <f t="shared" si="2"/>
        <v>227.10095766296982</v>
      </c>
      <c r="L26" s="806">
        <f t="shared" si="2"/>
        <v>0</v>
      </c>
      <c r="M26" s="806">
        <f t="shared" si="2"/>
        <v>0</v>
      </c>
      <c r="N26" s="806">
        <f t="shared" si="2"/>
        <v>0</v>
      </c>
      <c r="O26" s="806">
        <f t="shared" si="2"/>
        <v>0</v>
      </c>
      <c r="P26" s="806">
        <f t="shared" si="2"/>
        <v>0</v>
      </c>
      <c r="Q26" s="806">
        <f t="shared" si="2"/>
        <v>0</v>
      </c>
      <c r="R26" s="806">
        <f t="shared" si="2"/>
        <v>19048.946484143275</v>
      </c>
      <c r="S26" s="68"/>
    </row>
    <row r="27" spans="1:19" s="457" customFormat="1" ht="17.25" thickTop="1" thickBot="1">
      <c r="A27" s="695" t="s">
        <v>116</v>
      </c>
      <c r="B27" s="798"/>
      <c r="C27" s="696">
        <f ca="1">C22+C16+C26</f>
        <v>178777.7760966474</v>
      </c>
      <c r="D27" s="696">
        <f t="shared" ref="D27:R27" ca="1" si="3">D22+D16+D26</f>
        <v>0</v>
      </c>
      <c r="E27" s="696">
        <f t="shared" ca="1" si="3"/>
        <v>210123.54137587137</v>
      </c>
      <c r="F27" s="696">
        <f t="shared" si="3"/>
        <v>5923.0066752312941</v>
      </c>
      <c r="G27" s="696">
        <f t="shared" ca="1" si="3"/>
        <v>44314.073256350937</v>
      </c>
      <c r="H27" s="696">
        <f t="shared" si="3"/>
        <v>177875.21795975065</v>
      </c>
      <c r="I27" s="696">
        <f t="shared" si="3"/>
        <v>29864.863107946312</v>
      </c>
      <c r="J27" s="696">
        <f t="shared" si="3"/>
        <v>0</v>
      </c>
      <c r="K27" s="696">
        <f t="shared" si="3"/>
        <v>8169.9876120837198</v>
      </c>
      <c r="L27" s="696">
        <f t="shared" si="3"/>
        <v>0</v>
      </c>
      <c r="M27" s="696">
        <f t="shared" ca="1" si="3"/>
        <v>0</v>
      </c>
      <c r="N27" s="696">
        <f t="shared" si="3"/>
        <v>9285.9603030337275</v>
      </c>
      <c r="O27" s="696">
        <f t="shared" ca="1" si="3"/>
        <v>16773.165216628044</v>
      </c>
      <c r="P27" s="696">
        <f t="shared" si="3"/>
        <v>109.43333333333334</v>
      </c>
      <c r="Q27" s="696">
        <f t="shared" si="3"/>
        <v>343.2</v>
      </c>
      <c r="R27" s="696">
        <f t="shared" ca="1" si="3"/>
        <v>681560.2249368768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8714.5755040959866</v>
      </c>
      <c r="D40" s="688">
        <f ca="1">tertiair!C20</f>
        <v>0</v>
      </c>
      <c r="E40" s="688">
        <f ca="1">tertiair!D20</f>
        <v>7953.0942954470675</v>
      </c>
      <c r="F40" s="688">
        <f>tertiair!E20</f>
        <v>72.95972225434673</v>
      </c>
      <c r="G40" s="688">
        <f ca="1">tertiair!F20</f>
        <v>2052.7127224562323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18793.342244253632</v>
      </c>
    </row>
    <row r="41" spans="1:18">
      <c r="A41" s="816" t="s">
        <v>225</v>
      </c>
      <c r="B41" s="823"/>
      <c r="C41" s="688">
        <f ca="1">huishoudens!B12</f>
        <v>10502.348309612669</v>
      </c>
      <c r="D41" s="688">
        <f ca="1">huishoudens!C12</f>
        <v>0</v>
      </c>
      <c r="E41" s="688">
        <f>huishoudens!D12</f>
        <v>20082.387680800148</v>
      </c>
      <c r="F41" s="688">
        <f>huishoudens!E12</f>
        <v>901.78080518586239</v>
      </c>
      <c r="G41" s="688">
        <f>huishoudens!F12</f>
        <v>3472.7648055039808</v>
      </c>
      <c r="H41" s="688">
        <f>huishoudens!G12</f>
        <v>0</v>
      </c>
      <c r="I41" s="688">
        <f>huishoudens!H12</f>
        <v>0</v>
      </c>
      <c r="J41" s="688">
        <f>huishoudens!I12</f>
        <v>0</v>
      </c>
      <c r="K41" s="688">
        <f>huishoudens!J12</f>
        <v>2659.8590682161489</v>
      </c>
      <c r="L41" s="688">
        <f>huishoudens!K12</f>
        <v>0</v>
      </c>
      <c r="M41" s="688">
        <f>huishoudens!L12</f>
        <v>0</v>
      </c>
      <c r="N41" s="688">
        <f>huishoudens!M12</f>
        <v>0</v>
      </c>
      <c r="O41" s="688">
        <f>huishoudens!N12</f>
        <v>0</v>
      </c>
      <c r="P41" s="688">
        <f>huishoudens!O12</f>
        <v>0</v>
      </c>
      <c r="Q41" s="763">
        <f>huishoudens!P12</f>
        <v>0</v>
      </c>
      <c r="R41" s="844">
        <f t="shared" ca="1" si="4"/>
        <v>37619.140669318811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18252.236203872144</v>
      </c>
      <c r="D43" s="688">
        <f ca="1">industrie!C22</f>
        <v>0</v>
      </c>
      <c r="E43" s="688">
        <f>industrie!D22</f>
        <v>12556.77732419504</v>
      </c>
      <c r="F43" s="688">
        <f>industrie!E22</f>
        <v>170.69365852841239</v>
      </c>
      <c r="G43" s="688">
        <f>industrie!F22</f>
        <v>4706.8047169369365</v>
      </c>
      <c r="H43" s="688">
        <f>industrie!G22</f>
        <v>0</v>
      </c>
      <c r="I43" s="688">
        <f>industrie!H22</f>
        <v>0</v>
      </c>
      <c r="J43" s="688">
        <f>industrie!I22</f>
        <v>0</v>
      </c>
      <c r="K43" s="688">
        <f>industrie!J22</f>
        <v>151.92280744879665</v>
      </c>
      <c r="L43" s="688">
        <f>industrie!K22</f>
        <v>0</v>
      </c>
      <c r="M43" s="688">
        <f>industrie!L22</f>
        <v>0</v>
      </c>
      <c r="N43" s="688">
        <f>industrie!M22</f>
        <v>0</v>
      </c>
      <c r="O43" s="688">
        <f>industrie!N22</f>
        <v>0</v>
      </c>
      <c r="P43" s="688">
        <f>industrie!O22</f>
        <v>0</v>
      </c>
      <c r="Q43" s="763">
        <f>industrie!P22</f>
        <v>0</v>
      </c>
      <c r="R43" s="843">
        <f t="shared" ca="1" si="4"/>
        <v>35838.434710981332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37469.160017580798</v>
      </c>
      <c r="D46" s="721">
        <f t="shared" ref="D46:Q46" ca="1" si="5">SUM(D39:D45)</f>
        <v>0</v>
      </c>
      <c r="E46" s="721">
        <f t="shared" ca="1" si="5"/>
        <v>40592.259300442252</v>
      </c>
      <c r="F46" s="721">
        <f t="shared" si="5"/>
        <v>1145.4341859686215</v>
      </c>
      <c r="G46" s="721">
        <f t="shared" ca="1" si="5"/>
        <v>10232.282244897149</v>
      </c>
      <c r="H46" s="721">
        <f t="shared" si="5"/>
        <v>0</v>
      </c>
      <c r="I46" s="721">
        <f t="shared" si="5"/>
        <v>0</v>
      </c>
      <c r="J46" s="721">
        <f t="shared" si="5"/>
        <v>0</v>
      </c>
      <c r="K46" s="721">
        <f t="shared" si="5"/>
        <v>2811.7818756649453</v>
      </c>
      <c r="L46" s="721">
        <f t="shared" si="5"/>
        <v>0</v>
      </c>
      <c r="M46" s="721">
        <f t="shared" ca="1" si="5"/>
        <v>0</v>
      </c>
      <c r="N46" s="721">
        <f t="shared" si="5"/>
        <v>0</v>
      </c>
      <c r="O46" s="721">
        <f t="shared" ca="1" si="5"/>
        <v>0</v>
      </c>
      <c r="P46" s="721">
        <f t="shared" si="5"/>
        <v>0</v>
      </c>
      <c r="Q46" s="721">
        <f t="shared" si="5"/>
        <v>0</v>
      </c>
      <c r="R46" s="721">
        <f ca="1">SUM(R39:R45)</f>
        <v>92250.917624553782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433.04993761538617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433.04993761538617</v>
      </c>
    </row>
    <row r="50" spans="1:18">
      <c r="A50" s="819" t="s">
        <v>307</v>
      </c>
      <c r="B50" s="829"/>
      <c r="C50" s="1008">
        <f ca="1">transport!B18</f>
        <v>1.035448882809392</v>
      </c>
      <c r="D50" s="1008">
        <f>transport!C18</f>
        <v>0</v>
      </c>
      <c r="E50" s="1008">
        <f>transport!D18</f>
        <v>2.6264580384495417</v>
      </c>
      <c r="F50" s="1008">
        <f>transport!E18</f>
        <v>195.16242383494395</v>
      </c>
      <c r="G50" s="1008">
        <f>transport!F18</f>
        <v>0</v>
      </c>
      <c r="H50" s="1008">
        <f>transport!G18</f>
        <v>47059.633257638037</v>
      </c>
      <c r="I50" s="1008">
        <f>transport!H18</f>
        <v>7436.3509138786321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54694.80850227287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1.035448882809392</v>
      </c>
      <c r="D52" s="721">
        <f t="shared" ref="D52:Q52" ca="1" si="6">SUM(D48:D51)</f>
        <v>0</v>
      </c>
      <c r="E52" s="721">
        <f t="shared" si="6"/>
        <v>2.6264580384495417</v>
      </c>
      <c r="F52" s="721">
        <f t="shared" si="6"/>
        <v>195.16242383494395</v>
      </c>
      <c r="G52" s="721">
        <f t="shared" si="6"/>
        <v>0</v>
      </c>
      <c r="H52" s="721">
        <f t="shared" si="6"/>
        <v>47492.683195253427</v>
      </c>
      <c r="I52" s="721">
        <f t="shared" si="6"/>
        <v>7436.3509138786321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55127.858439888259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392.80336223676721</v>
      </c>
      <c r="D54" s="1008">
        <f ca="1">+landbouw!C12</f>
        <v>0</v>
      </c>
      <c r="E54" s="1008">
        <f>+landbouw!D12</f>
        <v>165.13599403774637</v>
      </c>
      <c r="F54" s="1008">
        <f>+landbouw!E12</f>
        <v>3.9259054739383812</v>
      </c>
      <c r="G54" s="1008">
        <f>+landbouw!F12</f>
        <v>1599.5753145485521</v>
      </c>
      <c r="H54" s="1008">
        <f>+landbouw!G12</f>
        <v>0</v>
      </c>
      <c r="I54" s="1008">
        <f>+landbouw!H12</f>
        <v>0</v>
      </c>
      <c r="J54" s="1008">
        <f>+landbouw!I12</f>
        <v>0</v>
      </c>
      <c r="K54" s="1008">
        <f>+landbouw!J12</f>
        <v>80.393739012691313</v>
      </c>
      <c r="L54" s="1008">
        <f>+landbouw!K12</f>
        <v>0</v>
      </c>
      <c r="M54" s="1008">
        <f>+landbouw!L12</f>
        <v>0</v>
      </c>
      <c r="N54" s="1008">
        <f>+landbouw!M12</f>
        <v>0</v>
      </c>
      <c r="O54" s="1008">
        <f>+landbouw!N12</f>
        <v>0</v>
      </c>
      <c r="P54" s="1008">
        <f>+landbouw!O12</f>
        <v>0</v>
      </c>
      <c r="Q54" s="1009">
        <f>+landbouw!P12</f>
        <v>0</v>
      </c>
      <c r="R54" s="720">
        <f ca="1">SUM(C54:Q54)</f>
        <v>2241.8343153096953</v>
      </c>
    </row>
    <row r="55" spans="1:18" ht="15" thickBot="1">
      <c r="A55" s="819" t="s">
        <v>912</v>
      </c>
      <c r="B55" s="829"/>
      <c r="C55" s="1008">
        <f ca="1">C25*'EF ele_warmte'!B12</f>
        <v>389.21172710185022</v>
      </c>
      <c r="D55" s="1008"/>
      <c r="E55" s="1008">
        <f>E25*EF_CO2_aardgas</f>
        <v>1684.9336054075657</v>
      </c>
      <c r="F55" s="1008"/>
      <c r="G55" s="1008"/>
      <c r="H55" s="1008"/>
      <c r="I55" s="1008"/>
      <c r="J55" s="1008"/>
      <c r="K55" s="1008"/>
      <c r="L55" s="1008"/>
      <c r="M55" s="1008"/>
      <c r="N55" s="1008"/>
      <c r="O55" s="1008"/>
      <c r="P55" s="1008"/>
      <c r="Q55" s="1009"/>
      <c r="R55" s="720">
        <f ca="1">SUM(C55:Q55)</f>
        <v>2074.1453325094158</v>
      </c>
    </row>
    <row r="56" spans="1:18" ht="15.75" thickBot="1">
      <c r="A56" s="817" t="s">
        <v>913</v>
      </c>
      <c r="B56" s="830"/>
      <c r="C56" s="721">
        <f ca="1">SUM(C54:C55)</f>
        <v>782.01508933861737</v>
      </c>
      <c r="D56" s="721">
        <f t="shared" ref="D56:Q56" ca="1" si="7">SUM(D54:D55)</f>
        <v>0</v>
      </c>
      <c r="E56" s="721">
        <f t="shared" si="7"/>
        <v>1850.069599445312</v>
      </c>
      <c r="F56" s="721">
        <f t="shared" si="7"/>
        <v>3.9259054739383812</v>
      </c>
      <c r="G56" s="721">
        <f t="shared" si="7"/>
        <v>1599.5753145485521</v>
      </c>
      <c r="H56" s="721">
        <f t="shared" si="7"/>
        <v>0</v>
      </c>
      <c r="I56" s="721">
        <f t="shared" si="7"/>
        <v>0</v>
      </c>
      <c r="J56" s="721">
        <f t="shared" si="7"/>
        <v>0</v>
      </c>
      <c r="K56" s="721">
        <f t="shared" si="7"/>
        <v>80.393739012691313</v>
      </c>
      <c r="L56" s="721">
        <f t="shared" si="7"/>
        <v>0</v>
      </c>
      <c r="M56" s="721">
        <f t="shared" si="7"/>
        <v>0</v>
      </c>
      <c r="N56" s="721">
        <f t="shared" si="7"/>
        <v>0</v>
      </c>
      <c r="O56" s="721">
        <f t="shared" si="7"/>
        <v>0</v>
      </c>
      <c r="P56" s="721">
        <f t="shared" si="7"/>
        <v>0</v>
      </c>
      <c r="Q56" s="722">
        <f t="shared" si="7"/>
        <v>0</v>
      </c>
      <c r="R56" s="723">
        <f ca="1">SUM(R54:R55)</f>
        <v>4315.9796478191111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38252.210555802223</v>
      </c>
      <c r="D61" s="729">
        <f t="shared" ref="D61:Q61" ca="1" si="8">D46+D52+D56</f>
        <v>0</v>
      </c>
      <c r="E61" s="729">
        <f t="shared" ca="1" si="8"/>
        <v>42444.955357926017</v>
      </c>
      <c r="F61" s="729">
        <f t="shared" si="8"/>
        <v>1344.5225152775038</v>
      </c>
      <c r="G61" s="729">
        <f t="shared" ca="1" si="8"/>
        <v>11831.857559445702</v>
      </c>
      <c r="H61" s="729">
        <f t="shared" si="8"/>
        <v>47492.683195253427</v>
      </c>
      <c r="I61" s="729">
        <f t="shared" si="8"/>
        <v>7436.3509138786321</v>
      </c>
      <c r="J61" s="729">
        <f t="shared" si="8"/>
        <v>0</v>
      </c>
      <c r="K61" s="729">
        <f t="shared" si="8"/>
        <v>2892.1756146776365</v>
      </c>
      <c r="L61" s="729">
        <f t="shared" si="8"/>
        <v>0</v>
      </c>
      <c r="M61" s="729">
        <f t="shared" ca="1" si="8"/>
        <v>0</v>
      </c>
      <c r="N61" s="729">
        <f t="shared" si="8"/>
        <v>0</v>
      </c>
      <c r="O61" s="729">
        <f t="shared" ca="1" si="8"/>
        <v>0</v>
      </c>
      <c r="P61" s="729">
        <f t="shared" si="8"/>
        <v>0</v>
      </c>
      <c r="Q61" s="729">
        <f t="shared" si="8"/>
        <v>0</v>
      </c>
      <c r="R61" s="729">
        <f ca="1">R46+R52+R56</f>
        <v>151694.75571226113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0.21396513252924149</v>
      </c>
      <c r="D63" s="773">
        <f t="shared" ca="1" si="9"/>
        <v>0</v>
      </c>
      <c r="E63" s="1010">
        <f t="shared" ca="1" si="9"/>
        <v>0.20200000000000001</v>
      </c>
      <c r="F63" s="773">
        <f t="shared" si="9"/>
        <v>0.22700000000000001</v>
      </c>
      <c r="G63" s="773">
        <f t="shared" ca="1" si="9"/>
        <v>0.26700000000000002</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5690.8505047821127</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5690.8505047821127</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5690.8505047821127</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5690.8505047821127</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49084.3913934312</v>
      </c>
      <c r="C4" s="461">
        <f>huishoudens!C8</f>
        <v>0</v>
      </c>
      <c r="D4" s="461">
        <f>huishoudens!D8</f>
        <v>99417.760796040326</v>
      </c>
      <c r="E4" s="461">
        <f>huishoudens!E8</f>
        <v>3972.6026660170151</v>
      </c>
      <c r="F4" s="461">
        <f>huishoudens!F8</f>
        <v>13006.609758441875</v>
      </c>
      <c r="G4" s="461">
        <f>huishoudens!G8</f>
        <v>0</v>
      </c>
      <c r="H4" s="461">
        <f>huishoudens!H8</f>
        <v>0</v>
      </c>
      <c r="I4" s="461">
        <f>huishoudens!I8</f>
        <v>0</v>
      </c>
      <c r="J4" s="461">
        <f>huishoudens!J8</f>
        <v>7513.726181401551</v>
      </c>
      <c r="K4" s="461">
        <f>huishoudens!K8</f>
        <v>0</v>
      </c>
      <c r="L4" s="461">
        <f>huishoudens!L8</f>
        <v>0</v>
      </c>
      <c r="M4" s="461">
        <f>huishoudens!M8</f>
        <v>0</v>
      </c>
      <c r="N4" s="461">
        <f>huishoudens!N8</f>
        <v>11691.708631871177</v>
      </c>
      <c r="O4" s="461">
        <f>huishoudens!O8</f>
        <v>109.43333333333334</v>
      </c>
      <c r="P4" s="462">
        <f>huishoudens!P8</f>
        <v>343.2</v>
      </c>
      <c r="Q4" s="463">
        <f>SUM(B4:P4)</f>
        <v>185139.43276053647</v>
      </c>
    </row>
    <row r="5" spans="1:17">
      <c r="A5" s="460" t="s">
        <v>156</v>
      </c>
      <c r="B5" s="461">
        <f ca="1">tertiair!B16</f>
        <v>38804.243493557064</v>
      </c>
      <c r="C5" s="461">
        <f ca="1">tertiair!C16</f>
        <v>0</v>
      </c>
      <c r="D5" s="461">
        <f ca="1">tertiair!D16</f>
        <v>39371.753937856767</v>
      </c>
      <c r="E5" s="461">
        <f>tertiair!E16</f>
        <v>321.40846808082256</v>
      </c>
      <c r="F5" s="461">
        <f ca="1">tertiair!F16</f>
        <v>7688.062630922218</v>
      </c>
      <c r="G5" s="461">
        <f>tertiair!G16</f>
        <v>0</v>
      </c>
      <c r="H5" s="461">
        <f>tertiair!H16</f>
        <v>0</v>
      </c>
      <c r="I5" s="461">
        <f>tertiair!I16</f>
        <v>0</v>
      </c>
      <c r="J5" s="461">
        <f>tertiair!J16</f>
        <v>0</v>
      </c>
      <c r="K5" s="461">
        <f>tertiair!K16</f>
        <v>0</v>
      </c>
      <c r="L5" s="461">
        <f ca="1">tertiair!L16</f>
        <v>0</v>
      </c>
      <c r="M5" s="461">
        <f>tertiair!M16</f>
        <v>0</v>
      </c>
      <c r="N5" s="461">
        <f ca="1">tertiair!N16</f>
        <v>2345.3851368315768</v>
      </c>
      <c r="O5" s="461">
        <f>tertiair!O16</f>
        <v>0</v>
      </c>
      <c r="P5" s="462">
        <f>tertiair!P16</f>
        <v>0</v>
      </c>
      <c r="Q5" s="460">
        <f t="shared" ref="Q5:Q14" ca="1" si="0">SUM(B5:P5)</f>
        <v>88530.853667248433</v>
      </c>
    </row>
    <row r="6" spans="1:17">
      <c r="A6" s="460" t="s">
        <v>194</v>
      </c>
      <c r="B6" s="461">
        <f>'openbare verlichting'!B8</f>
        <v>1924.7080000000001</v>
      </c>
      <c r="C6" s="461"/>
      <c r="D6" s="461"/>
      <c r="E6" s="461"/>
      <c r="F6" s="461"/>
      <c r="G6" s="461"/>
      <c r="H6" s="461"/>
      <c r="I6" s="461"/>
      <c r="J6" s="461"/>
      <c r="K6" s="461"/>
      <c r="L6" s="461"/>
      <c r="M6" s="461"/>
      <c r="N6" s="461"/>
      <c r="O6" s="461"/>
      <c r="P6" s="462"/>
      <c r="Q6" s="460">
        <f t="shared" si="0"/>
        <v>1924.7080000000001</v>
      </c>
    </row>
    <row r="7" spans="1:17">
      <c r="A7" s="460" t="s">
        <v>112</v>
      </c>
      <c r="B7" s="461">
        <f>landbouw!B8</f>
        <v>1835.8288455390493</v>
      </c>
      <c r="C7" s="461">
        <f>landbouw!C8</f>
        <v>0</v>
      </c>
      <c r="D7" s="461">
        <f>landbouw!D8</f>
        <v>817.50492097894232</v>
      </c>
      <c r="E7" s="461">
        <f>landbouw!E8</f>
        <v>17.294737770653661</v>
      </c>
      <c r="F7" s="461">
        <f>landbouw!F8</f>
        <v>5990.9187810807189</v>
      </c>
      <c r="G7" s="461">
        <f>landbouw!G8</f>
        <v>0</v>
      </c>
      <c r="H7" s="461">
        <f>landbouw!H8</f>
        <v>0</v>
      </c>
      <c r="I7" s="461">
        <f>landbouw!I8</f>
        <v>0</v>
      </c>
      <c r="J7" s="461">
        <f>landbouw!J8</f>
        <v>227.10095766296982</v>
      </c>
      <c r="K7" s="461">
        <f>landbouw!K8</f>
        <v>0</v>
      </c>
      <c r="L7" s="461">
        <f>landbouw!L8</f>
        <v>0</v>
      </c>
      <c r="M7" s="461">
        <f>landbouw!M8</f>
        <v>0</v>
      </c>
      <c r="N7" s="461">
        <f>landbouw!N8</f>
        <v>0</v>
      </c>
      <c r="O7" s="461">
        <f>landbouw!O8</f>
        <v>0</v>
      </c>
      <c r="P7" s="462">
        <f>landbouw!P8</f>
        <v>0</v>
      </c>
      <c r="Q7" s="460">
        <f t="shared" si="0"/>
        <v>8888.648243032334</v>
      </c>
    </row>
    <row r="8" spans="1:17">
      <c r="A8" s="460" t="s">
        <v>685</v>
      </c>
      <c r="B8" s="461">
        <f>industrie!B18</f>
        <v>85304.722260659473</v>
      </c>
      <c r="C8" s="461">
        <f>industrie!C18</f>
        <v>0</v>
      </c>
      <c r="D8" s="461">
        <f>industrie!D18</f>
        <v>62162.26398116356</v>
      </c>
      <c r="E8" s="461">
        <f>industrie!E18</f>
        <v>751.95444285644214</v>
      </c>
      <c r="F8" s="461">
        <f>industrie!F18</f>
        <v>17628.482085906129</v>
      </c>
      <c r="G8" s="461">
        <f>industrie!G18</f>
        <v>0</v>
      </c>
      <c r="H8" s="461">
        <f>industrie!H18</f>
        <v>0</v>
      </c>
      <c r="I8" s="461">
        <f>industrie!I18</f>
        <v>0</v>
      </c>
      <c r="J8" s="461">
        <f>industrie!J18</f>
        <v>429.16047301919963</v>
      </c>
      <c r="K8" s="461">
        <f>industrie!K18</f>
        <v>0</v>
      </c>
      <c r="L8" s="461">
        <f>industrie!L18</f>
        <v>0</v>
      </c>
      <c r="M8" s="461">
        <f>industrie!M18</f>
        <v>0</v>
      </c>
      <c r="N8" s="461">
        <f>industrie!N18</f>
        <v>2736.0714479252902</v>
      </c>
      <c r="O8" s="461">
        <f>industrie!O18</f>
        <v>0</v>
      </c>
      <c r="P8" s="462">
        <f>industrie!P18</f>
        <v>0</v>
      </c>
      <c r="Q8" s="460">
        <f t="shared" si="0"/>
        <v>169012.65469153013</v>
      </c>
    </row>
    <row r="9" spans="1:17" s="466" customFormat="1">
      <c r="A9" s="464" t="s">
        <v>579</v>
      </c>
      <c r="B9" s="465">
        <f>transport!B14</f>
        <v>4.8393346643424833</v>
      </c>
      <c r="C9" s="465">
        <f>transport!C14</f>
        <v>0</v>
      </c>
      <c r="D9" s="465">
        <f>transport!D14</f>
        <v>13.002267517076938</v>
      </c>
      <c r="E9" s="465">
        <f>transport!E14</f>
        <v>859.74636050636104</v>
      </c>
      <c r="F9" s="465">
        <f>transport!F14</f>
        <v>0</v>
      </c>
      <c r="G9" s="465">
        <f>transport!G14</f>
        <v>176253.30808104132</v>
      </c>
      <c r="H9" s="465">
        <f>transport!H14</f>
        <v>29864.863107946312</v>
      </c>
      <c r="I9" s="465">
        <f>transport!I14</f>
        <v>0</v>
      </c>
      <c r="J9" s="465">
        <f>transport!J14</f>
        <v>0</v>
      </c>
      <c r="K9" s="465">
        <f>transport!K14</f>
        <v>0</v>
      </c>
      <c r="L9" s="465">
        <f>transport!L14</f>
        <v>0</v>
      </c>
      <c r="M9" s="465">
        <f>transport!M14</f>
        <v>9214.7395647519006</v>
      </c>
      <c r="N9" s="465">
        <f>transport!N14</f>
        <v>0</v>
      </c>
      <c r="O9" s="465">
        <f>transport!O14</f>
        <v>0</v>
      </c>
      <c r="P9" s="465">
        <f>transport!P14</f>
        <v>0</v>
      </c>
      <c r="Q9" s="464">
        <f>SUM(B9:P9)</f>
        <v>216210.4987164273</v>
      </c>
    </row>
    <row r="10" spans="1:17">
      <c r="A10" s="460" t="s">
        <v>569</v>
      </c>
      <c r="B10" s="461">
        <f>transport!B54</f>
        <v>0</v>
      </c>
      <c r="C10" s="461">
        <f>transport!C54</f>
        <v>0</v>
      </c>
      <c r="D10" s="461">
        <f>transport!D54</f>
        <v>0</v>
      </c>
      <c r="E10" s="461">
        <f>transport!E54</f>
        <v>0</v>
      </c>
      <c r="F10" s="461">
        <f>transport!F54</f>
        <v>0</v>
      </c>
      <c r="G10" s="461">
        <f>transport!G54</f>
        <v>1621.9098787093114</v>
      </c>
      <c r="H10" s="461">
        <f>transport!H54</f>
        <v>0</v>
      </c>
      <c r="I10" s="461">
        <f>transport!I54</f>
        <v>0</v>
      </c>
      <c r="J10" s="461">
        <f>transport!J54</f>
        <v>0</v>
      </c>
      <c r="K10" s="461">
        <f>transport!K54</f>
        <v>0</v>
      </c>
      <c r="L10" s="461">
        <f>transport!L54</f>
        <v>0</v>
      </c>
      <c r="M10" s="461">
        <f>transport!M54</f>
        <v>71.220738281826726</v>
      </c>
      <c r="N10" s="461">
        <f>transport!N54</f>
        <v>0</v>
      </c>
      <c r="O10" s="461">
        <f>transport!O54</f>
        <v>0</v>
      </c>
      <c r="P10" s="462">
        <f>transport!P54</f>
        <v>0</v>
      </c>
      <c r="Q10" s="460">
        <f t="shared" si="0"/>
        <v>1693.1306169911381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1819.0427687962599</v>
      </c>
      <c r="C14" s="468"/>
      <c r="D14" s="468">
        <f>'SEAP template'!E25</f>
        <v>8341.2554723146804</v>
      </c>
      <c r="E14" s="468"/>
      <c r="F14" s="468"/>
      <c r="G14" s="468"/>
      <c r="H14" s="468"/>
      <c r="I14" s="468"/>
      <c r="J14" s="468"/>
      <c r="K14" s="468"/>
      <c r="L14" s="468"/>
      <c r="M14" s="468"/>
      <c r="N14" s="468"/>
      <c r="O14" s="468"/>
      <c r="P14" s="469"/>
      <c r="Q14" s="460">
        <f t="shared" si="0"/>
        <v>10160.298241110941</v>
      </c>
    </row>
    <row r="15" spans="1:17" s="473" customFormat="1">
      <c r="A15" s="470" t="s">
        <v>573</v>
      </c>
      <c r="B15" s="471">
        <f ca="1">SUM(B4:B14)</f>
        <v>178777.77609664737</v>
      </c>
      <c r="C15" s="471">
        <f t="shared" ref="C15:Q15" ca="1" si="1">SUM(C4:C14)</f>
        <v>0</v>
      </c>
      <c r="D15" s="471">
        <f t="shared" ca="1" si="1"/>
        <v>210123.54137587137</v>
      </c>
      <c r="E15" s="471">
        <f t="shared" si="1"/>
        <v>5923.0066752312941</v>
      </c>
      <c r="F15" s="471">
        <f t="shared" ca="1" si="1"/>
        <v>44314.073256350937</v>
      </c>
      <c r="G15" s="471">
        <f t="shared" si="1"/>
        <v>177875.21795975065</v>
      </c>
      <c r="H15" s="471">
        <f t="shared" si="1"/>
        <v>29864.863107946312</v>
      </c>
      <c r="I15" s="471">
        <f t="shared" si="1"/>
        <v>0</v>
      </c>
      <c r="J15" s="471">
        <f t="shared" si="1"/>
        <v>8169.9876120837198</v>
      </c>
      <c r="K15" s="471">
        <f t="shared" si="1"/>
        <v>0</v>
      </c>
      <c r="L15" s="471">
        <f t="shared" ca="1" si="1"/>
        <v>0</v>
      </c>
      <c r="M15" s="471">
        <f t="shared" si="1"/>
        <v>9285.9603030337275</v>
      </c>
      <c r="N15" s="471">
        <f t="shared" ca="1" si="1"/>
        <v>16773.165216628044</v>
      </c>
      <c r="O15" s="471">
        <f t="shared" si="1"/>
        <v>109.43333333333334</v>
      </c>
      <c r="P15" s="471">
        <f t="shared" si="1"/>
        <v>343.2</v>
      </c>
      <c r="Q15" s="471">
        <f t="shared" ca="1" si="1"/>
        <v>681560.22493687668</v>
      </c>
    </row>
    <row r="17" spans="1:17">
      <c r="A17" s="474" t="s">
        <v>574</v>
      </c>
      <c r="B17" s="778">
        <f ca="1">huishoudens!B10</f>
        <v>0.21396513252924154</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10502.348309612669</v>
      </c>
      <c r="C22" s="461">
        <f t="shared" ref="C22:C32" ca="1" si="3">C4*$C$17</f>
        <v>0</v>
      </c>
      <c r="D22" s="461">
        <f t="shared" ref="D22:D32" si="4">D4*$D$17</f>
        <v>20082.387680800148</v>
      </c>
      <c r="E22" s="461">
        <f t="shared" ref="E22:E32" si="5">E4*$E$17</f>
        <v>901.78080518586239</v>
      </c>
      <c r="F22" s="461">
        <f t="shared" ref="F22:F32" si="6">F4*$F$17</f>
        <v>3472.7648055039808</v>
      </c>
      <c r="G22" s="461">
        <f t="shared" ref="G22:G32" si="7">G4*$G$17</f>
        <v>0</v>
      </c>
      <c r="H22" s="461">
        <f t="shared" ref="H22:H32" si="8">H4*$H$17</f>
        <v>0</v>
      </c>
      <c r="I22" s="461">
        <f t="shared" ref="I22:I32" si="9">I4*$I$17</f>
        <v>0</v>
      </c>
      <c r="J22" s="461">
        <f t="shared" ref="J22:J32" si="10">J4*$J$17</f>
        <v>2659.8590682161489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37619.140669318811</v>
      </c>
    </row>
    <row r="23" spans="1:17">
      <c r="A23" s="460" t="s">
        <v>156</v>
      </c>
      <c r="B23" s="461">
        <f t="shared" ca="1" si="2"/>
        <v>8302.7551017958958</v>
      </c>
      <c r="C23" s="461">
        <f t="shared" ca="1" si="3"/>
        <v>0</v>
      </c>
      <c r="D23" s="461">
        <f t="shared" ca="1" si="4"/>
        <v>7953.0942954470675</v>
      </c>
      <c r="E23" s="461">
        <f t="shared" si="5"/>
        <v>72.95972225434673</v>
      </c>
      <c r="F23" s="461">
        <f t="shared" ca="1" si="6"/>
        <v>2052.7127224562323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18381.521841953545</v>
      </c>
    </row>
    <row r="24" spans="1:17">
      <c r="A24" s="460" t="s">
        <v>194</v>
      </c>
      <c r="B24" s="461">
        <f t="shared" ca="1" si="2"/>
        <v>411.82040230009147</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411.82040230009147</v>
      </c>
    </row>
    <row r="25" spans="1:17">
      <c r="A25" s="460" t="s">
        <v>112</v>
      </c>
      <c r="B25" s="461">
        <f t="shared" ca="1" si="2"/>
        <v>392.80336223676721</v>
      </c>
      <c r="C25" s="461">
        <f t="shared" ca="1" si="3"/>
        <v>0</v>
      </c>
      <c r="D25" s="461">
        <f t="shared" si="4"/>
        <v>165.13599403774637</v>
      </c>
      <c r="E25" s="461">
        <f t="shared" si="5"/>
        <v>3.9259054739383812</v>
      </c>
      <c r="F25" s="461">
        <f t="shared" si="6"/>
        <v>1599.5753145485521</v>
      </c>
      <c r="G25" s="461">
        <f t="shared" si="7"/>
        <v>0</v>
      </c>
      <c r="H25" s="461">
        <f t="shared" si="8"/>
        <v>0</v>
      </c>
      <c r="I25" s="461">
        <f t="shared" si="9"/>
        <v>0</v>
      </c>
      <c r="J25" s="461">
        <f t="shared" si="10"/>
        <v>80.393739012691313</v>
      </c>
      <c r="K25" s="461">
        <f t="shared" si="11"/>
        <v>0</v>
      </c>
      <c r="L25" s="461">
        <f t="shared" si="12"/>
        <v>0</v>
      </c>
      <c r="M25" s="461">
        <f t="shared" si="13"/>
        <v>0</v>
      </c>
      <c r="N25" s="461">
        <f t="shared" si="14"/>
        <v>0</v>
      </c>
      <c r="O25" s="461">
        <f t="shared" si="15"/>
        <v>0</v>
      </c>
      <c r="P25" s="462">
        <f t="shared" si="16"/>
        <v>0</v>
      </c>
      <c r="Q25" s="460">
        <f t="shared" ca="1" si="17"/>
        <v>2241.8343153096953</v>
      </c>
    </row>
    <row r="26" spans="1:17">
      <c r="A26" s="460" t="s">
        <v>685</v>
      </c>
      <c r="B26" s="461">
        <f t="shared" ca="1" si="2"/>
        <v>18252.236203872144</v>
      </c>
      <c r="C26" s="461">
        <f t="shared" ca="1" si="3"/>
        <v>0</v>
      </c>
      <c r="D26" s="461">
        <f t="shared" si="4"/>
        <v>12556.77732419504</v>
      </c>
      <c r="E26" s="461">
        <f t="shared" si="5"/>
        <v>170.69365852841239</v>
      </c>
      <c r="F26" s="461">
        <f t="shared" si="6"/>
        <v>4706.8047169369365</v>
      </c>
      <c r="G26" s="461">
        <f t="shared" si="7"/>
        <v>0</v>
      </c>
      <c r="H26" s="461">
        <f t="shared" si="8"/>
        <v>0</v>
      </c>
      <c r="I26" s="461">
        <f t="shared" si="9"/>
        <v>0</v>
      </c>
      <c r="J26" s="461">
        <f t="shared" si="10"/>
        <v>151.92280744879665</v>
      </c>
      <c r="K26" s="461">
        <f t="shared" si="11"/>
        <v>0</v>
      </c>
      <c r="L26" s="461">
        <f t="shared" si="12"/>
        <v>0</v>
      </c>
      <c r="M26" s="461">
        <f t="shared" si="13"/>
        <v>0</v>
      </c>
      <c r="N26" s="461">
        <f t="shared" si="14"/>
        <v>0</v>
      </c>
      <c r="O26" s="461">
        <f t="shared" si="15"/>
        <v>0</v>
      </c>
      <c r="P26" s="462">
        <f t="shared" si="16"/>
        <v>0</v>
      </c>
      <c r="Q26" s="460">
        <f t="shared" ca="1" si="17"/>
        <v>35838.434710981332</v>
      </c>
    </row>
    <row r="27" spans="1:17" s="466" customFormat="1">
      <c r="A27" s="464" t="s">
        <v>579</v>
      </c>
      <c r="B27" s="772">
        <f t="shared" ca="1" si="2"/>
        <v>1.035448882809392</v>
      </c>
      <c r="C27" s="465">
        <f t="shared" ca="1" si="3"/>
        <v>0</v>
      </c>
      <c r="D27" s="465">
        <f t="shared" si="4"/>
        <v>2.6264580384495417</v>
      </c>
      <c r="E27" s="465">
        <f t="shared" si="5"/>
        <v>195.16242383494395</v>
      </c>
      <c r="F27" s="465">
        <f t="shared" si="6"/>
        <v>0</v>
      </c>
      <c r="G27" s="465">
        <f t="shared" si="7"/>
        <v>47059.633257638037</v>
      </c>
      <c r="H27" s="465">
        <f t="shared" si="8"/>
        <v>7436.3509138786321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54694.80850227287</v>
      </c>
    </row>
    <row r="28" spans="1:17">
      <c r="A28" s="460" t="s">
        <v>569</v>
      </c>
      <c r="B28" s="461">
        <f t="shared" ca="1" si="2"/>
        <v>0</v>
      </c>
      <c r="C28" s="461">
        <f t="shared" ca="1" si="3"/>
        <v>0</v>
      </c>
      <c r="D28" s="461">
        <f t="shared" si="4"/>
        <v>0</v>
      </c>
      <c r="E28" s="461">
        <f t="shared" si="5"/>
        <v>0</v>
      </c>
      <c r="F28" s="461">
        <f t="shared" si="6"/>
        <v>0</v>
      </c>
      <c r="G28" s="461">
        <f t="shared" si="7"/>
        <v>433.04993761538617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433.04993761538617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389.21172710185022</v>
      </c>
      <c r="C32" s="461">
        <f t="shared" ca="1" si="3"/>
        <v>0</v>
      </c>
      <c r="D32" s="461">
        <f t="shared" si="4"/>
        <v>1684.9336054075657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2074.1453325094158</v>
      </c>
    </row>
    <row r="33" spans="1:17" s="473" customFormat="1">
      <c r="A33" s="470" t="s">
        <v>573</v>
      </c>
      <c r="B33" s="471">
        <f ca="1">SUM(B22:B32)</f>
        <v>38252.210555802223</v>
      </c>
      <c r="C33" s="471">
        <f t="shared" ref="C33:Q33" ca="1" si="18">SUM(C22:C32)</f>
        <v>0</v>
      </c>
      <c r="D33" s="471">
        <f t="shared" ca="1" si="18"/>
        <v>42444.955357926025</v>
      </c>
      <c r="E33" s="471">
        <f t="shared" si="18"/>
        <v>1344.5225152775038</v>
      </c>
      <c r="F33" s="471">
        <f t="shared" ca="1" si="18"/>
        <v>11831.857559445702</v>
      </c>
      <c r="G33" s="471">
        <f t="shared" si="18"/>
        <v>47492.683195253427</v>
      </c>
      <c r="H33" s="471">
        <f t="shared" si="18"/>
        <v>7436.3509138786321</v>
      </c>
      <c r="I33" s="471">
        <f t="shared" si="18"/>
        <v>0</v>
      </c>
      <c r="J33" s="471">
        <f t="shared" si="18"/>
        <v>2892.1756146776365</v>
      </c>
      <c r="K33" s="471">
        <f t="shared" si="18"/>
        <v>0</v>
      </c>
      <c r="L33" s="471">
        <f t="shared" ca="1" si="18"/>
        <v>0</v>
      </c>
      <c r="M33" s="471">
        <f t="shared" si="18"/>
        <v>0</v>
      </c>
      <c r="N33" s="471">
        <f t="shared" ca="1" si="18"/>
        <v>0</v>
      </c>
      <c r="O33" s="471">
        <f t="shared" si="18"/>
        <v>0</v>
      </c>
      <c r="P33" s="471">
        <f t="shared" si="18"/>
        <v>0</v>
      </c>
      <c r="Q33" s="471">
        <f t="shared" ca="1" si="18"/>
        <v>151694.75571226113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5690.8505047821127</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5690.8505047821127</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0.21396513252924154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0.21396513252924154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2019-06-29T16:13:48Z</dcterms:modified>
</cp:coreProperties>
</file>