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9" l="1"/>
  <c r="O18"/>
  <c r="C98"/>
  <c r="B10"/>
  <c r="B8"/>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K78" i="14"/>
  <c r="K8" i="56"/>
  <c r="K10" s="1"/>
  <c r="O78" i="14"/>
  <c r="O9" i="56"/>
  <c r="L90" i="14"/>
  <c r="L17" i="56"/>
  <c r="L20" s="1"/>
  <c r="G90" i="14"/>
  <c r="G18" i="56"/>
  <c r="G20" s="1"/>
  <c r="O90" i="14"/>
  <c r="O18" i="56"/>
  <c r="C77" i="14"/>
  <c r="C9" i="56" s="1"/>
  <c r="D9"/>
  <c r="D10" s="1"/>
  <c r="Q88" i="14"/>
  <c r="P18" i="56" s="1"/>
  <c r="D18"/>
  <c r="L78" i="14"/>
  <c r="G78"/>
  <c r="Q89"/>
  <c r="P19" i="56" s="1"/>
  <c r="I87" i="14"/>
  <c r="I17" i="56" s="1"/>
  <c r="I20" s="1"/>
  <c r="O25" i="48"/>
  <c r="J78" i="14"/>
  <c r="Q76"/>
  <c r="P8" i="56" s="1"/>
  <c r="L10"/>
  <c r="H20"/>
  <c r="O31" i="48"/>
  <c r="Q87" i="14"/>
  <c r="P17" i="56" s="1"/>
  <c r="D17"/>
  <c r="D20" s="1"/>
  <c r="K90" i="14"/>
  <c r="K18" i="56"/>
  <c r="N78" i="14"/>
  <c r="N8" i="56"/>
  <c r="N10" s="1"/>
  <c r="C76" i="14"/>
  <c r="C8" i="56" s="1"/>
  <c r="C10" s="1"/>
  <c r="E8"/>
  <c r="E10" s="1"/>
  <c r="M78" i="14"/>
  <c r="M8" i="56"/>
  <c r="M10" s="1"/>
  <c r="K20"/>
  <c r="G10"/>
  <c r="O10"/>
  <c r="C88" i="14"/>
  <c r="C18" i="56" s="1"/>
  <c r="O20"/>
  <c r="N90" i="14"/>
  <c r="F10" i="56"/>
  <c r="F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P20" i="56"/>
  <c r="J90" i="14"/>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24"/>
  <c r="E29"/>
  <c r="E30"/>
  <c r="M12" i="13"/>
  <c r="N41" i="14" s="1"/>
  <c r="N46" s="1"/>
  <c r="M17" i="48"/>
  <c r="D30"/>
  <c r="D28"/>
  <c r="D24"/>
  <c r="D32"/>
  <c r="D29"/>
  <c r="D31"/>
  <c r="Q10" i="14"/>
  <c r="P5" i="48"/>
  <c r="P23" s="1"/>
  <c r="K32"/>
  <c r="K27"/>
  <c r="K28"/>
  <c r="K26"/>
  <c r="K24"/>
  <c r="K29"/>
  <c r="K25"/>
  <c r="K31"/>
  <c r="K22"/>
  <c r="K30"/>
  <c r="J10" i="14"/>
  <c r="J16" s="1"/>
  <c r="J27" s="1"/>
  <c r="I5" i="48"/>
  <c r="J24"/>
  <c r="J32"/>
  <c r="J29"/>
  <c r="J31"/>
  <c r="J30"/>
  <c r="J28"/>
  <c r="J27"/>
  <c r="Q11" i="14"/>
  <c r="P4" i="48"/>
  <c r="B7"/>
  <c r="C24" i="14"/>
  <c r="C26" s="1"/>
  <c r="P11"/>
  <c r="O4" i="48"/>
  <c r="I29"/>
  <c r="I31"/>
  <c r="I28"/>
  <c r="I27"/>
  <c r="I32"/>
  <c r="I22"/>
  <c r="I25"/>
  <c r="I24"/>
  <c r="I26"/>
  <c r="I30"/>
  <c r="B38" i="13"/>
  <c r="B50" s="1"/>
  <c r="K5" i="48"/>
  <c r="L10" i="14"/>
  <c r="L16" s="1"/>
  <c r="L27" s="1"/>
  <c r="L32" i="48"/>
  <c r="L28"/>
  <c r="L31"/>
  <c r="L22"/>
  <c r="L27"/>
  <c r="L29"/>
  <c r="L30"/>
  <c r="L24"/>
  <c r="D4"/>
  <c r="D22" s="1"/>
  <c r="E11" i="14"/>
  <c r="H32" i="48"/>
  <c r="H25"/>
  <c r="H24"/>
  <c r="H29"/>
  <c r="H28"/>
  <c r="H22"/>
  <c r="H26"/>
  <c r="H30"/>
  <c r="H23"/>
  <c r="D11" i="14"/>
  <c r="C4" i="48"/>
  <c r="G29"/>
  <c r="G26"/>
  <c r="G32"/>
  <c r="G25"/>
  <c r="G30"/>
  <c r="G24"/>
  <c r="G22"/>
  <c r="G23"/>
  <c r="C11" i="14"/>
  <c r="B4" i="48"/>
  <c r="F24"/>
  <c r="F32"/>
  <c r="F30"/>
  <c r="F29"/>
  <c r="F27"/>
  <c r="F28"/>
  <c r="F31"/>
  <c r="N24"/>
  <c r="N32"/>
  <c r="N30"/>
  <c r="N29"/>
  <c r="N27"/>
  <c r="N28"/>
  <c r="N31"/>
  <c r="B10"/>
  <c r="C19"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Q13" i="14" l="1"/>
  <c r="P8" i="48"/>
  <c r="P26" s="1"/>
  <c r="P15"/>
  <c r="P22"/>
  <c r="P33" s="1"/>
  <c r="G13"/>
  <c r="H18" i="14"/>
  <c r="N18"/>
  <c r="M13" i="48"/>
  <c r="M31" s="1"/>
  <c r="K23"/>
  <c r="K15"/>
  <c r="L46" i="14"/>
  <c r="L61" s="1"/>
  <c r="L63" s="1"/>
  <c r="J12" i="17"/>
  <c r="K54" i="14" s="1"/>
  <c r="K56" s="1"/>
  <c r="J7" i="48"/>
  <c r="J25" s="1"/>
  <c r="K24" i="14"/>
  <c r="K26" s="1"/>
  <c r="M32" i="48"/>
  <c r="M22"/>
  <c r="M26"/>
  <c r="M25"/>
  <c r="M24"/>
  <c r="M29"/>
  <c r="M30"/>
  <c r="M23"/>
  <c r="O22"/>
  <c r="P10" i="14"/>
  <c r="O5" i="48"/>
  <c r="O23" s="1"/>
  <c r="F4"/>
  <c r="F22" s="1"/>
  <c r="G11" i="14"/>
  <c r="I18"/>
  <c r="H13" i="48"/>
  <c r="H31" s="1"/>
  <c r="I23"/>
  <c r="I15"/>
  <c r="Q16" i="14"/>
  <c r="Q27" s="1"/>
  <c r="J46"/>
  <c r="J61" s="1"/>
  <c r="J63" s="1"/>
  <c r="I33" i="48"/>
  <c r="K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2" s="1"/>
  <c r="F54" i="14" s="1"/>
  <c r="F56" s="1"/>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20"/>
  <c r="E22" s="1"/>
  <c r="D9" i="48"/>
  <c r="D27" s="1"/>
  <c r="E12" i="13"/>
  <c r="F41" i="14" s="1"/>
  <c r="E4" i="48"/>
  <c r="F11" i="14"/>
  <c r="R11" s="1"/>
  <c r="F20"/>
  <c r="F22" s="1"/>
  <c r="E9" i="48"/>
  <c r="E27" s="1"/>
  <c r="P46" i="14"/>
  <c r="P61" s="1"/>
  <c r="Q63"/>
  <c r="P16"/>
  <c r="P27" s="1"/>
  <c r="H14" i="22"/>
  <c r="N19" i="14"/>
  <c r="M10" i="48"/>
  <c r="M28" s="1"/>
  <c r="B9"/>
  <c r="C20" i="14"/>
  <c r="G31" i="48"/>
  <c r="Q13"/>
  <c r="R18" i="14"/>
  <c r="H19"/>
  <c r="R19" s="1"/>
  <c r="G10" i="48"/>
  <c r="K11" i="14"/>
  <c r="J4" i="48"/>
  <c r="E7"/>
  <c r="E25" s="1"/>
  <c r="F24" i="14"/>
  <c r="F26" s="1"/>
  <c r="O8" i="48"/>
  <c r="P13" i="14"/>
  <c r="D18" i="22"/>
  <c r="E50" i="14" s="1"/>
  <c r="E52" s="1"/>
  <c r="M14" i="22"/>
  <c r="M18" s="1"/>
  <c r="N50" i="14" s="1"/>
  <c r="D16"/>
  <c r="D27" s="1"/>
  <c r="B20" i="6" s="1"/>
  <c r="B22" s="1"/>
  <c r="C22" i="56" s="1"/>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N20" i="15"/>
  <c r="O40" i="14" s="1"/>
  <c r="F20" i="15"/>
  <c r="G40" i="14" s="1"/>
  <c r="N5" i="16"/>
  <c r="E5"/>
  <c r="J5"/>
  <c r="C35" i="13"/>
  <c r="F5" i="16"/>
  <c r="C36" i="13"/>
  <c r="N12"/>
  <c r="O41" i="14" s="1"/>
  <c r="C38" i="13"/>
  <c r="C39"/>
  <c r="C32"/>
  <c r="C34"/>
  <c r="J12"/>
  <c r="K41" i="14" s="1"/>
  <c r="L20" i="15"/>
  <c r="M40" i="14" s="1"/>
  <c r="M46" s="1"/>
  <c r="O26" i="48" l="1"/>
  <c r="O33" s="1"/>
  <c r="O15"/>
  <c r="G9"/>
  <c r="H20" i="14"/>
  <c r="H22" s="1"/>
  <c r="H27" s="1"/>
  <c r="H63" s="1"/>
  <c r="J5" i="48"/>
  <c r="J23" s="1"/>
  <c r="K10" i="14"/>
  <c r="F10"/>
  <c r="E5" i="48"/>
  <c r="E23" s="1"/>
  <c r="P63" i="14"/>
  <c r="E46"/>
  <c r="E61" s="1"/>
  <c r="N20"/>
  <c r="N22" s="1"/>
  <c r="N27" s="1"/>
  <c r="N63" s="1"/>
  <c r="M9" i="48"/>
  <c r="E22"/>
  <c r="Q4"/>
  <c r="H9"/>
  <c r="I20" i="14"/>
  <c r="I22" s="1"/>
  <c r="I27" s="1"/>
  <c r="G28" i="48"/>
  <c r="Q10"/>
  <c r="J22"/>
  <c r="C22" i="14"/>
  <c r="H18" i="22"/>
  <c r="I50" i="14" s="1"/>
  <c r="I52" s="1"/>
  <c r="I61" s="1"/>
  <c r="I63"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J26" s="1"/>
  <c r="F13" i="14"/>
  <c r="F16" s="1"/>
  <c r="F27" s="1"/>
  <c r="E8" i="48"/>
  <c r="K16" i="14"/>
  <c r="K27" s="1"/>
  <c r="J15" i="48"/>
  <c r="R20" i="14"/>
  <c r="R22" s="1"/>
  <c r="R10"/>
  <c r="M27" i="48"/>
  <c r="M33" s="1"/>
  <c r="M15"/>
  <c r="H27"/>
  <c r="H33" s="1"/>
  <c r="H15"/>
  <c r="Q9"/>
  <c r="E63" i="14"/>
  <c r="J33" i="48"/>
  <c r="K46" i="14"/>
  <c r="K61"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<sst xmlns="http://schemas.openxmlformats.org/spreadsheetml/2006/main" count="2483" uniqueCount="946">
  <si>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</si>
  <si>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</si>
  <si>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</si>
  <si>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</si>
  <si>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</si>
  <si>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</si>
  <si>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</si>
  <si>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</si>
  <si>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</si>
  <si>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</si>
  <si>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</si>
  <si>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</si>
  <si>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</si>
  <si>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</si>
  <si>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</si>
  <si>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</si>
  <si>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</si>
  <si>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</si>
  <si>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</si>
  <si>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</si>
  <si>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</si>
  <si>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</si>
  <si>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</si>
  <si>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</si>
  <si>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</si>
  <si>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</si>
  <si>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</si>
  <si>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</si>
  <si>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</si>
  <si>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</si>
  <si>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</si>
  <si>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</si>
  <si>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</si>
  <si>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</si>
  <si>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</si>
  <si>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</si>
  <si>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</si>
  <si>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</si>
  <si>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</si>
  <si>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</si>
  <si>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</si>
  <si>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</si>
  <si>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</si>
  <si>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</si>
  <si>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</si>
  <si>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</si>
  <si>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</si>
  <si>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</si>
  <si>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</si>
  <si>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</si>
  <si>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</si>
  <si>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</si>
  <si>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</si>
  <si>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</si>
  <si>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</si>
  <si>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</si>
  <si>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</si>
  <si>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</si>
  <si>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</si>
  <si>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</si>
  <si>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</si>
  <si>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</si>
  <si>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</si>
  <si>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</si>
  <si>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</si>
  <si>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</si>
  <si>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</si>
  <si>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</si>
  <si>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</si>
  <si>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</si>
  <si>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</si>
  <si>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</si>
  <si>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</si>
  <si>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</si>
  <si>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</si>
  <si>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</si>
  <si>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</si>
  <si>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</si>
  <si>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</si>
  <si>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</si>
  <si>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</si>
  <si>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</si>
  <si>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</si>
  <si>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</si>
  <si>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</si>
  <si>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</si>
  <si>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</si>
  <si>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</si>
  <si>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</si>
  <si>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</si>
  <si>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</si>
  <si>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</si>
  <si>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</si>
  <si>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</si>
  <si>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</si>
  <si>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</si>
  <si>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</si>
  <si>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</si>
  <si>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</si>
  <si>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</si>
  <si>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</si>
  <si>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</si>
  <si>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</si>
  <si>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</si>
  <si>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</si>
  <si>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</si>
  <si>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</si>
  <si>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</si>
  <si>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</si>
  <si>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</si>
  <si>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</si>
  <si>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</si>
  <si>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</si>
  <si>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</si>
  <si>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</si>
  <si>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</si>
  <si>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</si>
  <si>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</si>
  <si>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</si>
  <si>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</si>
  <si>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</si>
  <si>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</si>
  <si>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</si>
  <si>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</si>
  <si>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</si>
  <si>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</si>
  <si>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</si>
  <si>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</si>
  <si>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</si>
  <si>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</si>
  <si>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</si>
  <si>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</si>
  <si>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</si>
  <si>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</si>
  <si>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</si>
  <si>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</si>
  <si>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</si>
  <si>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</si>
  <si>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</si>
  <si>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</si>
  <si>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</si>
  <si>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</si>
  <si>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</si>
  <si>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</si>
  <si>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</si>
  <si>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</si>
  <si>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</si>
  <si>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</si>
  <si>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</si>
  <si>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</si>
  <si>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</si>
  <si>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</si>
  <si>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</si>
  <si>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</si>
  <si>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</si>
  <si>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</si>
  <si>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</si>
  <si>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</si>
  <si>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</si>
  <si>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</si>
  <si>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</si>
  <si>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</si>
  <si>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</si>
  <si>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</si>
  <si>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</si>
  <si>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</si>
  <si>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</si>
  <si>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</si>
  <si>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</si>
  <si>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</si>
  <si>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</si>
  <si>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</si>
  <si>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</si>
  <si>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</si>
  <si>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</si>
  <si>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</si>
  <si>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</si>
  <si>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</si>
  <si>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</si>
  <si>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</si>
  <si>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</si>
  <si>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</si>
  <si>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</si>
  <si>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</si>
  <si>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</si>
  <si>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</si>
  <si>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</si>
  <si>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</si>
  <si>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</si>
  <si>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</si>
  <si>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</si>
  <si>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</si>
  <si>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</si>
  <si>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</si>
  <si>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</si>
  <si>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</si>
  <si>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</si>
  <si>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</si>
  <si>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</si>
  <si>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</si>
  <si>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</si>
  <si>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</si>
  <si>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</si>
  <si>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</si>
  <si>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</si>
  <si>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</si>
  <si>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</si>
  <si>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</si>
  <si>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</si>
  <si>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</si>
  <si>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</si>
  <si>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</si>
  <si>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</si>
  <si>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</si>
  <si>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</si>
  <si>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</si>
  <si>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</si>
  <si>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</si>
  <si>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</si>
  <si>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</si>
  <si>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</si>
  <si>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</si>
  <si>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</si>
  <si>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</si>
  <si>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</si>
  <si>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</si>
  <si>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</si>
  <si>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</si>
  <si>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</si>
  <si>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</si>
  <si>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</si>
  <si>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</si>
  <si>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</si>
  <si>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</si>
  <si>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</si>
  <si>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</si>
  <si>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</si>
  <si>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</si>
  <si>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</si>
  <si>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</si>
  <si>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</si>
  <si>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</si>
  <si>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</si>
  <si>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</si>
  <si>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</si>
  <si>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</si>
  <si>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</si>
  <si>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</si>
  <si>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</si>
  <si>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</si>
  <si>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</si>
  <si>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</si>
  <si>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</si>
  <si>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</si>
  <si>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</si>
  <si>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</si>
  <si>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</si>
  <si>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</si>
  <si>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</si>
  <si>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</si>
  <si>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</si>
  <si>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</si>
  <si>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</si>
  <si>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</si>
  <si>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</si>
  <si>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</si>
  <si>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</si>
  <si>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</si>
  <si>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</si>
  <si>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</si>
  <si>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</si>
  <si>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</si>
  <si>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</si>
  <si>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</si>
  <si>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</si>
  <si>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</si>
  <si>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</si>
  <si>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</si>
  <si>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</si>
  <si>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</si>
  <si>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</si>
  <si>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</si>
  <si>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</si>
  <si>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</si>
  <si>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</si>
  <si>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</si>
  <si>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</si>
  <si>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</si>
  <si>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</si>
  <si>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</si>
  <si>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</si>
  <si>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</si>
  <si>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</si>
  <si>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</si>
  <si>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</si>
  <si>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</si>
  <si>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</si>
  <si>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</si>
  <si>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</si>
  <si>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</si>
  <si>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</si>
  <si>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</si>
  <si>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</si>
  <si>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</si>
  <si>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</si>
  <si>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</si>
  <si>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</si>
  <si>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</si>
  <si>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</si>
  <si>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</si>
  <si>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</si>
  <si>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</si>
  <si>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</si>
  <si>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</si>
  <si>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</si>
  <si>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</si>
  <si>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</si>
  <si>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</si>
  <si>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</si>
  <si>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</si>
  <si>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</si>
  <si>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</si>
  <si>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</si>
  <si>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</si>
  <si>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</si>
  <si>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</si>
  <si>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</si>
  <si>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</si>
  <si>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</si>
  <si>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</si>
  <si>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</si>
  <si>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</si>
  <si>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</si>
  <si>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</si>
  <si>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</si>
  <si>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</si>
  <si>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</si>
  <si>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</si>
  <si>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</si>
  <si>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</si>
  <si>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</si>
  <si>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</si>
  <si>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</si>
  <si>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</si>
  <si>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</si>
  <si>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</si>
  <si>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</si>
  <si>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</si>
  <si>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</si>
  <si>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</si>
  <si>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</si>
  <si>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</si>
  <si>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</si>
  <si>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</si>
  <si>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</si>
  <si>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</si>
  <si>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</si>
  <si>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</si>
  <si>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</si>
  <si>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</si>
  <si>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</si>
  <si>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</si>
  <si>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</si>
  <si>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</si>
  <si>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</si>
  <si>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</si>
  <si>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</si>
  <si>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</si>
  <si>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</si>
  <si>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</si>
  <si>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</si>
  <si>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</si>
  <si>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</si>
  <si>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</si>
  <si>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</si>
  <si>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</si>
  <si>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</si>
  <si>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</si>
  <si>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</si>
  <si>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</si>
  <si>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</si>
  <si>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</si>
  <si>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</si>
  <si>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</si>
  <si>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</si>
  <si>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</si>
  <si>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</si>
  <si>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</si>
  <si>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</si>
  <si>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</si>
  <si>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</si>
  <si>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</si>
  <si>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</si>
  <si>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</si>
  <si>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</si>
  <si>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</si>
  <si>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</si>
  <si>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</si>
  <si>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</si>
  <si>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</si>
  <si>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</si>
  <si>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</si>
  <si>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</si>
  <si>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</si>
  <si>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</si>
  <si>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</si>
  <si>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</si>
  <si>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</si>
  <si>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</si>
  <si>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</si>
  <si>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</si>
  <si>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</si>
  <si>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</si>
  <si>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</si>
  <si>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</si>
  <si>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</si>
  <si>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</si>
  <si>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</si>
  <si>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</si>
  <si>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</si>
  <si>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</si>
  <si>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</si>
  <si>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</si>
  <si>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</si>
  <si>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</si>
  <si>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</si>
  <si>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</si>
  <si>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</si>
  <si>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</si>
  <si>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</si>
  <si>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</si>
  <si>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</si>
  <si>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</si>
  <si>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</si>
  <si>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</si>
  <si>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</si>
  <si>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</si>
  <si>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</si>
  <si>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</si>
  <si>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</si>
  <si>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</si>
  <si>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</si>
  <si>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</si>
  <si>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</si>
  <si>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</si>
  <si>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</si>
  <si>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</si>
  <si>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</si>
  <si>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</si>
  <si>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</si>
  <si>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</si>
  <si>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</si>
  <si>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</si>
  <si>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</si>
  <si>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</si>
  <si>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</si>
  <si>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</si>
  <si>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</si>
  <si>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</si>
  <si>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</si>
  <si>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</si>
  <si>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</si>
  <si>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</si>
  <si>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</si>
  <si>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</si>
  <si>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</si>
  <si>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</si>
  <si>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</si>
  <si>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</si>
  <si>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</si>
  <si>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</si>
  <si>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</si>
  <si>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</si>
  <si>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</si>
  <si>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</si>
  <si>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</si>
  <si>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</si>
  <si>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</si>
  <si>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</si>
  <si>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</si>
  <si>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</si>
  <si>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</si>
  <si>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</si>
  <si>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</si>
  <si>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</si>
  <si>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</si>
  <si>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</si>
  <si>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</si>
  <si>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</si>
  <si>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</si>
  <si>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</si>
  <si>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</si>
  <si>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</si>
  <si>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</si>
  <si>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</si>
  <si>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</si>
  <si>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</si>
  <si>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</si>
  <si>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</si>
  <si>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</si>
  <si>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</si>
  <si>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</si>
  <si>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</si>
  <si>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</si>
  <si>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</si>
  <si>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</si>
  <si>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</si>
  <si>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</si>
  <si>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</si>
  <si>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</si>
  <si>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</si>
  <si>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</si>
  <si>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</si>
  <si>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</si>
  <si>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</si>
  <si>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</si>
  <si>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</si>
  <si>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</si>
  <si>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</si>
  <si>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</si>
  <si>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</si>
  <si>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</si>
  <si>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</si>
  <si>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</si>
  <si>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</si>
  <si>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</si>
  <si>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</si>
  <si>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</si>
  <si>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</si>
  <si>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</si>
  <si>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</si>
  <si>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</si>
  <si>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</si>
  <si>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</si>
  <si>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</si>
  <si>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</si>
  <si>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</si>
  <si>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</si>
  <si>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</si>
  <si>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</si>
  <si>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</si>
  <si>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</si>
  <si>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</si>
  <si>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</si>
  <si>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</si>
  <si>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</si>
  <si>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</si>
  <si>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</si>
  <si>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</si>
  <si>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</si>
  <si>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</si>
  <si>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</si>
  <si>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</si>
  <si>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</si>
  <si>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</si>
  <si>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</si>
  <si>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</si>
  <si>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</si>
  <si>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</si>
  <si>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</si>
  <si>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</si>
  <si>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</si>
  <si>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</si>
  <si>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</si>
  <si>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</si>
  <si>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</si>
  <si>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</si>
  <si>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</si>
  <si>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</si>
  <si>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</si>
  <si>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</si>
  <si>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</si>
  <si>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</si>
  <si>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</si>
  <si>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</si>
  <si>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</si>
  <si>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</si>
  <si>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</si>
  <si>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</si>
  <si>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</si>
  <si>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</si>
  <si>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</si>
  <si>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</si>
  <si>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</si>
  <si>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</si>
  <si>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</si>
  <si>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</si>
  <si>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</si>
  <si>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</si>
  <si>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</si>
  <si>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</si>
  <si>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</si>
  <si>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</si>
  <si>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</si>
  <si>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</si>
  <si>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</si>
  <si>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</si>
  <si>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</si>
  <si>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</si>
  <si>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</si>
  <si>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</si>
  <si>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</si>
  <si>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</si>
  <si>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</si>
  <si>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</si>
  <si>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</si>
  <si>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</si>
  <si>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</si>
  <si>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</si>
  <si>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</si>
  <si>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</si>
  <si>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</si>
  <si>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</si>
  <si>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</si>
  <si>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</si>
  <si>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</si>
  <si>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</si>
  <si>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</si>
  <si>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</si>
  <si>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</si>
  <si>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</si>
  <si>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</si>
  <si>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</si>
  <si>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</si>
  <si>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</si>
  <si>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</si>
  <si>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</si>
  <si>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</si>
  <si>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</si>
  <si>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</si>
  <si>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</si>
  <si>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</si>
  <si>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</si>
  <si>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</si>
  <si>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</si>
  <si>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</si>
  <si>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</si>
  <si>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</si>
  <si>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</si>
  <si>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</si>
  <si>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</si>
  <si>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</si>
  <si>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</si>
  <si>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</si>
  <si>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</si>
  <si>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</si>
  <si>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</si>
  <si>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</si>
  <si>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</si>
  <si>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</si>
  <si>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</si>
  <si>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</si>
  <si>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</si>
  <si>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</si>
  <si>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</si>
  <si>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</si>
  <si>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</si>
  <si>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</si>
  <si>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</si>
  <si>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</si>
  <si>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</si>
  <si>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</si>
  <si>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</si>
  <si>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</si>
  <si>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</si>
  <si>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</si>
  <si>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</si>
  <si>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</si>
  <si>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</si>
  <si>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</si>
  <si>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</si>
  <si>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</si>
  <si>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</si>
  <si>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</si>
  <si>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</si>
  <si>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</si>
  <si>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</si>
  <si>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</si>
  <si>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</si>
  <si>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</si>
  <si>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</si>
  <si>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</si>
  <si>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</si>
  <si>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</si>
  <si>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</si>
  <si>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</si>
  <si>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</si>
  <si>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</si>
  <si>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</si>
  <si>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</si>
  <si>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</si>
  <si>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</si>
  <si>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</si>
  <si>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</si>
  <si>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</si>
  <si>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</si>
  <si>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</si>
  <si>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</si>
  <si>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</si>
  <si>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</si>
  <si>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</si>
  <si>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</si>
  <si>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</si>
  <si>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</si>
  <si>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</si>
  <si>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</si>
  <si>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</si>
  <si>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</si>
  <si>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</si>
  <si>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</si>
  <si>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</si>
  <si>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</si>
  <si>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</si>
  <si>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</si>
  <si>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</si>
  <si>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</si>
  <si>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</si>
  <si>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</si>
  <si>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</si>
  <si>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</si>
  <si>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</si>
  <si>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</si>
  <si>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</si>
  <si>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</si>
  <si>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</si>
  <si>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</si>
  <si>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</si>
  <si>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</si>
  <si>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</si>
  <si>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</si>
  <si>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</si>
  <si>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</si>
  <si>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</si>
  <si>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</si>
  <si>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</si>
  <si>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</si>
  <si>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</si>
  <si>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</si>
  <si>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</si>
  <si>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</si>
  <si>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</si>
  <si>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</si>
  <si>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</si>
  <si>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</si>
  <si>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</si>
  <si>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</si>
  <si>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</si>
  <si>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</si>
  <si>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</si>
  <si>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</si>
  <si>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</si>
  <si>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</si>
  <si>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</si>
  <si>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</si>
  <si>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</si>
  <si>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</si>
  <si>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</si>
  <si>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</si>
  <si>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</si>
  <si>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</si>
  <si>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</si>
  <si>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</si>
  <si>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</si>
  <si>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</si>
  <si>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</si>
  <si>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</si>
  <si>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</si>
  <si>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</si>
  <si>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</si>
  <si>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</si>
  <si>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</si>
  <si>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</si>
  <si>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</si>
  <si>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</si>
  <si>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</si>
  <si>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</si>
  <si>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</si>
  <si>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</si>
  <si>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</si>
  <si>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</si>
  <si>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</si>
  <si>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</si>
  <si>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</si>
  <si>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</si>
  <si>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</si>
  <si>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</si>
  <si>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</si>
  <si>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</si>
  <si>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</si>
  <si>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</si>
  <si>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</si>
  <si>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</si>
  <si>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</si>
  <si>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</si>
  <si>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</si>
  <si>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</si>
  <si>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</si>
  <si>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</si>
  <si>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</si>
  <si>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</si>
  <si>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</si>
  <si>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</si>
  <si>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</si>
  <si>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</si>
  <si>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</si>
  <si>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</si>
  <si>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</si>
  <si>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</si>
  <si>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</si>
  <si>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</si>
  <si>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</si>
  <si>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</si>
  <si>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</si>
  <si>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</si>
  <si>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</si>
  <si>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</si>
  <si>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</si>
  <si>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</si>
  <si>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</si>
  <si>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</si>
  <si>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</si>
  <si>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</si>
  <si>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</si>
  <si>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</si>
  <si>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</si>
  <si>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</si>
  <si>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</si>
  <si>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</si>
  <si>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</si>
  <si>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</si>
  <si>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</si>
  <si>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</si>
  <si>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</si>
  <si>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</si>
  <si>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</si>
  <si>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</si>
  <si>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</si>
  <si>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</si>
  <si>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</si>
  <si>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</si>
  <si>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</si>
  <si>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</si>
  <si>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</si>
  <si>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</si>
  <si>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</si>
  <si>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</si>
  <si>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</si>
  <si>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</si>
  <si>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</si>
  <si>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</si>
  <si>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</si>
  <si>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</si>
  <si>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</si>
  <si>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</si>
  <si>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</si>
  <si>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</si>
  <si>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</si>
  <si>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</si>
  <si>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</si>
  <si>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</si>
  <si>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</si>
  <si>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</si>
  <si>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</si>
  <si>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</si>
  <si>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</si>
  <si>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</si>
  <si>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</si>
  <si>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</si>
  <si>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</si>
  <si>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</si>
  <si>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</si>
  <si>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</si>
  <si>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</si>
  <si>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</si>
  <si>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</si>
  <si>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</si>
  <si>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</si>
  <si>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</si>
  <si>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</si>
  <si>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</si>
  <si>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</si>
  <si>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</si>
  <si>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</si>
  <si>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</si>
  <si>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</si>
  <si>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</si>
  <si>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</si>
  <si>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</si>
  <si>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</si>
  <si>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</si>
  <si>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</si>
  <si>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</si>
  <si>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</si>
  <si>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</si>
  <si>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</si>
  <si>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</si>
  <si>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</si>
  <si>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</si>
  <si>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</si>
  <si>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</si>
  <si>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</si>
  <si>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</si>
  <si>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</si>
  <si>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</si>
  <si>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</si>
  <si>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</si>
  <si>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</si>
  <si>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</si>
  <si>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</si>
  <si>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</si>
  <si>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</si>
  <si>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</si>
  <si>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</si>
  <si>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</si>
  <si>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</si>
  <si>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</si>
  <si>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</si>
  <si>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</si>
  <si>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</si>
  <si>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</si>
  <si>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</si>
  <si>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</si>
  <si>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</si>
  <si>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</si>
  <si>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</si>
  <si>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</si>
  <si>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</si>
  <si>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</si>
  <si>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</si>
  <si>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</si>
  <si>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</si>
  <si>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</si>
  <si>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</si>
  <si>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</si>
  <si>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</si>
  <si>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</si>
  <si>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</si>
  <si>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</si>
  <si>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</si>
  <si>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</si>
  <si>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42004</t>
  </si>
  <si>
    <t>BUGGENHOUT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</si>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</sst>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42004</v>
      </c>
      <c r="B6" s="397"/>
      <c r="C6" s="398"/>
    </row>
    <row r="7" spans="1:7" s="395" customFormat="1" ht="15.75" customHeight="1">
      <c r="A7" s="399" t="str">
        <f>txtMunicipality</f>
        <v>BUGGENHOUT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28788.125132269437</v>
      </c>
      <c r="D10" s="688">
        <f ca="1">tertiair!C16</f>
        <v>0</v>
      </c>
      <c r="E10" s="688">
        <f ca="1">tertiair!D16</f>
        <v>15312.973502420498</v>
      </c>
      <c r="F10" s="688">
        <f>tertiair!E16</f>
        <v>249.86674895010771</v>
      </c>
      <c r="G10" s="688">
        <f ca="1">tertiair!F16</f>
        <v>6453.5009283508889</v>
      </c>
      <c r="H10" s="688">
        <f>tertiair!G16</f>
        <v>0</v>
      </c>
      <c r="I10" s="688">
        <f>tertiair!H16</f>
        <v>0</v>
      </c>
      <c r="J10" s="688">
        <f>tertiair!I16</f>
        <v>0</v>
      </c>
      <c r="K10" s="688">
        <f>tertiair!J16</f>
        <v>0</v>
      </c>
      <c r="L10" s="688">
        <f>tertiair!K16</f>
        <v>0</v>
      </c>
      <c r="M10" s="688">
        <f ca="1">tertiair!L16</f>
        <v>0</v>
      </c>
      <c r="N10" s="688">
        <f>tertiair!M16</f>
        <v>0</v>
      </c>
      <c r="O10" s="688">
        <f ca="1">tertiair!N16</f>
        <v>6960.7316727491943</v>
      </c>
      <c r="P10" s="688">
        <f>tertiair!O16</f>
        <v>0</v>
      </c>
      <c r="Q10" s="689">
        <f>tertiair!P16</f>
        <v>0</v>
      </c>
      <c r="R10" s="691">
        <f ca="1">SUM(C10:Q10)</f>
        <v>57765.197984740131</v>
      </c>
      <c r="S10" s="68"/>
    </row>
    <row r="11" spans="1:19" s="457" customFormat="1">
      <c r="A11" s="803" t="s">
        <v>225</v>
      </c>
      <c r="B11" s="808"/>
      <c r="C11" s="688">
        <f>huishoudens!B8</f>
        <v>28148.800049115478</v>
      </c>
      <c r="D11" s="688">
        <f>huishoudens!C8</f>
        <v>0</v>
      </c>
      <c r="E11" s="688">
        <f>huishoudens!D8</f>
        <v>50943.108132044777</v>
      </c>
      <c r="F11" s="688">
        <f>huishoudens!E8</f>
        <v>2670.3782813905523</v>
      </c>
      <c r="G11" s="688">
        <f>huishoudens!F8</f>
        <v>27296.311995710155</v>
      </c>
      <c r="H11" s="688">
        <f>huishoudens!G8</f>
        <v>0</v>
      </c>
      <c r="I11" s="688">
        <f>huishoudens!H8</f>
        <v>0</v>
      </c>
      <c r="J11" s="688">
        <f>huishoudens!I8</f>
        <v>0</v>
      </c>
      <c r="K11" s="688">
        <f>huishoudens!J8</f>
        <v>858.3509119450739</v>
      </c>
      <c r="L11" s="688">
        <f>huishoudens!K8</f>
        <v>0</v>
      </c>
      <c r="M11" s="688">
        <f>huishoudens!L8</f>
        <v>0</v>
      </c>
      <c r="N11" s="688">
        <f>huishoudens!M8</f>
        <v>0</v>
      </c>
      <c r="O11" s="688">
        <f>huishoudens!N8</f>
        <v>7636.6841828568267</v>
      </c>
      <c r="P11" s="688">
        <f>huishoudens!O8</f>
        <v>112.56000000000002</v>
      </c>
      <c r="Q11" s="689">
        <f>huishoudens!P8</f>
        <v>266.93333333333334</v>
      </c>
      <c r="R11" s="691">
        <f>SUM(C11:Q11)</f>
        <v>117933.1268863962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57612.675720441606</v>
      </c>
      <c r="D13" s="688">
        <f>industrie!C18</f>
        <v>0</v>
      </c>
      <c r="E13" s="688">
        <f>industrie!D18</f>
        <v>27181.002345439898</v>
      </c>
      <c r="F13" s="688">
        <f>industrie!E18</f>
        <v>491.58431836517747</v>
      </c>
      <c r="G13" s="688">
        <f>industrie!F18</f>
        <v>10333.702209757348</v>
      </c>
      <c r="H13" s="688">
        <f>industrie!G18</f>
        <v>0</v>
      </c>
      <c r="I13" s="688">
        <f>industrie!H18</f>
        <v>0</v>
      </c>
      <c r="J13" s="688">
        <f>industrie!I18</f>
        <v>0</v>
      </c>
      <c r="K13" s="688">
        <f>industrie!J18</f>
        <v>220.41220652114066</v>
      </c>
      <c r="L13" s="688">
        <f>industrie!K18</f>
        <v>0</v>
      </c>
      <c r="M13" s="688">
        <f>industrie!L18</f>
        <v>0</v>
      </c>
      <c r="N13" s="688">
        <f>industrie!M18</f>
        <v>0</v>
      </c>
      <c r="O13" s="688">
        <f>industrie!N18</f>
        <v>1578.8751535753856</v>
      </c>
      <c r="P13" s="688">
        <f>industrie!O18</f>
        <v>0</v>
      </c>
      <c r="Q13" s="689">
        <f>industrie!P18</f>
        <v>0</v>
      </c>
      <c r="R13" s="691">
        <f>SUM(C13:Q13)</f>
        <v>97418.25195410056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114549.60090182652</v>
      </c>
      <c r="D16" s="721">
        <f t="shared" ref="D16:R16" ca="1" si="0">SUM(D9:D15)</f>
        <v>0</v>
      </c>
      <c r="E16" s="721">
        <f t="shared" ca="1" si="0"/>
        <v>93437.083979905176</v>
      </c>
      <c r="F16" s="721">
        <f t="shared" si="0"/>
        <v>3411.8293487058372</v>
      </c>
      <c r="G16" s="721">
        <f t="shared" ca="1" si="0"/>
        <v>44083.515133818393</v>
      </c>
      <c r="H16" s="721">
        <f t="shared" si="0"/>
        <v>0</v>
      </c>
      <c r="I16" s="721">
        <f t="shared" si="0"/>
        <v>0</v>
      </c>
      <c r="J16" s="721">
        <f t="shared" si="0"/>
        <v>0</v>
      </c>
      <c r="K16" s="721">
        <f t="shared" si="0"/>
        <v>1078.7631184662146</v>
      </c>
      <c r="L16" s="721">
        <f t="shared" si="0"/>
        <v>0</v>
      </c>
      <c r="M16" s="721">
        <f t="shared" ca="1" si="0"/>
        <v>0</v>
      </c>
      <c r="N16" s="721">
        <f t="shared" si="0"/>
        <v>0</v>
      </c>
      <c r="O16" s="721">
        <f t="shared" ca="1" si="0"/>
        <v>16176.291009181406</v>
      </c>
      <c r="P16" s="721">
        <f t="shared" si="0"/>
        <v>112.56000000000002</v>
      </c>
      <c r="Q16" s="721">
        <f t="shared" si="0"/>
        <v>266.93333333333334</v>
      </c>
      <c r="R16" s="721">
        <f t="shared" ca="1" si="0"/>
        <v>273116.5768252369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464.89424095787274</v>
      </c>
      <c r="I19" s="688">
        <f>transport!H54</f>
        <v>0</v>
      </c>
      <c r="J19" s="688">
        <f>transport!I54</f>
        <v>0</v>
      </c>
      <c r="K19" s="688">
        <f>transport!J54</f>
        <v>0</v>
      </c>
      <c r="L19" s="688">
        <f>transport!K54</f>
        <v>0</v>
      </c>
      <c r="M19" s="688">
        <f>transport!L54</f>
        <v>0</v>
      </c>
      <c r="N19" s="688">
        <f>transport!M54</f>
        <v>20.414273011480525</v>
      </c>
      <c r="O19" s="688">
        <f>transport!N54</f>
        <v>0</v>
      </c>
      <c r="P19" s="688">
        <f>transport!O54</f>
        <v>0</v>
      </c>
      <c r="Q19" s="689">
        <f>transport!P54</f>
        <v>0</v>
      </c>
      <c r="R19" s="691">
        <f>SUM(C19:Q19)</f>
        <v>485.30851396935327</v>
      </c>
      <c r="S19" s="68"/>
    </row>
    <row r="20" spans="1:19" s="457" customFormat="1">
      <c r="A20" s="803" t="s">
        <v>307</v>
      </c>
      <c r="B20" s="808"/>
      <c r="C20" s="688">
        <f>transport!B14</f>
        <v>1.683693935806579</v>
      </c>
      <c r="D20" s="688">
        <f>transport!C14</f>
        <v>0</v>
      </c>
      <c r="E20" s="688">
        <f>transport!D14</f>
        <v>6.340701466548972</v>
      </c>
      <c r="F20" s="688">
        <f>transport!E14</f>
        <v>351.18758918487055</v>
      </c>
      <c r="G20" s="688">
        <f>transport!F14</f>
        <v>0</v>
      </c>
      <c r="H20" s="688">
        <f>transport!G14</f>
        <v>61321.494924308092</v>
      </c>
      <c r="I20" s="688">
        <f>transport!H14</f>
        <v>13764.274908597527</v>
      </c>
      <c r="J20" s="688">
        <f>transport!I14</f>
        <v>0</v>
      </c>
      <c r="K20" s="688">
        <f>transport!J14</f>
        <v>0</v>
      </c>
      <c r="L20" s="688">
        <f>transport!K14</f>
        <v>0</v>
      </c>
      <c r="M20" s="688">
        <f>transport!L14</f>
        <v>0</v>
      </c>
      <c r="N20" s="688">
        <f>transport!M14</f>
        <v>3360.2736364190005</v>
      </c>
      <c r="O20" s="688">
        <f>transport!N14</f>
        <v>0</v>
      </c>
      <c r="P20" s="688">
        <f>transport!O14</f>
        <v>0</v>
      </c>
      <c r="Q20" s="689">
        <f>transport!P14</f>
        <v>0</v>
      </c>
      <c r="R20" s="691">
        <f>SUM(C20:Q20)</f>
        <v>78805.255453911857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1.683693935806579</v>
      </c>
      <c r="D22" s="806">
        <f t="shared" ref="D22:R22" si="1">SUM(D18:D21)</f>
        <v>0</v>
      </c>
      <c r="E22" s="806">
        <f t="shared" si="1"/>
        <v>6.340701466548972</v>
      </c>
      <c r="F22" s="806">
        <f t="shared" si="1"/>
        <v>351.18758918487055</v>
      </c>
      <c r="G22" s="806">
        <f t="shared" si="1"/>
        <v>0</v>
      </c>
      <c r="H22" s="806">
        <f t="shared" si="1"/>
        <v>61786.389165265966</v>
      </c>
      <c r="I22" s="806">
        <f t="shared" si="1"/>
        <v>13764.274908597527</v>
      </c>
      <c r="J22" s="806">
        <f t="shared" si="1"/>
        <v>0</v>
      </c>
      <c r="K22" s="806">
        <f t="shared" si="1"/>
        <v>0</v>
      </c>
      <c r="L22" s="806">
        <f t="shared" si="1"/>
        <v>0</v>
      </c>
      <c r="M22" s="806">
        <f t="shared" si="1"/>
        <v>0</v>
      </c>
      <c r="N22" s="806">
        <f t="shared" si="1"/>
        <v>3380.6879094304809</v>
      </c>
      <c r="O22" s="806">
        <f t="shared" si="1"/>
        <v>0</v>
      </c>
      <c r="P22" s="806">
        <f t="shared" si="1"/>
        <v>0</v>
      </c>
      <c r="Q22" s="806">
        <f t="shared" si="1"/>
        <v>0</v>
      </c>
      <c r="R22" s="806">
        <f t="shared" si="1"/>
        <v>79290.563967881215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804.31717793432176</v>
      </c>
      <c r="D24" s="688">
        <f>+landbouw!C8</f>
        <v>0</v>
      </c>
      <c r="E24" s="688">
        <f>+landbouw!D8</f>
        <v>357.79573358566341</v>
      </c>
      <c r="F24" s="688">
        <f>+landbouw!E8</f>
        <v>7.577206726328451</v>
      </c>
      <c r="G24" s="688">
        <f>+landbouw!F8</f>
        <v>2624.7538810284354</v>
      </c>
      <c r="H24" s="688">
        <f>+landbouw!G8</f>
        <v>0</v>
      </c>
      <c r="I24" s="688">
        <f>+landbouw!H8</f>
        <v>0</v>
      </c>
      <c r="J24" s="688">
        <f>+landbouw!I8</f>
        <v>0</v>
      </c>
      <c r="K24" s="688">
        <f>+landbouw!J8</f>
        <v>99.497947108477589</v>
      </c>
      <c r="L24" s="688">
        <f>+landbouw!K8</f>
        <v>0</v>
      </c>
      <c r="M24" s="688">
        <f>+landbouw!L8</f>
        <v>0</v>
      </c>
      <c r="N24" s="688">
        <f>+landbouw!M8</f>
        <v>0</v>
      </c>
      <c r="O24" s="688">
        <f>+landbouw!N8</f>
        <v>0</v>
      </c>
      <c r="P24" s="688">
        <f>+landbouw!O8</f>
        <v>0</v>
      </c>
      <c r="Q24" s="689">
        <f>+landbouw!P8</f>
        <v>0</v>
      </c>
      <c r="R24" s="691">
        <f>SUM(C24:Q24)</f>
        <v>3893.9419463832269</v>
      </c>
      <c r="S24" s="68"/>
    </row>
    <row r="25" spans="1:19" s="457" customFormat="1" ht="15" thickBot="1">
      <c r="A25" s="825" t="s">
        <v>912</v>
      </c>
      <c r="B25" s="1001"/>
      <c r="C25" s="1002">
        <f>IF(Onbekend_ele_kWh="---",0,Onbekend_ele_kWh)/1000+IF(REST_rest_ele_kWh="---",0,REST_rest_ele_kWh)/1000</f>
        <v>764.15636775520704</v>
      </c>
      <c r="D25" s="1002"/>
      <c r="E25" s="1002">
        <f>IF(onbekend_gas_kWh="---",0,onbekend_gas_kWh)/1000+IF(REST_rest_gas_kWh="---",0,REST_rest_gas_kWh)/1000</f>
        <v>1773.18855012177</v>
      </c>
      <c r="F25" s="1002"/>
      <c r="G25" s="1002"/>
      <c r="H25" s="1002"/>
      <c r="I25" s="1002"/>
      <c r="J25" s="1002"/>
      <c r="K25" s="1002"/>
      <c r="L25" s="1002"/>
      <c r="M25" s="1002"/>
      <c r="N25" s="1002"/>
      <c r="O25" s="1002"/>
      <c r="P25" s="1002"/>
      <c r="Q25" s="1003"/>
      <c r="R25" s="691">
        <f>SUM(C25:Q25)</f>
        <v>2537.344917876977</v>
      </c>
      <c r="S25" s="68"/>
    </row>
    <row r="26" spans="1:19" s="457" customFormat="1" ht="15.75" thickBot="1">
      <c r="A26" s="694" t="s">
        <v>913</v>
      </c>
      <c r="B26" s="811"/>
      <c r="C26" s="806">
        <f>SUM(C24:C25)</f>
        <v>1568.4735456895287</v>
      </c>
      <c r="D26" s="806">
        <f t="shared" ref="D26:R26" si="2">SUM(D24:D25)</f>
        <v>0</v>
      </c>
      <c r="E26" s="806">
        <f t="shared" si="2"/>
        <v>2130.9842837074334</v>
      </c>
      <c r="F26" s="806">
        <f t="shared" si="2"/>
        <v>7.577206726328451</v>
      </c>
      <c r="G26" s="806">
        <f t="shared" si="2"/>
        <v>2624.7538810284354</v>
      </c>
      <c r="H26" s="806">
        <f t="shared" si="2"/>
        <v>0</v>
      </c>
      <c r="I26" s="806">
        <f t="shared" si="2"/>
        <v>0</v>
      </c>
      <c r="J26" s="806">
        <f t="shared" si="2"/>
        <v>0</v>
      </c>
      <c r="K26" s="806">
        <f t="shared" si="2"/>
        <v>99.497947108477589</v>
      </c>
      <c r="L26" s="806">
        <f t="shared" si="2"/>
        <v>0</v>
      </c>
      <c r="M26" s="806">
        <f t="shared" si="2"/>
        <v>0</v>
      </c>
      <c r="N26" s="806">
        <f t="shared" si="2"/>
        <v>0</v>
      </c>
      <c r="O26" s="806">
        <f t="shared" si="2"/>
        <v>0</v>
      </c>
      <c r="P26" s="806">
        <f t="shared" si="2"/>
        <v>0</v>
      </c>
      <c r="Q26" s="806">
        <f t="shared" si="2"/>
        <v>0</v>
      </c>
      <c r="R26" s="806">
        <f t="shared" si="2"/>
        <v>6431.2868642602043</v>
      </c>
      <c r="S26" s="68"/>
    </row>
    <row r="27" spans="1:19" s="457" customFormat="1" ht="17.25" thickTop="1" thickBot="1">
      <c r="A27" s="695" t="s">
        <v>116</v>
      </c>
      <c r="B27" s="798"/>
      <c r="C27" s="696">
        <f ca="1">C22+C16+C26</f>
        <v>116119.75814145185</v>
      </c>
      <c r="D27" s="696">
        <f t="shared" ref="D27:R27" ca="1" si="3">D22+D16+D26</f>
        <v>0</v>
      </c>
      <c r="E27" s="696">
        <f t="shared" ca="1" si="3"/>
        <v>95574.408965079157</v>
      </c>
      <c r="F27" s="696">
        <f t="shared" si="3"/>
        <v>3770.5941446170359</v>
      </c>
      <c r="G27" s="696">
        <f t="shared" ca="1" si="3"/>
        <v>46708.269014846832</v>
      </c>
      <c r="H27" s="696">
        <f t="shared" si="3"/>
        <v>61786.389165265966</v>
      </c>
      <c r="I27" s="696">
        <f t="shared" si="3"/>
        <v>13764.274908597527</v>
      </c>
      <c r="J27" s="696">
        <f t="shared" si="3"/>
        <v>0</v>
      </c>
      <c r="K27" s="696">
        <f t="shared" si="3"/>
        <v>1178.2610655746921</v>
      </c>
      <c r="L27" s="696">
        <f t="shared" si="3"/>
        <v>0</v>
      </c>
      <c r="M27" s="696">
        <f t="shared" ca="1" si="3"/>
        <v>0</v>
      </c>
      <c r="N27" s="696">
        <f t="shared" si="3"/>
        <v>3380.6879094304809</v>
      </c>
      <c r="O27" s="696">
        <f t="shared" ca="1" si="3"/>
        <v>16176.291009181406</v>
      </c>
      <c r="P27" s="696">
        <f t="shared" si="3"/>
        <v>112.56000000000002</v>
      </c>
      <c r="Q27" s="696">
        <f t="shared" si="3"/>
        <v>266.93333333333334</v>
      </c>
      <c r="R27" s="696">
        <f t="shared" ca="1" si="3"/>
        <v>358838.42765737831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6065.7973262633623</v>
      </c>
      <c r="D40" s="688">
        <f ca="1">tertiair!C20</f>
        <v>0</v>
      </c>
      <c r="E40" s="688">
        <f ca="1">tertiair!D20</f>
        <v>3093.2206474889408</v>
      </c>
      <c r="F40" s="688">
        <f>tertiair!E20</f>
        <v>56.719752011674451</v>
      </c>
      <c r="G40" s="688">
        <f ca="1">tertiair!F20</f>
        <v>1723.0847478696874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10938.822473633665</v>
      </c>
    </row>
    <row r="41" spans="1:18">
      <c r="A41" s="816" t="s">
        <v>225</v>
      </c>
      <c r="B41" s="823"/>
      <c r="C41" s="688">
        <f ca="1">huishoudens!B12</f>
        <v>5931.0884363238301</v>
      </c>
      <c r="D41" s="688">
        <f ca="1">huishoudens!C12</f>
        <v>0</v>
      </c>
      <c r="E41" s="688">
        <f>huishoudens!D12</f>
        <v>10290.507842673045</v>
      </c>
      <c r="F41" s="688">
        <f>huishoudens!E12</f>
        <v>606.17586987565539</v>
      </c>
      <c r="G41" s="688">
        <f>huishoudens!F12</f>
        <v>7288.1153028546123</v>
      </c>
      <c r="H41" s="688">
        <f>huishoudens!G12</f>
        <v>0</v>
      </c>
      <c r="I41" s="688">
        <f>huishoudens!H12</f>
        <v>0</v>
      </c>
      <c r="J41" s="688">
        <f>huishoudens!I12</f>
        <v>0</v>
      </c>
      <c r="K41" s="688">
        <f>huishoudens!J12</f>
        <v>303.85622282855616</v>
      </c>
      <c r="L41" s="688">
        <f>huishoudens!K12</f>
        <v>0</v>
      </c>
      <c r="M41" s="688">
        <f>huishoudens!L12</f>
        <v>0</v>
      </c>
      <c r="N41" s="688">
        <f>huishoudens!M12</f>
        <v>0</v>
      </c>
      <c r="O41" s="688">
        <f>huishoudens!N12</f>
        <v>0</v>
      </c>
      <c r="P41" s="688">
        <f>huishoudens!O12</f>
        <v>0</v>
      </c>
      <c r="Q41" s="763">
        <f>huishoudens!P12</f>
        <v>0</v>
      </c>
      <c r="R41" s="844">
        <f t="shared" ca="1" si="4"/>
        <v>24419.743674555702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12139.269672418002</v>
      </c>
      <c r="D43" s="688">
        <f ca="1">industrie!C22</f>
        <v>0</v>
      </c>
      <c r="E43" s="688">
        <f>industrie!D22</f>
        <v>5490.5624737788594</v>
      </c>
      <c r="F43" s="688">
        <f>industrie!E22</f>
        <v>111.58964026889529</v>
      </c>
      <c r="G43" s="688">
        <f>industrie!F22</f>
        <v>2759.0984900052122</v>
      </c>
      <c r="H43" s="688">
        <f>industrie!G22</f>
        <v>0</v>
      </c>
      <c r="I43" s="688">
        <f>industrie!H22</f>
        <v>0</v>
      </c>
      <c r="J43" s="688">
        <f>industrie!I22</f>
        <v>0</v>
      </c>
      <c r="K43" s="688">
        <f>industrie!J22</f>
        <v>78.025921108483786</v>
      </c>
      <c r="L43" s="688">
        <f>industrie!K22</f>
        <v>0</v>
      </c>
      <c r="M43" s="688">
        <f>industrie!L22</f>
        <v>0</v>
      </c>
      <c r="N43" s="688">
        <f>industrie!M22</f>
        <v>0</v>
      </c>
      <c r="O43" s="688">
        <f>industrie!N22</f>
        <v>0</v>
      </c>
      <c r="P43" s="688">
        <f>industrie!O22</f>
        <v>0</v>
      </c>
      <c r="Q43" s="763">
        <f>industrie!P22</f>
        <v>0</v>
      </c>
      <c r="R43" s="843">
        <f t="shared" ca="1" si="4"/>
        <v>20578.546197579457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24136.155435005196</v>
      </c>
      <c r="D46" s="721">
        <f t="shared" ref="D46:Q46" ca="1" si="5">SUM(D39:D45)</f>
        <v>0</v>
      </c>
      <c r="E46" s="721">
        <f t="shared" ca="1" si="5"/>
        <v>18874.290963940846</v>
      </c>
      <c r="F46" s="721">
        <f t="shared" si="5"/>
        <v>774.48526215622519</v>
      </c>
      <c r="G46" s="721">
        <f t="shared" ca="1" si="5"/>
        <v>11770.298540729511</v>
      </c>
      <c r="H46" s="721">
        <f t="shared" si="5"/>
        <v>0</v>
      </c>
      <c r="I46" s="721">
        <f t="shared" si="5"/>
        <v>0</v>
      </c>
      <c r="J46" s="721">
        <f t="shared" si="5"/>
        <v>0</v>
      </c>
      <c r="K46" s="721">
        <f t="shared" si="5"/>
        <v>381.88214393703993</v>
      </c>
      <c r="L46" s="721">
        <f t="shared" si="5"/>
        <v>0</v>
      </c>
      <c r="M46" s="721">
        <f t="shared" ca="1" si="5"/>
        <v>0</v>
      </c>
      <c r="N46" s="721">
        <f t="shared" si="5"/>
        <v>0</v>
      </c>
      <c r="O46" s="721">
        <f t="shared" ca="1" si="5"/>
        <v>0</v>
      </c>
      <c r="P46" s="721">
        <f t="shared" si="5"/>
        <v>0</v>
      </c>
      <c r="Q46" s="721">
        <f t="shared" si="5"/>
        <v>0</v>
      </c>
      <c r="R46" s="721">
        <f ca="1">SUM(R39:R45)</f>
        <v>55937.112345768823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124.12676233575203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124.12676233575203</v>
      </c>
    </row>
    <row r="50" spans="1:18">
      <c r="A50" s="819" t="s">
        <v>307</v>
      </c>
      <c r="B50" s="829"/>
      <c r="C50" s="1008">
        <f ca="1">transport!B18</f>
        <v>0.35476246289527902</v>
      </c>
      <c r="D50" s="1008">
        <f>transport!C18</f>
        <v>0</v>
      </c>
      <c r="E50" s="1008">
        <f>transport!D18</f>
        <v>1.2808216962428924</v>
      </c>
      <c r="F50" s="1008">
        <f>transport!E18</f>
        <v>79.719582744965621</v>
      </c>
      <c r="G50" s="1008">
        <f>transport!F18</f>
        <v>0</v>
      </c>
      <c r="H50" s="1008">
        <f>transport!G18</f>
        <v>16372.839144790261</v>
      </c>
      <c r="I50" s="1008">
        <f>transport!H18</f>
        <v>3427.304452240784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19881.498763935149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0.35476246289527902</v>
      </c>
      <c r="D52" s="721">
        <f t="shared" ref="D52:Q52" ca="1" si="6">SUM(D48:D51)</f>
        <v>0</v>
      </c>
      <c r="E52" s="721">
        <f t="shared" si="6"/>
        <v>1.2808216962428924</v>
      </c>
      <c r="F52" s="721">
        <f t="shared" si="6"/>
        <v>79.719582744965621</v>
      </c>
      <c r="G52" s="721">
        <f t="shared" si="6"/>
        <v>0</v>
      </c>
      <c r="H52" s="721">
        <f t="shared" si="6"/>
        <v>16496.965907126014</v>
      </c>
      <c r="I52" s="721">
        <f t="shared" si="6"/>
        <v>3427.304452240784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20005.625526270902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169.47352302261905</v>
      </c>
      <c r="D54" s="1008">
        <f ca="1">+landbouw!C12</f>
        <v>0</v>
      </c>
      <c r="E54" s="1008">
        <f>+landbouw!D12</f>
        <v>72.274738184304013</v>
      </c>
      <c r="F54" s="1008">
        <f>+landbouw!E12</f>
        <v>1.7200259268765585</v>
      </c>
      <c r="G54" s="1008">
        <f>+landbouw!F12</f>
        <v>700.80928623459226</v>
      </c>
      <c r="H54" s="1008">
        <f>+landbouw!G12</f>
        <v>0</v>
      </c>
      <c r="I54" s="1008">
        <f>+landbouw!H12</f>
        <v>0</v>
      </c>
      <c r="J54" s="1008">
        <f>+landbouw!I12</f>
        <v>0</v>
      </c>
      <c r="K54" s="1008">
        <f>+landbouw!J12</f>
        <v>35.222273276401062</v>
      </c>
      <c r="L54" s="1008">
        <f>+landbouw!K12</f>
        <v>0</v>
      </c>
      <c r="M54" s="1008">
        <f>+landbouw!L12</f>
        <v>0</v>
      </c>
      <c r="N54" s="1008">
        <f>+landbouw!M12</f>
        <v>0</v>
      </c>
      <c r="O54" s="1008">
        <f>+landbouw!N12</f>
        <v>0</v>
      </c>
      <c r="P54" s="1008">
        <f>+landbouw!O12</f>
        <v>0</v>
      </c>
      <c r="Q54" s="1009">
        <f>+landbouw!P12</f>
        <v>0</v>
      </c>
      <c r="R54" s="720">
        <f ca="1">SUM(C54:Q54)</f>
        <v>979.49984664479302</v>
      </c>
    </row>
    <row r="55" spans="1:18" ht="15" thickBot="1">
      <c r="A55" s="819" t="s">
        <v>912</v>
      </c>
      <c r="B55" s="829"/>
      <c r="C55" s="1008">
        <f ca="1">C25*'EF ele_warmte'!B12</f>
        <v>161.01144590277292</v>
      </c>
      <c r="D55" s="1008"/>
      <c r="E55" s="1008">
        <f>E25*EF_CO2_aardgas</f>
        <v>358.18408712459757</v>
      </c>
      <c r="F55" s="1008"/>
      <c r="G55" s="1008"/>
      <c r="H55" s="1008"/>
      <c r="I55" s="1008"/>
      <c r="J55" s="1008"/>
      <c r="K55" s="1008"/>
      <c r="L55" s="1008"/>
      <c r="M55" s="1008"/>
      <c r="N55" s="1008"/>
      <c r="O55" s="1008"/>
      <c r="P55" s="1008"/>
      <c r="Q55" s="1009"/>
      <c r="R55" s="720">
        <f ca="1">SUM(C55:Q55)</f>
        <v>519.19553302737052</v>
      </c>
    </row>
    <row r="56" spans="1:18" ht="15.75" thickBot="1">
      <c r="A56" s="817" t="s">
        <v>913</v>
      </c>
      <c r="B56" s="830"/>
      <c r="C56" s="721">
        <f ca="1">SUM(C54:C55)</f>
        <v>330.48496892539197</v>
      </c>
      <c r="D56" s="721">
        <f t="shared" ref="D56:Q56" ca="1" si="7">SUM(D54:D55)</f>
        <v>0</v>
      </c>
      <c r="E56" s="721">
        <f t="shared" si="7"/>
        <v>430.45882530890157</v>
      </c>
      <c r="F56" s="721">
        <f t="shared" si="7"/>
        <v>1.7200259268765585</v>
      </c>
      <c r="G56" s="721">
        <f t="shared" si="7"/>
        <v>700.80928623459226</v>
      </c>
      <c r="H56" s="721">
        <f t="shared" si="7"/>
        <v>0</v>
      </c>
      <c r="I56" s="721">
        <f t="shared" si="7"/>
        <v>0</v>
      </c>
      <c r="J56" s="721">
        <f t="shared" si="7"/>
        <v>0</v>
      </c>
      <c r="K56" s="721">
        <f t="shared" si="7"/>
        <v>35.222273276401062</v>
      </c>
      <c r="L56" s="721">
        <f t="shared" si="7"/>
        <v>0</v>
      </c>
      <c r="M56" s="721">
        <f t="shared" si="7"/>
        <v>0</v>
      </c>
      <c r="N56" s="721">
        <f t="shared" si="7"/>
        <v>0</v>
      </c>
      <c r="O56" s="721">
        <f t="shared" si="7"/>
        <v>0</v>
      </c>
      <c r="P56" s="721">
        <f t="shared" si="7"/>
        <v>0</v>
      </c>
      <c r="Q56" s="722">
        <f t="shared" si="7"/>
        <v>0</v>
      </c>
      <c r="R56" s="723">
        <f ca="1">SUM(R54:R55)</f>
        <v>1498.6953796721637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24466.995166393484</v>
      </c>
      <c r="D61" s="729">
        <f t="shared" ref="D61:Q61" ca="1" si="8">D46+D52+D56</f>
        <v>0</v>
      </c>
      <c r="E61" s="729">
        <f t="shared" ca="1" si="8"/>
        <v>19306.030610945993</v>
      </c>
      <c r="F61" s="729">
        <f t="shared" si="8"/>
        <v>855.92487082806736</v>
      </c>
      <c r="G61" s="729">
        <f t="shared" ca="1" si="8"/>
        <v>12471.107826964104</v>
      </c>
      <c r="H61" s="729">
        <f t="shared" si="8"/>
        <v>16496.965907126014</v>
      </c>
      <c r="I61" s="729">
        <f t="shared" si="8"/>
        <v>3427.304452240784</v>
      </c>
      <c r="J61" s="729">
        <f t="shared" si="8"/>
        <v>0</v>
      </c>
      <c r="K61" s="729">
        <f t="shared" si="8"/>
        <v>417.10441721344097</v>
      </c>
      <c r="L61" s="729">
        <f t="shared" si="8"/>
        <v>0</v>
      </c>
      <c r="M61" s="729">
        <f t="shared" ca="1" si="8"/>
        <v>0</v>
      </c>
      <c r="N61" s="729">
        <f t="shared" si="8"/>
        <v>0</v>
      </c>
      <c r="O61" s="729">
        <f t="shared" ca="1" si="8"/>
        <v>0</v>
      </c>
      <c r="P61" s="729">
        <f t="shared" si="8"/>
        <v>0</v>
      </c>
      <c r="Q61" s="729">
        <f t="shared" si="8"/>
        <v>0</v>
      </c>
      <c r="R61" s="729">
        <f ca="1">R46+R52+R56</f>
        <v>77441.433251711889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0.21070484091595243</v>
      </c>
      <c r="D63" s="773">
        <f t="shared" ca="1" si="9"/>
        <v>0</v>
      </c>
      <c r="E63" s="1010">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5409.3727731555564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5409.3727731555564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28148.800049115478</v>
      </c>
      <c r="C4" s="461">
        <f>huishoudens!C8</f>
        <v>0</v>
      </c>
      <c r="D4" s="461">
        <f>huishoudens!D8</f>
        <v>50943.108132044777</v>
      </c>
      <c r="E4" s="461">
        <f>huishoudens!E8</f>
        <v>2670.3782813905523</v>
      </c>
      <c r="F4" s="461">
        <f>huishoudens!F8</f>
        <v>27296.311995710155</v>
      </c>
      <c r="G4" s="461">
        <f>huishoudens!G8</f>
        <v>0</v>
      </c>
      <c r="H4" s="461">
        <f>huishoudens!H8</f>
        <v>0</v>
      </c>
      <c r="I4" s="461">
        <f>huishoudens!I8</f>
        <v>0</v>
      </c>
      <c r="J4" s="461">
        <f>huishoudens!J8</f>
        <v>858.3509119450739</v>
      </c>
      <c r="K4" s="461">
        <f>huishoudens!K8</f>
        <v>0</v>
      </c>
      <c r="L4" s="461">
        <f>huishoudens!L8</f>
        <v>0</v>
      </c>
      <c r="M4" s="461">
        <f>huishoudens!M8</f>
        <v>0</v>
      </c>
      <c r="N4" s="461">
        <f>huishoudens!N8</f>
        <v>7636.6841828568267</v>
      </c>
      <c r="O4" s="461">
        <f>huishoudens!O8</f>
        <v>112.56000000000002</v>
      </c>
      <c r="P4" s="462">
        <f>huishoudens!P8</f>
        <v>266.93333333333334</v>
      </c>
      <c r="Q4" s="463">
        <f>SUM(B4:P4)</f>
        <v>117933.1268863962</v>
      </c>
    </row>
    <row r="5" spans="1:17">
      <c r="A5" s="460" t="s">
        <v>156</v>
      </c>
      <c r="B5" s="461">
        <f ca="1">tertiair!B16</f>
        <v>27869.314132269436</v>
      </c>
      <c r="C5" s="461">
        <f ca="1">tertiair!C16</f>
        <v>0</v>
      </c>
      <c r="D5" s="461">
        <f ca="1">tertiair!D16</f>
        <v>15312.973502420498</v>
      </c>
      <c r="E5" s="461">
        <f>tertiair!E16</f>
        <v>249.86674895010771</v>
      </c>
      <c r="F5" s="461">
        <f ca="1">tertiair!F16</f>
        <v>6453.5009283508889</v>
      </c>
      <c r="G5" s="461">
        <f>tertiair!G16</f>
        <v>0</v>
      </c>
      <c r="H5" s="461">
        <f>tertiair!H16</f>
        <v>0</v>
      </c>
      <c r="I5" s="461">
        <f>tertiair!I16</f>
        <v>0</v>
      </c>
      <c r="J5" s="461">
        <f>tertiair!J16</f>
        <v>0</v>
      </c>
      <c r="K5" s="461">
        <f>tertiair!K16</f>
        <v>0</v>
      </c>
      <c r="L5" s="461">
        <f ca="1">tertiair!L16</f>
        <v>0</v>
      </c>
      <c r="M5" s="461">
        <f>tertiair!M16</f>
        <v>0</v>
      </c>
      <c r="N5" s="461">
        <f ca="1">tertiair!N16</f>
        <v>6960.7316727491943</v>
      </c>
      <c r="O5" s="461">
        <f>tertiair!O16</f>
        <v>0</v>
      </c>
      <c r="P5" s="462">
        <f>tertiair!P16</f>
        <v>0</v>
      </c>
      <c r="Q5" s="460">
        <f t="shared" ref="Q5:Q14" ca="1" si="0">SUM(B5:P5)</f>
        <v>56846.386984740129</v>
      </c>
    </row>
    <row r="6" spans="1:17">
      <c r="A6" s="460" t="s">
        <v>194</v>
      </c>
      <c r="B6" s="461">
        <f>'openbare verlichting'!B8</f>
        <v>918.81100000000004</v>
      </c>
      <c r="C6" s="461"/>
      <c r="D6" s="461"/>
      <c r="E6" s="461"/>
      <c r="F6" s="461"/>
      <c r="G6" s="461"/>
      <c r="H6" s="461"/>
      <c r="I6" s="461"/>
      <c r="J6" s="461"/>
      <c r="K6" s="461"/>
      <c r="L6" s="461"/>
      <c r="M6" s="461"/>
      <c r="N6" s="461"/>
      <c r="O6" s="461"/>
      <c r="P6" s="462"/>
      <c r="Q6" s="460">
        <f t="shared" si="0"/>
        <v>918.81100000000004</v>
      </c>
    </row>
    <row r="7" spans="1:17">
      <c r="A7" s="460" t="s">
        <v>112</v>
      </c>
      <c r="B7" s="461">
        <f>landbouw!B8</f>
        <v>804.31717793432176</v>
      </c>
      <c r="C7" s="461">
        <f>landbouw!C8</f>
        <v>0</v>
      </c>
      <c r="D7" s="461">
        <f>landbouw!D8</f>
        <v>357.79573358566341</v>
      </c>
      <c r="E7" s="461">
        <f>landbouw!E8</f>
        <v>7.577206726328451</v>
      </c>
      <c r="F7" s="461">
        <f>landbouw!F8</f>
        <v>2624.7538810284354</v>
      </c>
      <c r="G7" s="461">
        <f>landbouw!G8</f>
        <v>0</v>
      </c>
      <c r="H7" s="461">
        <f>landbouw!H8</f>
        <v>0</v>
      </c>
      <c r="I7" s="461">
        <f>landbouw!I8</f>
        <v>0</v>
      </c>
      <c r="J7" s="461">
        <f>landbouw!J8</f>
        <v>99.497947108477589</v>
      </c>
      <c r="K7" s="461">
        <f>landbouw!K8</f>
        <v>0</v>
      </c>
      <c r="L7" s="461">
        <f>landbouw!L8</f>
        <v>0</v>
      </c>
      <c r="M7" s="461">
        <f>landbouw!M8</f>
        <v>0</v>
      </c>
      <c r="N7" s="461">
        <f>landbouw!N8</f>
        <v>0</v>
      </c>
      <c r="O7" s="461">
        <f>landbouw!O8</f>
        <v>0</v>
      </c>
      <c r="P7" s="462">
        <f>landbouw!P8</f>
        <v>0</v>
      </c>
      <c r="Q7" s="460">
        <f t="shared" si="0"/>
        <v>3893.9419463832269</v>
      </c>
    </row>
    <row r="8" spans="1:17">
      <c r="A8" s="460" t="s">
        <v>685</v>
      </c>
      <c r="B8" s="461">
        <f>industrie!B18</f>
        <v>57612.675720441606</v>
      </c>
      <c r="C8" s="461">
        <f>industrie!C18</f>
        <v>0</v>
      </c>
      <c r="D8" s="461">
        <f>industrie!D18</f>
        <v>27181.002345439898</v>
      </c>
      <c r="E8" s="461">
        <f>industrie!E18</f>
        <v>491.58431836517747</v>
      </c>
      <c r="F8" s="461">
        <f>industrie!F18</f>
        <v>10333.702209757348</v>
      </c>
      <c r="G8" s="461">
        <f>industrie!G18</f>
        <v>0</v>
      </c>
      <c r="H8" s="461">
        <f>industrie!H18</f>
        <v>0</v>
      </c>
      <c r="I8" s="461">
        <f>industrie!I18</f>
        <v>0</v>
      </c>
      <c r="J8" s="461">
        <f>industrie!J18</f>
        <v>220.41220652114066</v>
      </c>
      <c r="K8" s="461">
        <f>industrie!K18</f>
        <v>0</v>
      </c>
      <c r="L8" s="461">
        <f>industrie!L18</f>
        <v>0</v>
      </c>
      <c r="M8" s="461">
        <f>industrie!M18</f>
        <v>0</v>
      </c>
      <c r="N8" s="461">
        <f>industrie!N18</f>
        <v>1578.8751535753856</v>
      </c>
      <c r="O8" s="461">
        <f>industrie!O18</f>
        <v>0</v>
      </c>
      <c r="P8" s="462">
        <f>industrie!P18</f>
        <v>0</v>
      </c>
      <c r="Q8" s="460">
        <f t="shared" si="0"/>
        <v>97418.25195410056</v>
      </c>
    </row>
    <row r="9" spans="1:17" s="466" customFormat="1">
      <c r="A9" s="464" t="s">
        <v>579</v>
      </c>
      <c r="B9" s="465">
        <f>transport!B14</f>
        <v>1.683693935806579</v>
      </c>
      <c r="C9" s="465">
        <f>transport!C14</f>
        <v>0</v>
      </c>
      <c r="D9" s="465">
        <f>transport!D14</f>
        <v>6.340701466548972</v>
      </c>
      <c r="E9" s="465">
        <f>transport!E14</f>
        <v>351.18758918487055</v>
      </c>
      <c r="F9" s="465">
        <f>transport!F14</f>
        <v>0</v>
      </c>
      <c r="G9" s="465">
        <f>transport!G14</f>
        <v>61321.494924308092</v>
      </c>
      <c r="H9" s="465">
        <f>transport!H14</f>
        <v>13764.274908597527</v>
      </c>
      <c r="I9" s="465">
        <f>transport!I14</f>
        <v>0</v>
      </c>
      <c r="J9" s="465">
        <f>transport!J14</f>
        <v>0</v>
      </c>
      <c r="K9" s="465">
        <f>transport!K14</f>
        <v>0</v>
      </c>
      <c r="L9" s="465">
        <f>transport!L14</f>
        <v>0</v>
      </c>
      <c r="M9" s="465">
        <f>transport!M14</f>
        <v>3360.2736364190005</v>
      </c>
      <c r="N9" s="465">
        <f>transport!N14</f>
        <v>0</v>
      </c>
      <c r="O9" s="465">
        <f>transport!O14</f>
        <v>0</v>
      </c>
      <c r="P9" s="465">
        <f>transport!P14</f>
        <v>0</v>
      </c>
      <c r="Q9" s="464">
        <f>SUM(B9:P9)</f>
        <v>78805.255453911857</v>
      </c>
    </row>
    <row r="10" spans="1:17">
      <c r="A10" s="460" t="s">
        <v>569</v>
      </c>
      <c r="B10" s="461">
        <f>transport!B54</f>
        <v>0</v>
      </c>
      <c r="C10" s="461">
        <f>transport!C54</f>
        <v>0</v>
      </c>
      <c r="D10" s="461">
        <f>transport!D54</f>
        <v>0</v>
      </c>
      <c r="E10" s="461">
        <f>transport!E54</f>
        <v>0</v>
      </c>
      <c r="F10" s="461">
        <f>transport!F54</f>
        <v>0</v>
      </c>
      <c r="G10" s="461">
        <f>transport!G54</f>
        <v>464.89424095787274</v>
      </c>
      <c r="H10" s="461">
        <f>transport!H54</f>
        <v>0</v>
      </c>
      <c r="I10" s="461">
        <f>transport!I54</f>
        <v>0</v>
      </c>
      <c r="J10" s="461">
        <f>transport!J54</f>
        <v>0</v>
      </c>
      <c r="K10" s="461">
        <f>transport!K54</f>
        <v>0</v>
      </c>
      <c r="L10" s="461">
        <f>transport!L54</f>
        <v>0</v>
      </c>
      <c r="M10" s="461">
        <f>transport!M54</f>
        <v>20.414273011480525</v>
      </c>
      <c r="N10" s="461">
        <f>transport!N54</f>
        <v>0</v>
      </c>
      <c r="O10" s="461">
        <f>transport!O54</f>
        <v>0</v>
      </c>
      <c r="P10" s="462">
        <f>transport!P54</f>
        <v>0</v>
      </c>
      <c r="Q10" s="460">
        <f t="shared" si="0"/>
        <v>485.30851396935327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764.15636775520704</v>
      </c>
      <c r="C14" s="468"/>
      <c r="D14" s="468">
        <f>'SEAP template'!E25</f>
        <v>1773.18855012177</v>
      </c>
      <c r="E14" s="468"/>
      <c r="F14" s="468"/>
      <c r="G14" s="468"/>
      <c r="H14" s="468"/>
      <c r="I14" s="468"/>
      <c r="J14" s="468"/>
      <c r="K14" s="468"/>
      <c r="L14" s="468"/>
      <c r="M14" s="468"/>
      <c r="N14" s="468"/>
      <c r="O14" s="468"/>
      <c r="P14" s="469"/>
      <c r="Q14" s="460">
        <f t="shared" si="0"/>
        <v>2537.344917876977</v>
      </c>
    </row>
    <row r="15" spans="1:17" s="473" customFormat="1">
      <c r="A15" s="470" t="s">
        <v>573</v>
      </c>
      <c r="B15" s="471">
        <f ca="1">SUM(B4:B14)</f>
        <v>116119.75814145185</v>
      </c>
      <c r="C15" s="471">
        <f t="shared" ref="C15:Q15" ca="1" si="1">SUM(C4:C14)</f>
        <v>0</v>
      </c>
      <c r="D15" s="471">
        <f t="shared" ca="1" si="1"/>
        <v>95574.408965079157</v>
      </c>
      <c r="E15" s="471">
        <f t="shared" si="1"/>
        <v>3770.5941446170359</v>
      </c>
      <c r="F15" s="471">
        <f t="shared" ca="1" si="1"/>
        <v>46708.269014846832</v>
      </c>
      <c r="G15" s="471">
        <f t="shared" si="1"/>
        <v>61786.389165265966</v>
      </c>
      <c r="H15" s="471">
        <f t="shared" si="1"/>
        <v>13764.274908597527</v>
      </c>
      <c r="I15" s="471">
        <f t="shared" si="1"/>
        <v>0</v>
      </c>
      <c r="J15" s="471">
        <f t="shared" si="1"/>
        <v>1178.2610655746921</v>
      </c>
      <c r="K15" s="471">
        <f t="shared" si="1"/>
        <v>0</v>
      </c>
      <c r="L15" s="471">
        <f t="shared" ca="1" si="1"/>
        <v>0</v>
      </c>
      <c r="M15" s="471">
        <f t="shared" si="1"/>
        <v>3380.6879094304809</v>
      </c>
      <c r="N15" s="471">
        <f t="shared" ca="1" si="1"/>
        <v>16176.291009181406</v>
      </c>
      <c r="O15" s="471">
        <f t="shared" si="1"/>
        <v>112.56000000000002</v>
      </c>
      <c r="P15" s="471">
        <f t="shared" si="1"/>
        <v>266.93333333333334</v>
      </c>
      <c r="Q15" s="471">
        <f t="shared" ca="1" si="1"/>
        <v>358838.42765737831</v>
      </c>
    </row>
    <row r="17" spans="1:17">
      <c r="A17" s="474" t="s">
        <v>574</v>
      </c>
      <c r="B17" s="778">
        <f ca="1">huishoudens!B10</f>
        <v>0.2107048409159524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5931.0884363238301</v>
      </c>
      <c r="C22" s="461">
        <f t="shared" ref="C22:C32" ca="1" si="3">C4*$C$17</f>
        <v>0</v>
      </c>
      <c r="D22" s="461">
        <f t="shared" ref="D22:D32" si="4">D4*$D$17</f>
        <v>10290.507842673045</v>
      </c>
      <c r="E22" s="461">
        <f t="shared" ref="E22:E32" si="5">E4*$E$17</f>
        <v>606.17586987565539</v>
      </c>
      <c r="F22" s="461">
        <f t="shared" ref="F22:F32" si="6">F4*$F$17</f>
        <v>7288.1153028546123</v>
      </c>
      <c r="G22" s="461">
        <f t="shared" ref="G22:G32" si="7">G4*$G$17</f>
        <v>0</v>
      </c>
      <c r="H22" s="461">
        <f t="shared" ref="H22:H32" si="8">H4*$H$17</f>
        <v>0</v>
      </c>
      <c r="I22" s="461">
        <f t="shared" ref="I22:I32" si="9">I4*$I$17</f>
        <v>0</v>
      </c>
      <c r="J22" s="461">
        <f t="shared" ref="J22:J32" si="10">J4*$J$17</f>
        <v>303.85622282855616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24419.743674555702</v>
      </c>
    </row>
    <row r="23" spans="1:17">
      <c r="A23" s="460" t="s">
        <v>156</v>
      </c>
      <c r="B23" s="461">
        <f t="shared" ca="1" si="2"/>
        <v>5872.1994006765353</v>
      </c>
      <c r="C23" s="461">
        <f t="shared" ca="1" si="3"/>
        <v>0</v>
      </c>
      <c r="D23" s="461">
        <f t="shared" ca="1" si="4"/>
        <v>3093.2206474889408</v>
      </c>
      <c r="E23" s="461">
        <f t="shared" si="5"/>
        <v>56.719752011674451</v>
      </c>
      <c r="F23" s="461">
        <f t="shared" ca="1" si="6"/>
        <v>1723.0847478696874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10745.224548046839</v>
      </c>
    </row>
    <row r="24" spans="1:17">
      <c r="A24" s="460" t="s">
        <v>194</v>
      </c>
      <c r="B24" s="461">
        <f t="shared" ca="1" si="2"/>
        <v>193.59792558682716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193.59792558682716</v>
      </c>
    </row>
    <row r="25" spans="1:17">
      <c r="A25" s="460" t="s">
        <v>112</v>
      </c>
      <c r="B25" s="461">
        <f t="shared" ca="1" si="2"/>
        <v>169.47352302261905</v>
      </c>
      <c r="C25" s="461">
        <f t="shared" ca="1" si="3"/>
        <v>0</v>
      </c>
      <c r="D25" s="461">
        <f t="shared" si="4"/>
        <v>72.274738184304013</v>
      </c>
      <c r="E25" s="461">
        <f t="shared" si="5"/>
        <v>1.7200259268765585</v>
      </c>
      <c r="F25" s="461">
        <f t="shared" si="6"/>
        <v>700.80928623459226</v>
      </c>
      <c r="G25" s="461">
        <f t="shared" si="7"/>
        <v>0</v>
      </c>
      <c r="H25" s="461">
        <f t="shared" si="8"/>
        <v>0</v>
      </c>
      <c r="I25" s="461">
        <f t="shared" si="9"/>
        <v>0</v>
      </c>
      <c r="J25" s="461">
        <f t="shared" si="10"/>
        <v>35.222273276401062</v>
      </c>
      <c r="K25" s="461">
        <f t="shared" si="11"/>
        <v>0</v>
      </c>
      <c r="L25" s="461">
        <f t="shared" si="12"/>
        <v>0</v>
      </c>
      <c r="M25" s="461">
        <f t="shared" si="13"/>
        <v>0</v>
      </c>
      <c r="N25" s="461">
        <f t="shared" si="14"/>
        <v>0</v>
      </c>
      <c r="O25" s="461">
        <f t="shared" si="15"/>
        <v>0</v>
      </c>
      <c r="P25" s="462">
        <f t="shared" si="16"/>
        <v>0</v>
      </c>
      <c r="Q25" s="460">
        <f t="shared" ca="1" si="17"/>
        <v>979.49984664479302</v>
      </c>
    </row>
    <row r="26" spans="1:17">
      <c r="A26" s="460" t="s">
        <v>685</v>
      </c>
      <c r="B26" s="461">
        <f t="shared" ca="1" si="2"/>
        <v>12139.269672418002</v>
      </c>
      <c r="C26" s="461">
        <f t="shared" ca="1" si="3"/>
        <v>0</v>
      </c>
      <c r="D26" s="461">
        <f t="shared" si="4"/>
        <v>5490.5624737788594</v>
      </c>
      <c r="E26" s="461">
        <f t="shared" si="5"/>
        <v>111.58964026889529</v>
      </c>
      <c r="F26" s="461">
        <f t="shared" si="6"/>
        <v>2759.0984900052122</v>
      </c>
      <c r="G26" s="461">
        <f t="shared" si="7"/>
        <v>0</v>
      </c>
      <c r="H26" s="461">
        <f t="shared" si="8"/>
        <v>0</v>
      </c>
      <c r="I26" s="461">
        <f t="shared" si="9"/>
        <v>0</v>
      </c>
      <c r="J26" s="461">
        <f t="shared" si="10"/>
        <v>78.025921108483786</v>
      </c>
      <c r="K26" s="461">
        <f t="shared" si="11"/>
        <v>0</v>
      </c>
      <c r="L26" s="461">
        <f t="shared" si="12"/>
        <v>0</v>
      </c>
      <c r="M26" s="461">
        <f t="shared" si="13"/>
        <v>0</v>
      </c>
      <c r="N26" s="461">
        <f t="shared" si="14"/>
        <v>0</v>
      </c>
      <c r="O26" s="461">
        <f t="shared" si="15"/>
        <v>0</v>
      </c>
      <c r="P26" s="462">
        <f t="shared" si="16"/>
        <v>0</v>
      </c>
      <c r="Q26" s="460">
        <f t="shared" ca="1" si="17"/>
        <v>20578.546197579457</v>
      </c>
    </row>
    <row r="27" spans="1:17" s="466" customFormat="1">
      <c r="A27" s="464" t="s">
        <v>579</v>
      </c>
      <c r="B27" s="772">
        <f t="shared" ca="1" si="2"/>
        <v>0.35476246289527902</v>
      </c>
      <c r="C27" s="465">
        <f t="shared" ca="1" si="3"/>
        <v>0</v>
      </c>
      <c r="D27" s="465">
        <f t="shared" si="4"/>
        <v>1.2808216962428924</v>
      </c>
      <c r="E27" s="465">
        <f t="shared" si="5"/>
        <v>79.719582744965621</v>
      </c>
      <c r="F27" s="465">
        <f t="shared" si="6"/>
        <v>0</v>
      </c>
      <c r="G27" s="465">
        <f t="shared" si="7"/>
        <v>16372.839144790261</v>
      </c>
      <c r="H27" s="465">
        <f t="shared" si="8"/>
        <v>3427.304452240784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19881.498763935149</v>
      </c>
    </row>
    <row r="28" spans="1:17">
      <c r="A28" s="460" t="s">
        <v>569</v>
      </c>
      <c r="B28" s="461">
        <f t="shared" ca="1" si="2"/>
        <v>0</v>
      </c>
      <c r="C28" s="461">
        <f t="shared" ca="1" si="3"/>
        <v>0</v>
      </c>
      <c r="D28" s="461">
        <f t="shared" si="4"/>
        <v>0</v>
      </c>
      <c r="E28" s="461">
        <f t="shared" si="5"/>
        <v>0</v>
      </c>
      <c r="F28" s="461">
        <f t="shared" si="6"/>
        <v>0</v>
      </c>
      <c r="G28" s="461">
        <f t="shared" si="7"/>
        <v>124.12676233575203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124.12676233575203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161.01144590277292</v>
      </c>
      <c r="C32" s="461">
        <f t="shared" ca="1" si="3"/>
        <v>0</v>
      </c>
      <c r="D32" s="461">
        <f t="shared" si="4"/>
        <v>358.18408712459757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519.19553302737052</v>
      </c>
    </row>
    <row r="33" spans="1:17" s="473" customFormat="1">
      <c r="A33" s="470" t="s">
        <v>573</v>
      </c>
      <c r="B33" s="471">
        <f ca="1">SUM(B22:B32)</f>
        <v>24466.995166393484</v>
      </c>
      <c r="C33" s="471">
        <f t="shared" ref="C33:Q33" ca="1" si="18">SUM(C22:C32)</f>
        <v>0</v>
      </c>
      <c r="D33" s="471">
        <f t="shared" ca="1" si="18"/>
        <v>19306.030610945993</v>
      </c>
      <c r="E33" s="471">
        <f t="shared" si="18"/>
        <v>855.92487082806736</v>
      </c>
      <c r="F33" s="471">
        <f t="shared" ca="1" si="18"/>
        <v>12471.107826964104</v>
      </c>
      <c r="G33" s="471">
        <f t="shared" si="18"/>
        <v>16496.965907126014</v>
      </c>
      <c r="H33" s="471">
        <f t="shared" si="18"/>
        <v>3427.304452240784</v>
      </c>
      <c r="I33" s="471">
        <f t="shared" si="18"/>
        <v>0</v>
      </c>
      <c r="J33" s="471">
        <f t="shared" si="18"/>
        <v>417.10441721344097</v>
      </c>
      <c r="K33" s="471">
        <f t="shared" si="18"/>
        <v>0</v>
      </c>
      <c r="L33" s="471">
        <f t="shared" ca="1" si="18"/>
        <v>0</v>
      </c>
      <c r="M33" s="471">
        <f t="shared" si="18"/>
        <v>0</v>
      </c>
      <c r="N33" s="471">
        <f t="shared" ca="1" si="18"/>
        <v>0</v>
      </c>
      <c r="O33" s="471">
        <f t="shared" si="18"/>
        <v>0</v>
      </c>
      <c r="P33" s="471">
        <f t="shared" si="18"/>
        <v>0</v>
      </c>
      <c r="Q33" s="471">
        <f t="shared" ca="1" si="18"/>
        <v>77441.433251711904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5409.3727731555564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5409.3727731555564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0.2107048409159524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0.2107048409159524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0.2107048409159524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0.2107048409159524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5833</v>
      </c>
      <c r="C9" s="338">
        <v>6241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1159</v>
      </c>
    </row>
    <row r="15" spans="1:6">
      <c r="A15" s="1286" t="s">
        <v>184</v>
      </c>
      <c r="B15" s="335">
        <v>11</v>
      </c>
    </row>
    <row r="16" spans="1:6">
      <c r="A16" s="1286" t="s">
        <v>6</v>
      </c>
      <c r="B16" s="335">
        <v>610</v>
      </c>
    </row>
    <row r="17" spans="1:6">
      <c r="A17" s="1286" t="s">
        <v>7</v>
      </c>
      <c r="B17" s="335">
        <v>184</v>
      </c>
    </row>
    <row r="18" spans="1:6">
      <c r="A18" s="1286" t="s">
        <v>8</v>
      </c>
      <c r="B18" s="335">
        <v>461</v>
      </c>
    </row>
    <row r="19" spans="1:6">
      <c r="A19" s="1286" t="s">
        <v>9</v>
      </c>
      <c r="B19" s="335">
        <v>420</v>
      </c>
    </row>
    <row r="20" spans="1:6">
      <c r="A20" s="1286" t="s">
        <v>10</v>
      </c>
      <c r="B20" s="335">
        <v>298</v>
      </c>
    </row>
    <row r="21" spans="1:6">
      <c r="A21" s="1286" t="s">
        <v>11</v>
      </c>
      <c r="B21" s="335">
        <v>30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13</v>
      </c>
    </row>
    <row r="27" spans="1:6">
      <c r="A27" s="1286" t="s">
        <v>17</v>
      </c>
      <c r="B27" s="335">
        <v>2</v>
      </c>
    </row>
    <row r="28" spans="1:6" s="341" customFormat="1">
      <c r="A28" s="1287" t="s">
        <v>18</v>
      </c>
      <c r="B28" s="1287">
        <v>4028</v>
      </c>
    </row>
    <row r="29" spans="1:6">
      <c r="A29" s="1287" t="s">
        <v>942</v>
      </c>
      <c r="B29" s="1287">
        <v>91</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3886.4119551245999</v>
      </c>
    </row>
    <row r="39" spans="1:6">
      <c r="A39" s="1286" t="s">
        <v>30</v>
      </c>
      <c r="B39" s="1286" t="s">
        <v>31</v>
      </c>
      <c r="C39" s="335">
        <v>3114</v>
      </c>
      <c r="D39" s="335">
        <v>56477946.9313135</v>
      </c>
      <c r="E39" s="335">
        <v>5681</v>
      </c>
      <c r="F39" s="335">
        <v>25699677.533314101</v>
      </c>
    </row>
    <row r="40" spans="1:6">
      <c r="A40" s="1286" t="s">
        <v>30</v>
      </c>
      <c r="B40" s="1286" t="s">
        <v>29</v>
      </c>
      <c r="C40" s="335">
        <v>0</v>
      </c>
      <c r="D40" s="335">
        <v>0</v>
      </c>
      <c r="E40" s="335">
        <v>0</v>
      </c>
      <c r="F40" s="335">
        <v>0</v>
      </c>
    </row>
    <row r="41" spans="1:6">
      <c r="A41" s="1286" t="s">
        <v>32</v>
      </c>
      <c r="B41" s="1286" t="s">
        <v>33</v>
      </c>
      <c r="C41" s="335">
        <v>52</v>
      </c>
      <c r="D41" s="335">
        <v>1133044.1414878001</v>
      </c>
      <c r="E41" s="335">
        <v>100</v>
      </c>
      <c r="F41" s="335">
        <v>842927.13930060202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140763.91993148901</v>
      </c>
      <c r="E44" s="335">
        <v>9</v>
      </c>
      <c r="F44" s="335">
        <v>203350.90903935899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31560.166941243198</v>
      </c>
    </row>
    <row r="48" spans="1:6">
      <c r="A48" s="1286" t="s">
        <v>32</v>
      </c>
      <c r="B48" s="1286" t="s">
        <v>29</v>
      </c>
      <c r="C48" s="335">
        <v>22</v>
      </c>
      <c r="D48" s="335">
        <v>27894430.416654401</v>
      </c>
      <c r="E48" s="335">
        <v>29</v>
      </c>
      <c r="F48" s="335">
        <v>43144306.512481898</v>
      </c>
    </row>
    <row r="49" spans="1:6">
      <c r="A49" s="1286" t="s">
        <v>32</v>
      </c>
      <c r="B49" s="1286" t="s">
        <v>40</v>
      </c>
      <c r="C49" s="335">
        <v>0</v>
      </c>
      <c r="D49" s="335">
        <v>0</v>
      </c>
      <c r="E49" s="335">
        <v>3</v>
      </c>
      <c r="F49" s="335">
        <v>4509627.8819983304</v>
      </c>
    </row>
    <row r="50" spans="1:6">
      <c r="A50" s="1286" t="s">
        <v>32</v>
      </c>
      <c r="B50" s="1286" t="s">
        <v>41</v>
      </c>
      <c r="C50" s="335">
        <v>8</v>
      </c>
      <c r="D50" s="335">
        <v>965910.46365568799</v>
      </c>
      <c r="E50" s="335">
        <v>24</v>
      </c>
      <c r="F50" s="335">
        <v>8880903.1106801797</v>
      </c>
    </row>
    <row r="51" spans="1:6">
      <c r="A51" s="1286" t="s">
        <v>42</v>
      </c>
      <c r="B51" s="1286" t="s">
        <v>43</v>
      </c>
      <c r="C51" s="335">
        <v>8</v>
      </c>
      <c r="D51" s="335">
        <v>252315.05682494599</v>
      </c>
      <c r="E51" s="335">
        <v>43</v>
      </c>
      <c r="F51" s="335">
        <v>759733.02825024503</v>
      </c>
    </row>
    <row r="52" spans="1:6">
      <c r="A52" s="1286" t="s">
        <v>42</v>
      </c>
      <c r="B52" s="1286" t="s">
        <v>29</v>
      </c>
      <c r="C52" s="335">
        <v>2</v>
      </c>
      <c r="D52" s="335">
        <v>144354.270875346</v>
      </c>
      <c r="E52" s="335">
        <v>2</v>
      </c>
      <c r="F52" s="335">
        <v>44584.149684076801</v>
      </c>
    </row>
    <row r="53" spans="1:6">
      <c r="A53" s="1286" t="s">
        <v>44</v>
      </c>
      <c r="B53" s="1286" t="s">
        <v>45</v>
      </c>
      <c r="C53" s="335">
        <v>61</v>
      </c>
      <c r="D53" s="335">
        <v>1773188.55012177</v>
      </c>
      <c r="E53" s="335">
        <v>119</v>
      </c>
      <c r="F53" s="335">
        <v>764156.367755207</v>
      </c>
    </row>
    <row r="54" spans="1:6">
      <c r="A54" s="1286" t="s">
        <v>46</v>
      </c>
      <c r="B54" s="1286" t="s">
        <v>47</v>
      </c>
      <c r="C54" s="335">
        <v>0</v>
      </c>
      <c r="D54" s="335">
        <v>0</v>
      </c>
      <c r="E54" s="335">
        <v>1</v>
      </c>
      <c r="F54" s="335">
        <v>918811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304159.29057731398</v>
      </c>
      <c r="E57" s="335">
        <v>44</v>
      </c>
      <c r="F57" s="335">
        <v>11068871.724151</v>
      </c>
    </row>
    <row r="58" spans="1:6">
      <c r="A58" s="1286" t="s">
        <v>49</v>
      </c>
      <c r="B58" s="1286" t="s">
        <v>51</v>
      </c>
      <c r="C58" s="335">
        <v>18</v>
      </c>
      <c r="D58" s="335">
        <v>1183990.8443177701</v>
      </c>
      <c r="E58" s="335">
        <v>23</v>
      </c>
      <c r="F58" s="335">
        <v>567398.32622241904</v>
      </c>
    </row>
    <row r="59" spans="1:6">
      <c r="A59" s="1286" t="s">
        <v>49</v>
      </c>
      <c r="B59" s="1286" t="s">
        <v>52</v>
      </c>
      <c r="C59" s="335">
        <v>57</v>
      </c>
      <c r="D59" s="335">
        <v>2101189.9433672698</v>
      </c>
      <c r="E59" s="335">
        <v>119</v>
      </c>
      <c r="F59" s="335">
        <v>3164826.7762473002</v>
      </c>
    </row>
    <row r="60" spans="1:6">
      <c r="A60" s="1286" t="s">
        <v>49</v>
      </c>
      <c r="B60" s="1286" t="s">
        <v>53</v>
      </c>
      <c r="C60" s="335">
        <v>44</v>
      </c>
      <c r="D60" s="335">
        <v>2271671.88665302</v>
      </c>
      <c r="E60" s="335">
        <v>51</v>
      </c>
      <c r="F60" s="335">
        <v>1221519.4520016599</v>
      </c>
    </row>
    <row r="61" spans="1:6">
      <c r="A61" s="1286" t="s">
        <v>49</v>
      </c>
      <c r="B61" s="1286" t="s">
        <v>54</v>
      </c>
      <c r="C61" s="335">
        <v>79</v>
      </c>
      <c r="D61" s="335">
        <v>5650275.1853178497</v>
      </c>
      <c r="E61" s="335">
        <v>196</v>
      </c>
      <c r="F61" s="335">
        <v>3369578.1198090599</v>
      </c>
    </row>
    <row r="62" spans="1:6">
      <c r="A62" s="1286" t="s">
        <v>49</v>
      </c>
      <c r="B62" s="1286" t="s">
        <v>55</v>
      </c>
      <c r="C62" s="335">
        <v>14</v>
      </c>
      <c r="D62" s="335">
        <v>1652096.35550416</v>
      </c>
      <c r="E62" s="335">
        <v>8</v>
      </c>
      <c r="F62" s="335">
        <v>56872.910240183999</v>
      </c>
    </row>
    <row r="63" spans="1:6">
      <c r="A63" s="1286" t="s">
        <v>49</v>
      </c>
      <c r="B63" s="1286" t="s">
        <v>29</v>
      </c>
      <c r="C63" s="335">
        <v>65</v>
      </c>
      <c r="D63" s="335">
        <v>3813305.5213363399</v>
      </c>
      <c r="E63" s="335">
        <v>93</v>
      </c>
      <c r="F63" s="335">
        <v>8420246.8235978093</v>
      </c>
    </row>
    <row r="64" spans="1:6">
      <c r="A64" s="1286" t="s">
        <v>56</v>
      </c>
      <c r="B64" s="1286" t="s">
        <v>57</v>
      </c>
      <c r="C64" s="335">
        <v>0</v>
      </c>
      <c r="D64" s="335">
        <v>0</v>
      </c>
      <c r="E64" s="335">
        <v>0</v>
      </c>
      <c r="F64" s="335">
        <v>0</v>
      </c>
    </row>
    <row r="65" spans="1:6">
      <c r="A65" s="1286" t="s">
        <v>56</v>
      </c>
      <c r="B65" s="1286" t="s">
        <v>29</v>
      </c>
      <c r="C65" s="335">
        <v>0</v>
      </c>
      <c r="D65" s="335">
        <v>0</v>
      </c>
      <c r="E65" s="335">
        <v>2</v>
      </c>
      <c r="F65" s="335">
        <v>17767.802208332399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130251.60589701201</v>
      </c>
      <c r="E68" s="335">
        <v>14</v>
      </c>
      <c r="F68" s="335">
        <v>154120.783076566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25394809</v>
      </c>
      <c r="E73" s="335">
        <v>26011555.703211963</v>
      </c>
    </row>
    <row r="74" spans="1:6">
      <c r="A74" s="1286" t="s">
        <v>64</v>
      </c>
      <c r="B74" s="1286" t="s">
        <v>772</v>
      </c>
      <c r="C74" s="1297" t="s">
        <v>766</v>
      </c>
      <c r="D74" s="335">
        <v>2198889.8246871023</v>
      </c>
      <c r="E74" s="335">
        <v>2216155.4455984491</v>
      </c>
    </row>
    <row r="75" spans="1:6">
      <c r="A75" s="1286" t="s">
        <v>65</v>
      </c>
      <c r="B75" s="1286" t="s">
        <v>771</v>
      </c>
      <c r="C75" s="1297" t="s">
        <v>767</v>
      </c>
      <c r="D75" s="335">
        <v>54628558</v>
      </c>
      <c r="E75" s="335">
        <v>55883521.659071125</v>
      </c>
    </row>
    <row r="76" spans="1:6">
      <c r="A76" s="1286" t="s">
        <v>65</v>
      </c>
      <c r="B76" s="1286" t="s">
        <v>772</v>
      </c>
      <c r="C76" s="1297" t="s">
        <v>768</v>
      </c>
      <c r="D76" s="335">
        <v>1972887.8246871021</v>
      </c>
      <c r="E76" s="335">
        <v>1986846.3793286758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127686.35062579571</v>
      </c>
      <c r="C83" s="335">
        <v>122639.44653430076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2449.1225158013763</v>
      </c>
    </row>
    <row r="92" spans="1:6">
      <c r="A92" s="1282" t="s">
        <v>69</v>
      </c>
      <c r="B92" s="338">
        <v>2960.2502573541801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1616</v>
      </c>
    </row>
    <row r="98" spans="1:6">
      <c r="A98" s="1286" t="s">
        <v>72</v>
      </c>
      <c r="B98" s="335">
        <v>1</v>
      </c>
    </row>
    <row r="99" spans="1:6">
      <c r="A99" s="1286" t="s">
        <v>73</v>
      </c>
      <c r="B99" s="335">
        <v>67</v>
      </c>
    </row>
    <row r="100" spans="1:6">
      <c r="A100" s="1286" t="s">
        <v>74</v>
      </c>
      <c r="B100" s="335">
        <v>590</v>
      </c>
    </row>
    <row r="101" spans="1:6">
      <c r="A101" s="1286" t="s">
        <v>75</v>
      </c>
      <c r="B101" s="335">
        <v>59</v>
      </c>
    </row>
    <row r="102" spans="1:6">
      <c r="A102" s="1286" t="s">
        <v>76</v>
      </c>
      <c r="B102" s="335">
        <v>94</v>
      </c>
    </row>
    <row r="103" spans="1:6">
      <c r="A103" s="1286" t="s">
        <v>77</v>
      </c>
      <c r="B103" s="335">
        <v>177</v>
      </c>
    </row>
    <row r="104" spans="1:6">
      <c r="A104" s="1286" t="s">
        <v>78</v>
      </c>
      <c r="B104" s="335">
        <v>2731</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116119.75814145185</v>
      </c>
      <c r="C3" s="44" t="s">
        <v>170</v>
      </c>
      <c r="D3" s="44"/>
      <c r="E3" s="157"/>
      <c r="F3" s="44"/>
      <c r="G3" s="44"/>
      <c r="H3" s="44"/>
      <c r="I3" s="44"/>
      <c r="J3" s="44"/>
      <c r="K3" s="97"/>
    </row>
    <row r="4" spans="1:11">
      <c r="A4" s="365" t="s">
        <v>171</v>
      </c>
      <c r="B4" s="50">
        <f>IF(ISERROR('SEAP template'!B78),0,'SEAP template'!B78)</f>
        <v>5409.3727731555564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0.2107048409159524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918.81100000000004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918.81100000000004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0.2107048409159524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193.59792558682716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25699.677533314101</v>
      </c>
      <c r="C5" s="18">
        <f>IF(ISERROR('Eigen informatie GS &amp; warmtenet'!B57),0,'Eigen informatie GS &amp; warmtenet'!B57)</f>
        <v>0</v>
      </c>
      <c r="D5" s="31">
        <f>(SUM(HH_hh_gas_kWh,HH_rest_gas_kWh)/1000)*0.902</f>
        <v>50943.108132044777</v>
      </c>
      <c r="E5" s="18">
        <f>B46*B57</f>
        <v>2670.3782813905523</v>
      </c>
      <c r="F5" s="18">
        <f>B51*B62</f>
        <v>27296.311995710155</v>
      </c>
      <c r="G5" s="19"/>
      <c r="H5" s="18"/>
      <c r="I5" s="18"/>
      <c r="J5" s="18">
        <f>B50*B61+C50*C61</f>
        <v>858.3509119450739</v>
      </c>
      <c r="K5" s="18"/>
      <c r="L5" s="18"/>
      <c r="M5" s="18"/>
      <c r="N5" s="18">
        <f>B48*B59+C48*C59</f>
        <v>7636.6841828568267</v>
      </c>
      <c r="O5" s="18">
        <f>B69*B70*B71</f>
        <v>112.56000000000002</v>
      </c>
      <c r="P5" s="18">
        <f>B77*B78*B79/1000-B77*B78*B79/1000/B80</f>
        <v>266.93333333333334</v>
      </c>
    </row>
    <row r="6" spans="1:16">
      <c r="A6" s="17" t="s">
        <v>639</v>
      </c>
      <c r="B6" s="780">
        <f>kWh_PV_kleiner_dan_10kW</f>
        <v>2449.1225158013763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28148.800049115478</v>
      </c>
      <c r="C8" s="22">
        <f>C5</f>
        <v>0</v>
      </c>
      <c r="D8" s="22">
        <f>D5</f>
        <v>50943.108132044777</v>
      </c>
      <c r="E8" s="22">
        <f>E5</f>
        <v>2670.3782813905523</v>
      </c>
      <c r="F8" s="22">
        <f>F5</f>
        <v>27296.311995710155</v>
      </c>
      <c r="G8" s="22"/>
      <c r="H8" s="22"/>
      <c r="I8" s="22"/>
      <c r="J8" s="22">
        <f>J5</f>
        <v>858.3509119450739</v>
      </c>
      <c r="K8" s="22"/>
      <c r="L8" s="22">
        <f>L5</f>
        <v>0</v>
      </c>
      <c r="M8" s="22">
        <f>M5</f>
        <v>0</v>
      </c>
      <c r="N8" s="22">
        <f>N5</f>
        <v>7636.6841828568267</v>
      </c>
      <c r="O8" s="22">
        <f>O5</f>
        <v>112.56000000000002</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0.2107048409159524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5931.0884363238301</v>
      </c>
      <c r="C12" s="24">
        <f ca="1">C10*C8</f>
        <v>0</v>
      </c>
      <c r="D12" s="24">
        <f>D8*D10</f>
        <v>10290.507842673045</v>
      </c>
      <c r="E12" s="24">
        <f>E10*E8</f>
        <v>606.17586987565539</v>
      </c>
      <c r="F12" s="24">
        <f>F10*F8</f>
        <v>7288.1153028546123</v>
      </c>
      <c r="G12" s="24"/>
      <c r="H12" s="24"/>
      <c r="I12" s="24"/>
      <c r="J12" s="24">
        <f>J10*J8</f>
        <v>303.85622282855616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1616</v>
      </c>
      <c r="C18" s="169" t="s">
        <v>111</v>
      </c>
      <c r="D18" s="231"/>
      <c r="E18" s="16"/>
    </row>
    <row r="19" spans="1:7">
      <c r="A19" s="174" t="s">
        <v>72</v>
      </c>
      <c r="B19" s="38">
        <f>aantalw2001_ander</f>
        <v>1</v>
      </c>
      <c r="C19" s="169" t="s">
        <v>111</v>
      </c>
      <c r="D19" s="232"/>
      <c r="E19" s="16"/>
    </row>
    <row r="20" spans="1:7">
      <c r="A20" s="174" t="s">
        <v>73</v>
      </c>
      <c r="B20" s="38">
        <f>aantalw2001_propaan</f>
        <v>67</v>
      </c>
      <c r="C20" s="170">
        <f>IF(ISERROR(B20/SUM($B$20,$B$21,$B$22)*100),0,B20/SUM($B$20,$B$21,$B$22)*100)</f>
        <v>9.3575418994413404</v>
      </c>
      <c r="D20" s="232"/>
      <c r="E20" s="16"/>
    </row>
    <row r="21" spans="1:7">
      <c r="A21" s="174" t="s">
        <v>74</v>
      </c>
      <c r="B21" s="38">
        <f>aantalw2001_elektriciteit</f>
        <v>590</v>
      </c>
      <c r="C21" s="170">
        <f>IF(ISERROR(B21/SUM($B$20,$B$21,$B$22)*100),0,B21/SUM($B$20,$B$21,$B$22)*100)</f>
        <v>82.402234636871512</v>
      </c>
      <c r="D21" s="232"/>
      <c r="E21" s="16"/>
    </row>
    <row r="22" spans="1:7">
      <c r="A22" s="174" t="s">
        <v>75</v>
      </c>
      <c r="B22" s="38">
        <f>aantalw2001_hout</f>
        <v>59</v>
      </c>
      <c r="C22" s="170">
        <f>IF(ISERROR(B22/SUM($B$20,$B$21,$B$22)*100),0,B22/SUM($B$20,$B$21,$B$22)*100)</f>
        <v>8.2402234636871512</v>
      </c>
      <c r="D22" s="232"/>
      <c r="E22" s="16"/>
    </row>
    <row r="23" spans="1:7">
      <c r="A23" s="174" t="s">
        <v>76</v>
      </c>
      <c r="B23" s="38">
        <f>aantalw2001_niet_gespec</f>
        <v>94</v>
      </c>
      <c r="C23" s="169" t="s">
        <v>111</v>
      </c>
      <c r="D23" s="231"/>
      <c r="E23" s="16"/>
    </row>
    <row r="24" spans="1:7">
      <c r="A24" s="174" t="s">
        <v>77</v>
      </c>
      <c r="B24" s="38">
        <f>aantalw2001_steenkool</f>
        <v>177</v>
      </c>
      <c r="C24" s="169" t="s">
        <v>111</v>
      </c>
      <c r="D24" s="232"/>
      <c r="E24" s="16"/>
    </row>
    <row r="25" spans="1:7">
      <c r="A25" s="174" t="s">
        <v>78</v>
      </c>
      <c r="B25" s="38">
        <f>aantalw2001_stookolie</f>
        <v>2731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5833</v>
      </c>
      <c r="C28" s="37"/>
      <c r="D28" s="231"/>
    </row>
    <row r="29" spans="1:7" s="16" customFormat="1">
      <c r="A29" s="233" t="s">
        <v>666</v>
      </c>
      <c r="B29" s="38">
        <f>SUM(HH_hh_gas_aantal,HH_rest_gas_aantal)</f>
        <v>3114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3114</v>
      </c>
      <c r="C32" s="170">
        <f>IF(ISERROR(B32/SUM($B$32,$B$34,$B$35,$B$36,$B$38,$B$39)*100),0,B32/SUM($B$32,$B$34,$B$35,$B$36,$B$38,$B$39)*100)</f>
        <v>53.514349544595284</v>
      </c>
      <c r="D32" s="236"/>
      <c r="G32" s="16"/>
    </row>
    <row r="33" spans="1:7">
      <c r="A33" s="174" t="s">
        <v>72</v>
      </c>
      <c r="B33" s="35" t="s">
        <v>111</v>
      </c>
      <c r="C33" s="170"/>
      <c r="D33" s="236"/>
      <c r="G33" s="16"/>
    </row>
    <row r="34" spans="1:7">
      <c r="A34" s="174" t="s">
        <v>73</v>
      </c>
      <c r="B34" s="34">
        <f>IF((($B$28-$B$32-$B$39-$B$77-$B$38)*C20/100)&lt;0,0,($B$28-$B$32-$B$39-$B$77-$B$38)*C20/100)</f>
        <v>121.18016759776536</v>
      </c>
      <c r="C34" s="170">
        <f>IF(ISERROR(B34/SUM($B$32,$B$34,$B$35,$B$36,$B$38,$B$39)*100),0,B34/SUM($B$32,$B$34,$B$35,$B$36,$B$38,$B$39)*100)</f>
        <v>2.0824912802503066</v>
      </c>
      <c r="D34" s="236"/>
      <c r="G34" s="16"/>
    </row>
    <row r="35" spans="1:7">
      <c r="A35" s="174" t="s">
        <v>74</v>
      </c>
      <c r="B35" s="34">
        <f>IF((($B$28-$B$32-$B$39-$B$77-$B$38)*C21/100)&lt;0,0,($B$28-$B$32-$B$39-$B$77-$B$38)*C21/100)</f>
        <v>1067.1089385474861</v>
      </c>
      <c r="C35" s="170">
        <f>IF(ISERROR(B35/SUM($B$32,$B$34,$B$35,$B$36,$B$38,$B$39)*100),0,B35/SUM($B$32,$B$34,$B$35,$B$36,$B$38,$B$39)*100)</f>
        <v>18.338356049965387</v>
      </c>
      <c r="D35" s="236"/>
      <c r="G35" s="16"/>
    </row>
    <row r="36" spans="1:7">
      <c r="A36" s="174" t="s">
        <v>75</v>
      </c>
      <c r="B36" s="34">
        <f>IF((($B$28-$B$32-$B$39-$B$77-$B$38)*C22/100)&lt;0,0,($B$28-$B$32-$B$39-$B$77-$B$38)*C22/100)</f>
        <v>106.7108938547486</v>
      </c>
      <c r="C36" s="170">
        <f>IF(ISERROR(B36/SUM($B$32,$B$34,$B$35,$B$36,$B$38,$B$39)*100),0,B36/SUM($B$32,$B$34,$B$35,$B$36,$B$38,$B$39)*100)</f>
        <v>1.8338356049965385</v>
      </c>
      <c r="D36" s="236"/>
      <c r="G36" s="16"/>
    </row>
    <row r="37" spans="1:7">
      <c r="A37" s="174" t="s">
        <v>76</v>
      </c>
      <c r="B37" s="35" t="s">
        <v>111</v>
      </c>
      <c r="C37" s="170"/>
      <c r="D37" s="176"/>
      <c r="G37" s="16"/>
    </row>
    <row r="38" spans="1:7">
      <c r="A38" s="174" t="s">
        <v>77</v>
      </c>
      <c r="B38" s="34">
        <f>IF((B24-(B29-B18)*0.1)&lt;0,0,B24-(B29-B18)*0.1)</f>
        <v>27.199999999999989</v>
      </c>
      <c r="C38" s="170">
        <f>IF(ISERROR(B38/SUM($B$32,$B$34,$B$35,$B$36,$B$38,$B$39)*100),0,B38/SUM($B$32,$B$34,$B$35,$B$36,$B$38,$B$39)*100)</f>
        <v>0.46743426705619495</v>
      </c>
      <c r="D38" s="237"/>
      <c r="G38" s="16"/>
    </row>
    <row r="39" spans="1:7">
      <c r="A39" s="174" t="s">
        <v>78</v>
      </c>
      <c r="B39" s="34">
        <f>IF((B25-(B29-B18))&lt;0,0,B25-(B29-B18)*0.9)</f>
        <v>1382.8</v>
      </c>
      <c r="C39" s="170">
        <f>IF(ISERROR(B39/SUM($B$32,$B$34,$B$35,$B$36,$B$38,$B$39)*100),0,B39/SUM($B$32,$B$34,$B$35,$B$36,$B$38,$B$39)*100)</f>
        <v>23.763533253136274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3114</v>
      </c>
      <c r="C44" s="35" t="s">
        <v>111</v>
      </c>
      <c r="D44" s="177"/>
    </row>
    <row r="45" spans="1:7">
      <c r="A45" s="174" t="s">
        <v>72</v>
      </c>
      <c r="B45" s="34" t="str">
        <f t="shared" si="0"/>
        <v>-</v>
      </c>
      <c r="C45" s="35" t="s">
        <v>111</v>
      </c>
      <c r="D45" s="177"/>
    </row>
    <row r="46" spans="1:7">
      <c r="A46" s="174" t="s">
        <v>73</v>
      </c>
      <c r="B46" s="34">
        <f t="shared" si="0"/>
        <v>121.18016759776536</v>
      </c>
      <c r="C46" s="35" t="s">
        <v>111</v>
      </c>
      <c r="D46" s="177"/>
    </row>
    <row r="47" spans="1:7">
      <c r="A47" s="174" t="s">
        <v>74</v>
      </c>
      <c r="B47" s="34">
        <f t="shared" si="0"/>
        <v>1067.1089385474861</v>
      </c>
      <c r="C47" s="35" t="s">
        <v>111</v>
      </c>
      <c r="D47" s="177"/>
    </row>
    <row r="48" spans="1:7">
      <c r="A48" s="174" t="s">
        <v>75</v>
      </c>
      <c r="B48" s="34">
        <f t="shared" si="0"/>
        <v>106.7108938547486</v>
      </c>
      <c r="C48" s="34">
        <f>B48*10</f>
        <v>1067.1089385474861</v>
      </c>
      <c r="D48" s="237"/>
    </row>
    <row r="49" spans="1:6">
      <c r="A49" s="174" t="s">
        <v>76</v>
      </c>
      <c r="B49" s="34" t="str">
        <f t="shared" si="0"/>
        <v>-</v>
      </c>
      <c r="C49" s="35" t="s">
        <v>111</v>
      </c>
      <c r="D49" s="237"/>
    </row>
    <row r="50" spans="1:6">
      <c r="A50" s="174" t="s">
        <v>77</v>
      </c>
      <c r="B50" s="34">
        <f t="shared" si="0"/>
        <v>27.199999999999989</v>
      </c>
      <c r="C50" s="34">
        <f>B50*2</f>
        <v>54.399999999999977</v>
      </c>
      <c r="D50" s="237"/>
    </row>
    <row r="51" spans="1:6">
      <c r="A51" s="174" t="s">
        <v>78</v>
      </c>
      <c r="B51" s="34">
        <f t="shared" si="0"/>
        <v>1382.8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27869.314132269436</v>
      </c>
      <c r="C5" s="18">
        <f>IF(ISERROR('Eigen informatie GS &amp; warmtenet'!B58),0,'Eigen informatie GS &amp; warmtenet'!B58)</f>
        <v>0</v>
      </c>
      <c r="D5" s="31">
        <f>SUM(D6:D12)</f>
        <v>15312.973502420498</v>
      </c>
      <c r="E5" s="18">
        <f>SUM(E6:E12)</f>
        <v>249.86674895010771</v>
      </c>
      <c r="F5" s="18">
        <f>SUM(F6:F12)</f>
        <v>6453.5009283508889</v>
      </c>
      <c r="G5" s="19"/>
      <c r="H5" s="18"/>
      <c r="I5" s="18"/>
      <c r="J5" s="18">
        <f>SUM(J6:J12)</f>
        <v>0</v>
      </c>
      <c r="K5" s="18"/>
      <c r="L5" s="18"/>
      <c r="M5" s="18"/>
      <c r="N5" s="18">
        <f>SUM(N6:N12)</f>
        <v>6960.7316727491943</v>
      </c>
      <c r="O5" s="18">
        <f>B38*B39*B40</f>
        <v>0</v>
      </c>
      <c r="P5" s="18">
        <f>B46*B47*B48/1000-B46*B47*B48/1000/B49</f>
        <v>0</v>
      </c>
      <c r="R5" s="33"/>
    </row>
    <row r="6" spans="1:18">
      <c r="A6" s="33" t="s">
        <v>54</v>
      </c>
      <c r="B6" s="38">
        <f>B26</f>
        <v>3369.5781198090599</v>
      </c>
      <c r="C6" s="34"/>
      <c r="D6" s="38">
        <f>IF(ISERROR(TER_kantoor_gas_kWh/1000),0,TER_kantoor_gas_kWh/1000)*0.902</f>
        <v>5096.548217156701</v>
      </c>
      <c r="E6" s="34">
        <f>$C$26*'E Balans VL '!I12/100/3.6*1000000</f>
        <v>5.5301606267128021</v>
      </c>
      <c r="F6" s="34">
        <f>$C$26*('E Balans VL '!L12+'E Balans VL '!N12)/100/3.6*1000000</f>
        <v>397.19397845769481</v>
      </c>
      <c r="G6" s="35"/>
      <c r="H6" s="34"/>
      <c r="I6" s="34"/>
      <c r="J6" s="34">
        <f>$C$26*('E Balans VL '!D12+'E Balans VL '!E12)/100/3.6*1000000</f>
        <v>0</v>
      </c>
      <c r="K6" s="34"/>
      <c r="L6" s="34"/>
      <c r="M6" s="34"/>
      <c r="N6" s="34">
        <f>$C$26*'E Balans VL '!Y12/100/3.6*1000000</f>
        <v>0.68080730284872593</v>
      </c>
      <c r="O6" s="34"/>
      <c r="P6" s="34"/>
      <c r="R6" s="33"/>
    </row>
    <row r="7" spans="1:18">
      <c r="A7" s="33" t="s">
        <v>53</v>
      </c>
      <c r="B7" s="38">
        <f t="shared" ref="B7:B12" si="0">B27</f>
        <v>1221.5194520016598</v>
      </c>
      <c r="C7" s="34"/>
      <c r="D7" s="38">
        <f>IF(ISERROR(TER_horeca_gas_kWh/1000),0,TER_horeca_gas_kWh/1000)*0.902</f>
        <v>2049.0480417610243</v>
      </c>
      <c r="E7" s="34">
        <f>$C$27*'E Balans VL '!I9/100/3.6*1000000</f>
        <v>63.388020454981671</v>
      </c>
      <c r="F7" s="34">
        <f>$C$27*('E Balans VL '!L9+'E Balans VL '!N9)/100/3.6*1000000</f>
        <v>278.75162528568598</v>
      </c>
      <c r="G7" s="35"/>
      <c r="H7" s="34"/>
      <c r="I7" s="34"/>
      <c r="J7" s="34">
        <f>$C$27*('E Balans VL '!D9+'E Balans VL '!E9)/100/3.6*1000000</f>
        <v>0</v>
      </c>
      <c r="K7" s="34"/>
      <c r="L7" s="34"/>
      <c r="M7" s="34"/>
      <c r="N7" s="34">
        <f>$C$27*'E Balans VL '!Y9/100/3.6*1000000</f>
        <v>0.12899189434566438</v>
      </c>
      <c r="O7" s="34"/>
      <c r="P7" s="34"/>
      <c r="R7" s="33"/>
    </row>
    <row r="8" spans="1:18">
      <c r="A8" s="6" t="s">
        <v>52</v>
      </c>
      <c r="B8" s="38">
        <f t="shared" si="0"/>
        <v>3164.8267762473001</v>
      </c>
      <c r="C8" s="34"/>
      <c r="D8" s="38">
        <f>IF(ISERROR(TER_handel_gas_kWh/1000),0,TER_handel_gas_kWh/1000)*0.902</f>
        <v>1895.2733289172772</v>
      </c>
      <c r="E8" s="34">
        <f>$C$28*'E Balans VL '!I13/100/3.6*1000000</f>
        <v>17.042981095612792</v>
      </c>
      <c r="F8" s="34">
        <f>$C$28*('E Balans VL '!L13+'E Balans VL '!N13)/100/3.6*1000000</f>
        <v>645.40222985781929</v>
      </c>
      <c r="G8" s="35"/>
      <c r="H8" s="34"/>
      <c r="I8" s="34"/>
      <c r="J8" s="34">
        <f>$C$28*('E Balans VL '!D13+'E Balans VL '!E13)/100/3.6*1000000</f>
        <v>0</v>
      </c>
      <c r="K8" s="34"/>
      <c r="L8" s="34"/>
      <c r="M8" s="34"/>
      <c r="N8" s="34">
        <f>$C$28*'E Balans VL '!Y13/100/3.6*1000000</f>
        <v>15.737012261140924</v>
      </c>
      <c r="O8" s="34"/>
      <c r="P8" s="34"/>
      <c r="R8" s="33"/>
    </row>
    <row r="9" spans="1:18">
      <c r="A9" s="33" t="s">
        <v>51</v>
      </c>
      <c r="B9" s="38">
        <f t="shared" si="0"/>
        <v>567.39832622241909</v>
      </c>
      <c r="C9" s="34"/>
      <c r="D9" s="38">
        <f>IF(ISERROR(TER_gezond_gas_kWh/1000),0,TER_gezond_gas_kWh/1000)*0.902</f>
        <v>1067.9597415746287</v>
      </c>
      <c r="E9" s="34">
        <f>$C$29*'E Balans VL '!I10/100/3.6*1000000</f>
        <v>0.562298193713479</v>
      </c>
      <c r="F9" s="34">
        <f>$C$29*('E Balans VL '!L10+'E Balans VL '!N10)/100/3.6*1000000</f>
        <v>196.87086456986091</v>
      </c>
      <c r="G9" s="35"/>
      <c r="H9" s="34"/>
      <c r="I9" s="34"/>
      <c r="J9" s="34">
        <f>$C$29*('E Balans VL '!D10+'E Balans VL '!E10)/100/3.6*1000000</f>
        <v>0</v>
      </c>
      <c r="K9" s="34"/>
      <c r="L9" s="34"/>
      <c r="M9" s="34"/>
      <c r="N9" s="34">
        <f>$C$29*'E Balans VL '!Y10/100/3.6*1000000</f>
        <v>4.8892222235772413</v>
      </c>
      <c r="O9" s="34"/>
      <c r="P9" s="34"/>
      <c r="R9" s="33"/>
    </row>
    <row r="10" spans="1:18">
      <c r="A10" s="33" t="s">
        <v>50</v>
      </c>
      <c r="B10" s="38">
        <f t="shared" si="0"/>
        <v>11068.871724151</v>
      </c>
      <c r="C10" s="34"/>
      <c r="D10" s="38">
        <f>IF(ISERROR(TER_ander_gas_kWh/1000),0,TER_ander_gas_kWh/1000)*0.902</f>
        <v>274.35168010073721</v>
      </c>
      <c r="E10" s="34">
        <f>$C$30*'E Balans VL '!I14/100/3.6*1000000</f>
        <v>90.554433252992624</v>
      </c>
      <c r="F10" s="34">
        <f>$C$30*('E Balans VL '!L14+'E Balans VL '!N14)/100/3.6*1000000</f>
        <v>3236.0874597102452</v>
      </c>
      <c r="G10" s="35"/>
      <c r="H10" s="34"/>
      <c r="I10" s="34"/>
      <c r="J10" s="34">
        <f>$C$30*('E Balans VL '!D14+'E Balans VL '!E14)/100/3.6*1000000</f>
        <v>0</v>
      </c>
      <c r="K10" s="34"/>
      <c r="L10" s="34"/>
      <c r="M10" s="34"/>
      <c r="N10" s="34">
        <f>$C$30*'E Balans VL '!Y14/100/3.6*1000000</f>
        <v>6385.2866261487006</v>
      </c>
      <c r="O10" s="34"/>
      <c r="P10" s="34"/>
      <c r="R10" s="33"/>
    </row>
    <row r="11" spans="1:18">
      <c r="A11" s="33" t="s">
        <v>55</v>
      </c>
      <c r="B11" s="38">
        <f t="shared" si="0"/>
        <v>56.872910240183998</v>
      </c>
      <c r="C11" s="34"/>
      <c r="D11" s="38">
        <f>IF(ISERROR(TER_onderwijs_gas_kWh/1000),0,TER_onderwijs_gas_kWh/1000)*0.902</f>
        <v>1490.1909126647524</v>
      </c>
      <c r="E11" s="34">
        <f>$C$31*'E Balans VL '!I11/100/3.6*1000000</f>
        <v>3.5054062165719178E-2</v>
      </c>
      <c r="F11" s="34">
        <f>$C$31*('E Balans VL '!L11+'E Balans VL '!N11)/100/3.6*1000000</f>
        <v>21.987988136829447</v>
      </c>
      <c r="G11" s="35"/>
      <c r="H11" s="34"/>
      <c r="I11" s="34"/>
      <c r="J11" s="34">
        <f>$C$31*('E Balans VL '!D11+'E Balans VL '!E11)/100/3.6*1000000</f>
        <v>0</v>
      </c>
      <c r="K11" s="34"/>
      <c r="L11" s="34"/>
      <c r="M11" s="34"/>
      <c r="N11" s="34">
        <f>$C$31*'E Balans VL '!Y11/100/3.6*1000000</f>
        <v>0.18499538940687699</v>
      </c>
      <c r="O11" s="34"/>
      <c r="P11" s="34"/>
      <c r="R11" s="33"/>
    </row>
    <row r="12" spans="1:18">
      <c r="A12" s="33" t="s">
        <v>260</v>
      </c>
      <c r="B12" s="38">
        <f t="shared" si="0"/>
        <v>8420.2468235978085</v>
      </c>
      <c r="C12" s="34"/>
      <c r="D12" s="38">
        <f>IF(ISERROR(TER_rest_gas_kWh/1000),0,TER_rest_gas_kWh/1000)*0.902</f>
        <v>3439.601580245379</v>
      </c>
      <c r="E12" s="34">
        <f>$C$32*'E Balans VL '!I8/100/3.6*1000000</f>
        <v>72.753801263928608</v>
      </c>
      <c r="F12" s="34">
        <f>$C$32*('E Balans VL '!L8+'E Balans VL '!N8)/100/3.6*1000000</f>
        <v>1677.2067823327527</v>
      </c>
      <c r="G12" s="35"/>
      <c r="H12" s="34"/>
      <c r="I12" s="34"/>
      <c r="J12" s="34">
        <f>$C$32*('E Balans VL '!D8+'E Balans VL '!E8)/100/3.6*1000000</f>
        <v>0</v>
      </c>
      <c r="K12" s="34"/>
      <c r="L12" s="34"/>
      <c r="M12" s="34"/>
      <c r="N12" s="34">
        <f>$C$32*'E Balans VL '!Y8/100/3.6*1000000</f>
        <v>553.82401752917349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27869.314132269436</v>
      </c>
      <c r="C16" s="22">
        <f t="shared" ca="1" si="1"/>
        <v>0</v>
      </c>
      <c r="D16" s="22">
        <f t="shared" ca="1" si="1"/>
        <v>15312.973502420498</v>
      </c>
      <c r="E16" s="22">
        <f t="shared" si="1"/>
        <v>249.86674895010771</v>
      </c>
      <c r="F16" s="22">
        <f t="shared" ca="1" si="1"/>
        <v>6453.5009283508889</v>
      </c>
      <c r="G16" s="22">
        <f t="shared" si="1"/>
        <v>0</v>
      </c>
      <c r="H16" s="22">
        <f t="shared" si="1"/>
        <v>0</v>
      </c>
      <c r="I16" s="22">
        <f t="shared" si="1"/>
        <v>0</v>
      </c>
      <c r="J16" s="22">
        <f t="shared" si="1"/>
        <v>0</v>
      </c>
      <c r="K16" s="22">
        <f t="shared" si="1"/>
        <v>0</v>
      </c>
      <c r="L16" s="22">
        <f t="shared" ca="1" si="1"/>
        <v>0</v>
      </c>
      <c r="M16" s="22">
        <f t="shared" si="1"/>
        <v>0</v>
      </c>
      <c r="N16" s="22">
        <f t="shared" ca="1" si="1"/>
        <v>6960.7316727491943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0.2107048409159524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5872.1994006765353</v>
      </c>
      <c r="C20" s="24">
        <f t="shared" ref="C20:P20" ca="1" si="2">C16*C18</f>
        <v>0</v>
      </c>
      <c r="D20" s="24">
        <f t="shared" ca="1" si="2"/>
        <v>3093.2206474889408</v>
      </c>
      <c r="E20" s="24">
        <f t="shared" si="2"/>
        <v>56.719752011674451</v>
      </c>
      <c r="F20" s="24">
        <f t="shared" ca="1" si="2"/>
        <v>1723.0847478696874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3369.5781198090599</v>
      </c>
      <c r="C26" s="40">
        <f>IF(ISERROR(B26*3.6/1000000/'E Balans VL '!Z12*100),0,B26*3.6/1000000/'E Balans VL '!Z12*100)</f>
        <v>7.1601118616868645E-2</v>
      </c>
      <c r="D26" s="240" t="s">
        <v>707</v>
      </c>
      <c r="F26" s="6"/>
    </row>
    <row r="27" spans="1:18">
      <c r="A27" s="234" t="s">
        <v>53</v>
      </c>
      <c r="B27" s="34">
        <f>IF(ISERROR(TER_horeca_ele_kWh/1000),0,TER_horeca_ele_kWh/1000)</f>
        <v>1221.5194520016598</v>
      </c>
      <c r="C27" s="40">
        <f>IF(ISERROR(B27*3.6/1000000/'E Balans VL '!Z9*100),0,B27*3.6/1000000/'E Balans VL '!Z9*100)</f>
        <v>9.6143026841488996E-2</v>
      </c>
      <c r="D27" s="240" t="s">
        <v>707</v>
      </c>
      <c r="F27" s="6"/>
    </row>
    <row r="28" spans="1:18">
      <c r="A28" s="174" t="s">
        <v>52</v>
      </c>
      <c r="B28" s="34">
        <f>IF(ISERROR(TER_handel_ele_kWh/1000),0,TER_handel_ele_kWh/1000)</f>
        <v>3164.8267762473001</v>
      </c>
      <c r="C28" s="40">
        <f>IF(ISERROR(B28*3.6/1000000/'E Balans VL '!Z13*100),0,B28*3.6/1000000/'E Balans VL '!Z13*100)</f>
        <v>8.8648491751108838E-2</v>
      </c>
      <c r="D28" s="240" t="s">
        <v>707</v>
      </c>
      <c r="F28" s="6"/>
    </row>
    <row r="29" spans="1:18">
      <c r="A29" s="234" t="s">
        <v>51</v>
      </c>
      <c r="B29" s="34">
        <f>IF(ISERROR(TER_gezond_ele_kWh/1000),0,TER_gezond_ele_kWh/1000)</f>
        <v>567.39832622241909</v>
      </c>
      <c r="C29" s="40">
        <f>IF(ISERROR(B29*3.6/1000000/'E Balans VL '!Z10*100),0,B29*3.6/1000000/'E Balans VL '!Z10*100)</f>
        <v>7.2587403358227137E-2</v>
      </c>
      <c r="D29" s="240" t="s">
        <v>707</v>
      </c>
      <c r="F29" s="6"/>
    </row>
    <row r="30" spans="1:18">
      <c r="A30" s="234" t="s">
        <v>50</v>
      </c>
      <c r="B30" s="34">
        <f>IF(ISERROR(TER_ander_ele_kWh/1000),0,TER_ander_ele_kWh/1000)</f>
        <v>11068.871724151</v>
      </c>
      <c r="C30" s="40">
        <f>IF(ISERROR(B30*3.6/1000000/'E Balans VL '!Z14*100),0,B30*3.6/1000000/'E Balans VL '!Z14*100)</f>
        <v>0.82785833702405875</v>
      </c>
      <c r="D30" s="240" t="s">
        <v>707</v>
      </c>
      <c r="F30" s="6"/>
    </row>
    <row r="31" spans="1:18">
      <c r="A31" s="234" t="s">
        <v>55</v>
      </c>
      <c r="B31" s="34">
        <f>IF(ISERROR(TER_onderwijs_ele_kWh/1000),0,TER_onderwijs_ele_kWh/1000)</f>
        <v>56.872910240183998</v>
      </c>
      <c r="C31" s="40">
        <f>IF(ISERROR(B31*3.6/1000000/'E Balans VL '!Z11*100),0,B31*3.6/1000000/'E Balans VL '!Z11*100)</f>
        <v>1.2008788666463941E-2</v>
      </c>
      <c r="D31" s="240" t="s">
        <v>707</v>
      </c>
    </row>
    <row r="32" spans="1:18">
      <c r="A32" s="234" t="s">
        <v>260</v>
      </c>
      <c r="B32" s="34">
        <f>IF(ISERROR(TER_rest_ele_kWh/1000),0,TER_rest_ele_kWh/1000)</f>
        <v>8420.2468235978085</v>
      </c>
      <c r="C32" s="40">
        <f>IF(ISERROR(B32*3.6/1000000/'E Balans VL '!Z8*100),0,B32*3.6/1000000/'E Balans VL '!Z8*100)</f>
        <v>6.9365421307032868E-2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57612.675720441606</v>
      </c>
      <c r="C5" s="18">
        <f>IF(ISERROR('Eigen informatie GS &amp; warmtenet'!B59),0,'Eigen informatie GS &amp; warmtenet'!B59)</f>
        <v>0</v>
      </c>
      <c r="D5" s="31">
        <f>SUM(D6:D15)</f>
        <v>27181.002345439898</v>
      </c>
      <c r="E5" s="18">
        <f>SUM(E6:E15)</f>
        <v>491.58431836517747</v>
      </c>
      <c r="F5" s="18">
        <f>SUM(F6:F15)</f>
        <v>10333.702209757348</v>
      </c>
      <c r="G5" s="19"/>
      <c r="H5" s="18"/>
      <c r="I5" s="18"/>
      <c r="J5" s="18">
        <f>SUM(J6:J15)</f>
        <v>220.41220652114066</v>
      </c>
      <c r="K5" s="18"/>
      <c r="L5" s="18"/>
      <c r="M5" s="18"/>
      <c r="N5" s="18">
        <f>SUM(N6:N15)</f>
        <v>1578.8751535753856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203.35090903935898</v>
      </c>
      <c r="C8" s="34"/>
      <c r="D8" s="38">
        <f>IF( ISERROR(IND_metaal_Gas_kWH/1000),0,IND_metaal_Gas_kWH/1000)*0.902</f>
        <v>126.9690557782031</v>
      </c>
      <c r="E8" s="34">
        <f>C30*'E Balans VL '!I18/100/3.6*1000000</f>
        <v>1.8518800822753476</v>
      </c>
      <c r="F8" s="34">
        <f>C30*'E Balans VL '!L18/100/3.6*1000000+C30*'E Balans VL '!N18/100/3.6*1000000</f>
        <v>26.820440628964473</v>
      </c>
      <c r="G8" s="35"/>
      <c r="H8" s="34"/>
      <c r="I8" s="34"/>
      <c r="J8" s="41">
        <f>C30*'E Balans VL '!D18/100/3.6*1000000+C30*'E Balans VL '!E18/100/3.6*1000000</f>
        <v>3.3346596533573716</v>
      </c>
      <c r="K8" s="34"/>
      <c r="L8" s="34"/>
      <c r="M8" s="34"/>
      <c r="N8" s="34">
        <f>C30*'E Balans VL '!Y18/100/3.6*1000000</f>
        <v>0.69883629342687947</v>
      </c>
      <c r="O8" s="34"/>
      <c r="P8" s="34"/>
      <c r="R8" s="33"/>
    </row>
    <row r="9" spans="1:18">
      <c r="A9" s="6" t="s">
        <v>33</v>
      </c>
      <c r="B9" s="38">
        <f t="shared" si="0"/>
        <v>842.92713930060199</v>
      </c>
      <c r="C9" s="34"/>
      <c r="D9" s="38">
        <f>IF( ISERROR(IND_andere_gas_kWh/1000),0,IND_andere_gas_kWh/1000)*0.902</f>
        <v>1022.0058156219957</v>
      </c>
      <c r="E9" s="34">
        <f>C31*'E Balans VL '!I19/100/3.6*1000000</f>
        <v>4.8722448301995041</v>
      </c>
      <c r="F9" s="34">
        <f>C31*'E Balans VL '!L19/100/3.6*1000000+C31*'E Balans VL '!N19/100/3.6*1000000</f>
        <v>670.58909936255191</v>
      </c>
      <c r="G9" s="35"/>
      <c r="H9" s="34"/>
      <c r="I9" s="34"/>
      <c r="J9" s="41">
        <f>C31*'E Balans VL '!D19/100/3.6*1000000+C31*'E Balans VL '!E19/100/3.6*1000000</f>
        <v>7.9731544408368452E-2</v>
      </c>
      <c r="K9" s="34"/>
      <c r="L9" s="34"/>
      <c r="M9" s="34"/>
      <c r="N9" s="34">
        <f>C31*'E Balans VL '!Y19/100/3.6*1000000</f>
        <v>63.864487077409407</v>
      </c>
      <c r="O9" s="34"/>
      <c r="P9" s="34"/>
      <c r="R9" s="33"/>
    </row>
    <row r="10" spans="1:18">
      <c r="A10" s="6" t="s">
        <v>41</v>
      </c>
      <c r="B10" s="38">
        <f t="shared" si="0"/>
        <v>8880.9031106801795</v>
      </c>
      <c r="C10" s="34"/>
      <c r="D10" s="38">
        <f>IF( ISERROR(IND_voed_gas_kWh/1000),0,IND_voed_gas_kWh/1000)*0.902</f>
        <v>871.25123821743057</v>
      </c>
      <c r="E10" s="34">
        <f>C32*'E Balans VL '!I20/100/3.6*1000000</f>
        <v>87.322511364334972</v>
      </c>
      <c r="F10" s="34">
        <f>C32*'E Balans VL '!L20/100/3.6*1000000+C32*'E Balans VL '!N20/100/3.6*1000000</f>
        <v>986.34020971121356</v>
      </c>
      <c r="G10" s="35"/>
      <c r="H10" s="34"/>
      <c r="I10" s="34"/>
      <c r="J10" s="41">
        <f>C32*'E Balans VL '!D20/100/3.6*1000000+C32*'E Balans VL '!E20/100/3.6*1000000</f>
        <v>3.5003670846606917E-2</v>
      </c>
      <c r="K10" s="34"/>
      <c r="L10" s="34"/>
      <c r="M10" s="34"/>
      <c r="N10" s="34">
        <f>C32*'E Balans VL '!Y20/100/3.6*1000000</f>
        <v>131.50528498308063</v>
      </c>
      <c r="O10" s="34"/>
      <c r="P10" s="34"/>
      <c r="R10" s="33"/>
    </row>
    <row r="11" spans="1:18">
      <c r="A11" s="6" t="s">
        <v>40</v>
      </c>
      <c r="B11" s="38">
        <f t="shared" si="0"/>
        <v>4509.6278819983299</v>
      </c>
      <c r="C11" s="34"/>
      <c r="D11" s="38">
        <f>IF( ISERROR(IND_textiel_gas_kWh/1000),0,IND_textiel_gas_kWh/1000)*0.902</f>
        <v>0</v>
      </c>
      <c r="E11" s="34">
        <f>C33*'E Balans VL '!I21/100/3.6*1000000</f>
        <v>8.7812926527180224</v>
      </c>
      <c r="F11" s="34">
        <f>C33*'E Balans VL '!L21/100/3.6*1000000+C33*'E Balans VL '!N21/100/3.6*1000000</f>
        <v>148.74232590835464</v>
      </c>
      <c r="G11" s="35"/>
      <c r="H11" s="34"/>
      <c r="I11" s="34"/>
      <c r="J11" s="41">
        <f>C33*'E Balans VL '!D21/100/3.6*1000000+C33*'E Balans VL '!E21/100/3.6*1000000</f>
        <v>0</v>
      </c>
      <c r="K11" s="34"/>
      <c r="L11" s="34"/>
      <c r="M11" s="34"/>
      <c r="N11" s="34">
        <f>C33*'E Balans VL '!Y21/100/3.6*1000000</f>
        <v>46.776702257181135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31.5601669412432</v>
      </c>
      <c r="C13" s="34"/>
      <c r="D13" s="38">
        <f>IF( ISERROR(IND_papier_gas_kWh/1000),0,IND_papier_gas_kWh/1000)*0.902</f>
        <v>0</v>
      </c>
      <c r="E13" s="34">
        <f>C35*'E Balans VL '!I23/100/3.6*1000000</f>
        <v>1.0749850453023559</v>
      </c>
      <c r="F13" s="34">
        <f>C35*'E Balans VL '!L23/100/3.6*1000000+C35*'E Balans VL '!N23/100/3.6*1000000</f>
        <v>5.2129988775192793</v>
      </c>
      <c r="G13" s="35"/>
      <c r="H13" s="34"/>
      <c r="I13" s="34"/>
      <c r="J13" s="41">
        <f>C35*'E Balans VL '!D23/100/3.6*1000000+C35*'E Balans VL '!E23/100/3.6*1000000</f>
        <v>0</v>
      </c>
      <c r="K13" s="34"/>
      <c r="L13" s="34"/>
      <c r="M13" s="34"/>
      <c r="N13" s="34">
        <f>C35*'E Balans VL '!Y23/100/3.6*1000000</f>
        <v>11.613295056311406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43144.306512481897</v>
      </c>
      <c r="C15" s="34"/>
      <c r="D15" s="38">
        <f>IF( ISERROR(IND_rest_gas_kWh/1000),0,IND_rest_gas_kWh/1000)*0.902</f>
        <v>25160.776235822268</v>
      </c>
      <c r="E15" s="34">
        <f>C37*'E Balans VL '!I15/100/3.6*1000000</f>
        <v>387.68140439034727</v>
      </c>
      <c r="F15" s="34">
        <f>C37*'E Balans VL '!L15/100/3.6*1000000+C37*'E Balans VL '!N15/100/3.6*1000000</f>
        <v>8495.9971352687444</v>
      </c>
      <c r="G15" s="35"/>
      <c r="H15" s="34"/>
      <c r="I15" s="34"/>
      <c r="J15" s="41">
        <f>C37*'E Balans VL '!D15/100/3.6*1000000+C37*'E Balans VL '!E15/100/3.6*1000000</f>
        <v>216.9628116525283</v>
      </c>
      <c r="K15" s="34"/>
      <c r="L15" s="34"/>
      <c r="M15" s="34"/>
      <c r="N15" s="34">
        <f>C37*'E Balans VL '!Y15/100/3.6*1000000</f>
        <v>1324.4165479079761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57612.675720441606</v>
      </c>
      <c r="C18" s="22">
        <f>C5+C16</f>
        <v>0</v>
      </c>
      <c r="D18" s="22">
        <f>MAX((D5+D16),0)</f>
        <v>27181.002345439898</v>
      </c>
      <c r="E18" s="22">
        <f>MAX((E5+E16),0)</f>
        <v>491.58431836517747</v>
      </c>
      <c r="F18" s="22">
        <f>MAX((F5+F16),0)</f>
        <v>10333.702209757348</v>
      </c>
      <c r="G18" s="22"/>
      <c r="H18" s="22"/>
      <c r="I18" s="22"/>
      <c r="J18" s="22">
        <f>MAX((J5+J16),0)</f>
        <v>220.41220652114066</v>
      </c>
      <c r="K18" s="22"/>
      <c r="L18" s="22">
        <f>MAX((L5+L16),0)</f>
        <v>0</v>
      </c>
      <c r="M18" s="22"/>
      <c r="N18" s="22">
        <f>MAX((N5+N16),0)</f>
        <v>1578.8751535753856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0.2107048409159524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12139.269672418002</v>
      </c>
      <c r="C22" s="24">
        <f ca="1">C18*C20</f>
        <v>0</v>
      </c>
      <c r="D22" s="24">
        <f>D18*D20</f>
        <v>5490.5624737788594</v>
      </c>
      <c r="E22" s="24">
        <f>E18*E20</f>
        <v>111.58964026889529</v>
      </c>
      <c r="F22" s="24">
        <f>F18*F20</f>
        <v>2759.0984900052122</v>
      </c>
      <c r="G22" s="24"/>
      <c r="H22" s="24"/>
      <c r="I22" s="24"/>
      <c r="J22" s="24">
        <f>J18*J20</f>
        <v>78.025921108483786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203.35090903935898</v>
      </c>
      <c r="C30" s="40">
        <f>IF(ISERROR(B30*3.6/1000000/'E Balans VL '!Z18*100),0,B30*3.6/1000000/'E Balans VL '!Z18*100)</f>
        <v>1.1315118292178274E-2</v>
      </c>
      <c r="D30" s="240" t="s">
        <v>707</v>
      </c>
    </row>
    <row r="31" spans="1:18">
      <c r="A31" s="6" t="s">
        <v>33</v>
      </c>
      <c r="B31" s="38">
        <f>IF( ISERROR(IND_ander_ele_kWh/1000),0,IND_ander_ele_kWh/1000)</f>
        <v>842.92713930060199</v>
      </c>
      <c r="C31" s="40">
        <f>IF(ISERROR(B31*3.6/1000000/'E Balans VL '!Z19*100),0,B31*3.6/1000000/'E Balans VL '!Z19*100)</f>
        <v>3.9185468924249345E-2</v>
      </c>
      <c r="D31" s="240" t="s">
        <v>707</v>
      </c>
    </row>
    <row r="32" spans="1:18">
      <c r="A32" s="174" t="s">
        <v>41</v>
      </c>
      <c r="B32" s="38">
        <f>IF( ISERROR(IND_voed_ele_kWh/1000),0,IND_voed_ele_kWh/1000)</f>
        <v>8880.9031106801795</v>
      </c>
      <c r="C32" s="40">
        <f>IF(ISERROR(B32*3.6/1000000/'E Balans VL '!Z20*100),0,B32*3.6/1000000/'E Balans VL '!Z20*100)</f>
        <v>0.31392198921912573</v>
      </c>
      <c r="D32" s="240" t="s">
        <v>707</v>
      </c>
    </row>
    <row r="33" spans="1:5">
      <c r="A33" s="174" t="s">
        <v>40</v>
      </c>
      <c r="B33" s="38">
        <f>IF( ISERROR(IND_textiel_ele_kWh/1000),0,IND_textiel_ele_kWh/1000)</f>
        <v>4509.6278819983299</v>
      </c>
      <c r="C33" s="40">
        <f>IF(ISERROR(B33*3.6/1000000/'E Balans VL '!Z21*100),0,B33*3.6/1000000/'E Balans VL '!Z21*100)</f>
        <v>0.60909367427153782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31.5601669412432</v>
      </c>
      <c r="C35" s="40">
        <f>IF(ISERROR(B35*3.6/1000000/'E Balans VL '!Z22*100),0,B35*3.6/1000000/'E Balans VL '!Z22*100)</f>
        <v>6.3427035885488632E-3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43144.306512481897</v>
      </c>
      <c r="C37" s="40">
        <f>IF(ISERROR(B37*3.6/1000000/'E Balans VL '!Z15*100),0,B37*3.6/1000000/'E Balans VL '!Z15*100)</f>
        <v>0.32580324794745846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804.31717793432176</v>
      </c>
      <c r="C5" s="18">
        <f>'Eigen informatie GS &amp; warmtenet'!B60</f>
        <v>0</v>
      </c>
      <c r="D5" s="31">
        <f>IF(ISERROR(SUM(LB_lb_gas_kWh,LB_rest_gas_kWh)/1000),0,SUM(LB_lb_gas_kWh,LB_rest_gas_kWh)/1000)*0.902</f>
        <v>357.79573358566341</v>
      </c>
      <c r="E5" s="18">
        <f>B17*'E Balans VL '!I25/3.6*1000000/100</f>
        <v>7.577206726328451</v>
      </c>
      <c r="F5" s="18">
        <f>B17*('E Balans VL '!L25/3.6*1000000+'E Balans VL '!N25/3.6*1000000)/100</f>
        <v>2624.7538810284354</v>
      </c>
      <c r="G5" s="19"/>
      <c r="H5" s="18"/>
      <c r="I5" s="18"/>
      <c r="J5" s="18">
        <f>('E Balans VL '!D25+'E Balans VL '!E25)/3.6*1000000*landbouw!B17/100</f>
        <v>99.497947108477589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804.31717793432176</v>
      </c>
      <c r="C8" s="22">
        <f>C5+C6</f>
        <v>0</v>
      </c>
      <c r="D8" s="22">
        <f>MAX((D5+D6),0)</f>
        <v>357.79573358566341</v>
      </c>
      <c r="E8" s="22">
        <f>MAX((E5+E6),0)</f>
        <v>7.577206726328451</v>
      </c>
      <c r="F8" s="22">
        <f>MAX((F5+F6),0)</f>
        <v>2624.7538810284354</v>
      </c>
      <c r="G8" s="22"/>
      <c r="H8" s="22"/>
      <c r="I8" s="22"/>
      <c r="J8" s="22">
        <f>MAX((J5+J6),0)</f>
        <v>99.497947108477589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0.2107048409159524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169.47352302261905</v>
      </c>
      <c r="C12" s="24">
        <f ca="1">C8*C10</f>
        <v>0</v>
      </c>
      <c r="D12" s="24">
        <f>D8*D10</f>
        <v>72.274738184304013</v>
      </c>
      <c r="E12" s="24">
        <f>E8*E10</f>
        <v>1.7200259268765585</v>
      </c>
      <c r="F12" s="24">
        <f>F8*F10</f>
        <v>700.80928623459226</v>
      </c>
      <c r="G12" s="24"/>
      <c r="H12" s="24"/>
      <c r="I12" s="24"/>
      <c r="J12" s="24">
        <f>J8*J10</f>
        <v>35.222273276401062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0.10889169331466174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155.83337700427114</v>
      </c>
      <c r="C26" s="250">
        <f>B26*'GWP N2O_CH4'!B5</f>
        <v>3272.5009170896938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28.881396094948698</v>
      </c>
      <c r="C27" s="250">
        <f>B27*'GWP N2O_CH4'!B5</f>
        <v>606.50931799392265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1.8309773280221213</v>
      </c>
      <c r="C28" s="250">
        <f>B28*'GWP N2O_CH4'!B4</f>
        <v>567.60297168685759</v>
      </c>
      <c r="D28" s="51"/>
    </row>
    <row r="29" spans="1:4">
      <c r="A29" s="42" t="s">
        <v>277</v>
      </c>
      <c r="B29" s="250">
        <f>B34*'ha_N2O bodem landbouw'!B4</f>
        <v>6.3923078659488013</v>
      </c>
      <c r="C29" s="250">
        <f>B29*'GWP N2O_CH4'!B4</f>
        <v>1981.6154384441284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1.7257218922488435E-3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6.0612981689036842E-6</v>
      </c>
      <c r="C5" s="447" t="s">
        <v>211</v>
      </c>
      <c r="D5" s="432">
        <f>SUM(D6:D11)</f>
        <v>2.28265252795763E-5</v>
      </c>
      <c r="E5" s="432">
        <f>SUM(E6:E11)</f>
        <v>1.264275321065534E-3</v>
      </c>
      <c r="F5" s="445" t="s">
        <v>211</v>
      </c>
      <c r="G5" s="432">
        <f>SUM(G6:G11)</f>
        <v>0.22075738172750914</v>
      </c>
      <c r="H5" s="432">
        <f>SUM(H6:H11)</f>
        <v>4.9551389670951095E-2</v>
      </c>
      <c r="I5" s="447" t="s">
        <v>211</v>
      </c>
      <c r="J5" s="447" t="s">
        <v>211</v>
      </c>
      <c r="K5" s="447" t="s">
        <v>211</v>
      </c>
      <c r="L5" s="447" t="s">
        <v>211</v>
      </c>
      <c r="M5" s="432">
        <f>SUM(M6:M11)</f>
        <v>1.2096985091108401E-2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1.9235070337812552E-6</v>
      </c>
      <c r="C6" s="433"/>
      <c r="D6" s="433">
        <f>vkm_2011_GW_PW*SUMIFS(TableVerdeelsleutelVkm[CNG],TableVerdeelsleutelVkm[Voertuigtype],"Lichte voertuigen")*SUMIFS(TableECFTransport[EnergieConsumptieFactor (PJ per km)],TableECFTransport[Index],CONCATENATE($A6,"_CNG_CNG"))</f>
        <v>4.6972363896708733E-6</v>
      </c>
      <c r="E6" s="435">
        <f>vkm_2011_GW_PW*SUMIFS(TableVerdeelsleutelVkm[LPG],TableVerdeelsleutelVkm[Voertuigtype],"Lichte voertuigen")*SUMIFS(TableECFTransport[EnergieConsumptieFactor (PJ per km)],TableECFTransport[Index],CONCATENATE($A6,"_LPG_LPG"))</f>
        <v>2.784278985148395E-4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4.0250028010329862E-2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1.0548375979623119E-2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2.2748460816689013E-3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2.0444267099731298E-2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8.2484647197631338E-6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9.1078577388107912E-4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4.1377911351224286E-6</v>
      </c>
      <c r="C8" s="433"/>
      <c r="D8" s="435">
        <f>vkm_2011_NGW_PW*SUMIFS(TableVerdeelsleutelVkm[CNG],TableVerdeelsleutelVkm[Voertuigtype],"Lichte voertuigen")*SUMIFS(TableECFTransport[EnergieConsumptieFactor (PJ per km)],TableECFTransport[Index],CONCATENATE($A8,"_CNG_CNG"))</f>
        <v>1.8129288889905425E-5</v>
      </c>
      <c r="E8" s="435">
        <f>vkm_2011_NGW_PW*SUMIFS(TableVerdeelsleutelVkm[LPG],TableVerdeelsleutelVkm[Voertuigtype],"Lichte voertuigen")*SUMIFS(TableECFTransport[EnergieConsumptieFactor (PJ per km)],TableECFTransport[Index],CONCATENATE($A8,"_LPG_LPG"))</f>
        <v>9.858474225506945E-4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0.13463257215541363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3.8985831697237981E-2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7.77849236476466E-3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2.5430514462034343E-2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8.9335293702297659E-6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1.1328608707937618E-3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1.683693935806579</v>
      </c>
      <c r="C14" s="22"/>
      <c r="D14" s="22">
        <f t="shared" ref="D14:M14" si="0">((D5)*10^9/3600)+D12</f>
        <v>6.340701466548972</v>
      </c>
      <c r="E14" s="22">
        <f t="shared" si="0"/>
        <v>351.18758918487055</v>
      </c>
      <c r="F14" s="22"/>
      <c r="G14" s="22">
        <f t="shared" si="0"/>
        <v>61321.494924308092</v>
      </c>
      <c r="H14" s="22">
        <f t="shared" si="0"/>
        <v>13764.274908597527</v>
      </c>
      <c r="I14" s="22"/>
      <c r="J14" s="22"/>
      <c r="K14" s="22"/>
      <c r="L14" s="22"/>
      <c r="M14" s="22">
        <f t="shared" si="0"/>
        <v>3360.2736364190005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0.2107048409159524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0.35476246289527902</v>
      </c>
      <c r="C18" s="24"/>
      <c r="D18" s="24">
        <f t="shared" ref="D18:M18" si="1">D14*D16</f>
        <v>1.2808216962428924</v>
      </c>
      <c r="E18" s="24">
        <f t="shared" si="1"/>
        <v>79.719582744965621</v>
      </c>
      <c r="F18" s="24"/>
      <c r="G18" s="24">
        <f t="shared" si="1"/>
        <v>16372.839144790261</v>
      </c>
      <c r="H18" s="24">
        <f t="shared" si="1"/>
        <v>3427.304452240784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1.673619267448342E-3</v>
      </c>
      <c r="H50" s="323">
        <f t="shared" si="2"/>
        <v>0</v>
      </c>
      <c r="I50" s="323">
        <f t="shared" si="2"/>
        <v>0</v>
      </c>
      <c r="J50" s="323">
        <f t="shared" si="2"/>
        <v>0</v>
      </c>
      <c r="K50" s="323">
        <f t="shared" si="2"/>
        <v>0</v>
      </c>
      <c r="L50" s="323">
        <f t="shared" si="2"/>
        <v>0</v>
      </c>
      <c r="M50" s="323">
        <f t="shared" si="2"/>
        <v>7.3491382841329891E-5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1.673619267448342E-3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7.3491382841329891E-5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464.89424095787274</v>
      </c>
      <c r="H54" s="22">
        <f t="shared" si="3"/>
        <v>0</v>
      </c>
      <c r="I54" s="22">
        <f t="shared" si="3"/>
        <v>0</v>
      </c>
      <c r="J54" s="22">
        <f t="shared" si="3"/>
        <v>0</v>
      </c>
      <c r="K54" s="22">
        <f t="shared" si="3"/>
        <v>0</v>
      </c>
      <c r="L54" s="22">
        <f t="shared" si="3"/>
        <v>0</v>
      </c>
      <c r="M54" s="22">
        <f t="shared" si="3"/>
        <v>20.414273011480525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0.2107048409159524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124.12676233575203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5409.3727731555564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5409.3727731555564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2019-06-29T16:13:43Z</dcterms:modified>
</cp:coreProperties>
</file>