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B6"/>
  <c r="B5"/>
  <c r="B4"/>
  <c r="O9" l="1"/>
  <c r="O18"/>
  <c r="B17"/>
  <c r="B20" s="1"/>
  <c r="C98"/>
  <c r="F101" s="1"/>
  <c r="B10"/>
  <c r="B8"/>
  <c r="O19"/>
  <c r="I102"/>
  <c r="H17" s="1"/>
  <c r="H20" s="1"/>
  <c r="E102"/>
  <c r="E17" s="1"/>
  <c r="E20" s="1"/>
  <c r="G102"/>
  <c r="C102"/>
  <c r="H102"/>
  <c r="D102"/>
  <c r="F102"/>
  <c r="B102"/>
  <c r="C17" s="1"/>
  <c r="I101"/>
  <c r="H8" s="1"/>
  <c r="H10" s="1"/>
  <c r="E101"/>
  <c r="E8" s="1"/>
  <c r="E10" s="1"/>
  <c r="G101"/>
  <c r="C101"/>
  <c r="H101"/>
  <c r="B101"/>
  <c r="C8" s="1"/>
  <c r="N6" i="17"/>
  <c r="L6"/>
  <c r="F6"/>
  <c r="D6"/>
  <c r="C6"/>
  <c r="N16" i="16"/>
  <c r="L16"/>
  <c r="F16"/>
  <c r="D16"/>
  <c r="C16"/>
  <c r="B16"/>
  <c r="B13" i="15"/>
  <c r="D101" i="18" l="1"/>
  <c r="J8" s="1"/>
  <c r="C10"/>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Q11" s="1"/>
  <c r="P32"/>
  <c r="O32"/>
  <c r="P31"/>
  <c r="O31"/>
  <c r="Q12"/>
  <c r="O29"/>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Q14" s="1"/>
  <c r="P26" i="14"/>
  <c r="L22"/>
  <c r="D22"/>
  <c r="R12"/>
  <c r="F13" i="15"/>
  <c r="D13"/>
  <c r="C13"/>
  <c r="J10" i="18" l="1"/>
  <c r="J76" i="14"/>
  <c r="C76" s="1"/>
  <c r="K78"/>
  <c r="K8" i="56"/>
  <c r="K10" s="1"/>
  <c r="O78" i="14"/>
  <c r="O9" i="56"/>
  <c r="O10" s="1"/>
  <c r="C77" i="14"/>
  <c r="C9" i="56" s="1"/>
  <c r="D9"/>
  <c r="D10" s="1"/>
  <c r="K90" i="14"/>
  <c r="K18" i="56"/>
  <c r="N78" i="14"/>
  <c r="N8" i="56"/>
  <c r="N10" s="1"/>
  <c r="K20"/>
  <c r="G78" i="14"/>
  <c r="F78"/>
  <c r="G10" i="56"/>
  <c r="N90" i="14"/>
  <c r="F10" i="56"/>
  <c r="F20"/>
  <c r="L90" i="14"/>
  <c r="L17" i="56"/>
  <c r="L20" s="1"/>
  <c r="G90" i="14"/>
  <c r="G18" i="56"/>
  <c r="G20" s="1"/>
  <c r="O90" i="14"/>
  <c r="O18" i="56"/>
  <c r="O20" s="1"/>
  <c r="Q88" i="14"/>
  <c r="P18" i="56" s="1"/>
  <c r="D18"/>
  <c r="E8"/>
  <c r="E10" s="1"/>
  <c r="M78" i="14"/>
  <c r="M8" i="56"/>
  <c r="M10" s="1"/>
  <c r="H78" i="14"/>
  <c r="H9" i="56"/>
  <c r="H10" s="1"/>
  <c r="Q87" i="14"/>
  <c r="P17" i="56" s="1"/>
  <c r="P20" s="1"/>
  <c r="D17"/>
  <c r="D20" s="1"/>
  <c r="F90" i="14"/>
  <c r="E20" i="56"/>
  <c r="H90" i="14"/>
  <c r="M20" i="56"/>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C8" i="56" l="1"/>
  <c r="C10" s="1"/>
  <c r="C78" i="14"/>
  <c r="C20" i="56"/>
  <c r="J8"/>
  <c r="J10" s="1"/>
  <c r="J78" i="14"/>
  <c r="Q78"/>
  <c r="B9" i="6" s="1"/>
  <c r="P9" i="56"/>
  <c r="P10" s="1"/>
  <c r="J90" i="14"/>
  <c r="J17" i="56"/>
  <c r="J20" s="1"/>
  <c r="B76" i="14"/>
  <c r="C90"/>
  <c r="B87"/>
  <c r="B8" i="56" l="1"/>
  <c r="B10" s="1"/>
  <c r="B78" i="14"/>
  <c r="B4" i="6" s="1"/>
  <c r="B90" i="14"/>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8"/>
  <c r="K26"/>
  <c r="K27"/>
  <c r="K30"/>
  <c r="K24"/>
  <c r="K29"/>
  <c r="K22"/>
  <c r="K31"/>
  <c r="K25"/>
  <c r="J10" i="14"/>
  <c r="J16" s="1"/>
  <c r="J27" s="1"/>
  <c r="I5" i="48"/>
  <c r="Q11" i="14"/>
  <c r="P4" i="48"/>
  <c r="D4"/>
  <c r="D22" s="1"/>
  <c r="E11" i="14"/>
  <c r="C4" i="48"/>
  <c r="D11" i="14"/>
  <c r="G29" i="48"/>
  <c r="G32"/>
  <c r="G25"/>
  <c r="G30"/>
  <c r="G24"/>
  <c r="G26"/>
  <c r="G22"/>
  <c r="G23"/>
  <c r="C11" i="14"/>
  <c r="B4" i="48"/>
  <c r="F24"/>
  <c r="F31"/>
  <c r="F32"/>
  <c r="F30"/>
  <c r="F29"/>
  <c r="F27"/>
  <c r="F28"/>
  <c r="N31"/>
  <c r="N29"/>
  <c r="N24"/>
  <c r="N32"/>
  <c r="N30"/>
  <c r="N27"/>
  <c r="N28"/>
  <c r="C19" i="14"/>
  <c r="B10" i="48"/>
  <c r="J27"/>
  <c r="J24"/>
  <c r="J32"/>
  <c r="J30"/>
  <c r="J28"/>
  <c r="J29"/>
  <c r="J31"/>
  <c r="B7"/>
  <c r="C24" i="14"/>
  <c r="C26" s="1"/>
  <c r="P11"/>
  <c r="O4" i="48"/>
  <c r="I28"/>
  <c r="I27"/>
  <c r="I22"/>
  <c r="I32"/>
  <c r="I25"/>
  <c r="I31"/>
  <c r="I29"/>
  <c r="I30"/>
  <c r="I26"/>
  <c r="I24"/>
  <c r="H32"/>
  <c r="H28"/>
  <c r="H24"/>
  <c r="H29"/>
  <c r="H22"/>
  <c r="H30"/>
  <c r="H25"/>
  <c r="H26"/>
  <c r="H23"/>
  <c r="E32"/>
  <c r="E29"/>
  <c r="E30"/>
  <c r="E31"/>
  <c r="E24"/>
  <c r="E28"/>
  <c r="M12" i="13"/>
  <c r="N41" i="14" s="1"/>
  <c r="M17" i="48"/>
  <c r="K5"/>
  <c r="L10" i="14"/>
  <c r="L16" s="1"/>
  <c r="L27" s="1"/>
  <c r="D30" i="48"/>
  <c r="D28"/>
  <c r="D29"/>
  <c r="D24"/>
  <c r="D31"/>
  <c r="D32"/>
  <c r="L32"/>
  <c r="L28"/>
  <c r="L24"/>
  <c r="L31"/>
  <c r="L22"/>
  <c r="L30"/>
  <c r="L27"/>
  <c r="L29"/>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G11" i="14"/>
  <c r="F4" i="48"/>
  <c r="F22" s="1"/>
  <c r="I18" i="14"/>
  <c r="H13" i="48"/>
  <c r="H31" s="1"/>
  <c r="Q13" i="14"/>
  <c r="P8" i="48"/>
  <c r="P26" s="1"/>
  <c r="M25"/>
  <c r="M26"/>
  <c r="M32"/>
  <c r="M29"/>
  <c r="M24"/>
  <c r="M30"/>
  <c r="M22"/>
  <c r="M23"/>
  <c r="I23"/>
  <c r="I15"/>
  <c r="H18" i="14"/>
  <c r="G13" i="48"/>
  <c r="M13"/>
  <c r="M31" s="1"/>
  <c r="N18" i="14"/>
  <c r="K23" i="48"/>
  <c r="K15"/>
  <c r="J12" i="17"/>
  <c r="K54" i="14" s="1"/>
  <c r="K56" s="1"/>
  <c r="J7" i="48"/>
  <c r="J25" s="1"/>
  <c r="K24" i="14"/>
  <c r="K26" s="1"/>
  <c r="P22" i="48"/>
  <c r="I33"/>
  <c r="Q16" i="14"/>
  <c r="Q27" s="1"/>
  <c r="L63"/>
  <c r="P10"/>
  <c r="O5" i="48"/>
  <c r="O23" s="1"/>
  <c r="J46" i="14"/>
  <c r="J61" s="1"/>
  <c r="J63"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i="17"/>
  <c r="F54" i="14" s="1"/>
  <c r="F56" s="1"/>
  <c r="E12" i="13" l="1"/>
  <c r="F41" i="14" s="1"/>
  <c r="E4" i="48"/>
  <c r="F11" i="14"/>
  <c r="R11" s="1"/>
  <c r="M10" i="48"/>
  <c r="M28" s="1"/>
  <c r="N19" i="14"/>
  <c r="E20"/>
  <c r="E22" s="1"/>
  <c r="D9" i="48"/>
  <c r="D27" s="1"/>
  <c r="C20" i="14"/>
  <c r="B9" i="48"/>
  <c r="R18" i="14"/>
  <c r="P16"/>
  <c r="P27" s="1"/>
  <c r="D18" i="22"/>
  <c r="E50" i="14" s="1"/>
  <c r="E52" s="1"/>
  <c r="Q46"/>
  <c r="Q61" s="1"/>
  <c r="Q63" s="1"/>
  <c r="I22"/>
  <c r="I27" s="1"/>
  <c r="E9" i="48"/>
  <c r="E27" s="1"/>
  <c r="F20" i="14"/>
  <c r="F22" s="1"/>
  <c r="H9" i="48"/>
  <c r="I20" i="14"/>
  <c r="P13"/>
  <c r="O8" i="48"/>
  <c r="O11" i="14"/>
  <c r="N4" i="48"/>
  <c r="N22" s="1"/>
  <c r="H19" i="14"/>
  <c r="R19" s="1"/>
  <c r="G10" i="48"/>
  <c r="G31"/>
  <c r="Q13"/>
  <c r="K11" i="14"/>
  <c r="J4" i="48"/>
  <c r="E7"/>
  <c r="E25" s="1"/>
  <c r="F24" i="14"/>
  <c r="F26" s="1"/>
  <c r="P15" i="48"/>
  <c r="M14" i="22"/>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E22" i="48" l="1"/>
  <c r="Q4"/>
  <c r="J5"/>
  <c r="J23" s="1"/>
  <c r="K10" i="14"/>
  <c r="F10"/>
  <c r="E5" i="48"/>
  <c r="E23" s="1"/>
  <c r="H22" i="14"/>
  <c r="H27" s="1"/>
  <c r="E46"/>
  <c r="E61" s="1"/>
  <c r="G9" i="48"/>
  <c r="H20" i="14"/>
  <c r="G28" i="48"/>
  <c r="Q10"/>
  <c r="H27"/>
  <c r="H33" s="1"/>
  <c r="H15"/>
  <c r="J22"/>
  <c r="O26"/>
  <c r="O33" s="1"/>
  <c r="O15"/>
  <c r="M9"/>
  <c r="N20" i="14"/>
  <c r="N22" s="1"/>
  <c r="N27" s="1"/>
  <c r="N63" s="1"/>
  <c r="R20"/>
  <c r="R22" s="1"/>
  <c r="C22"/>
  <c r="G18" i="22"/>
  <c r="H50" i="14" s="1"/>
  <c r="H52" s="1"/>
  <c r="H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G27"/>
  <c r="G33" s="1"/>
  <c r="G15"/>
  <c r="F13" i="14"/>
  <c r="E8" i="48"/>
  <c r="K46" i="14"/>
  <c r="K61" s="1"/>
  <c r="Q5" i="48"/>
  <c r="E63" i="14"/>
  <c r="F16"/>
  <c r="F27" s="1"/>
  <c r="M27" i="48"/>
  <c r="M33" s="1"/>
  <c r="M15"/>
  <c r="H63" i="14"/>
  <c r="F46"/>
  <c r="F61" s="1"/>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<sst xmlns="http://schemas.openxmlformats.org/spreadsheetml/2006/main" count="2492" uniqueCount="952">
  <si>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</si>
  <si>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</si>
  <si>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</si>
  <si>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</si>
  <si>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</si>
  <si>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</si>
  <si>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</si>
  <si>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</si>
  <si>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</si>
  <si>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</si>
  <si>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</si>
  <si>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</si>
  <si>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</si>
  <si>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</si>
  <si>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</si>
  <si>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</si>
  <si>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</si>
  <si>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</si>
  <si>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</si>
  <si>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</si>
  <si>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</si>
  <si>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</si>
  <si>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</si>
  <si>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</si>
  <si>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</si>
  <si>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</si>
  <si>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</si>
  <si>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</si>
  <si>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</si>
  <si>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</si>
  <si>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</si>
  <si>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</si>
  <si>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</si>
  <si>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</si>
  <si>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</si>
  <si>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</si>
  <si>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</si>
  <si>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</si>
  <si>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</si>
  <si>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</si>
  <si>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</si>
  <si>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</si>
  <si>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</si>
  <si>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</si>
  <si>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</si>
  <si>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</si>
  <si>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</si>
  <si>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</si>
  <si>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</si>
  <si>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</si>
  <si>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</si>
  <si>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</si>
  <si>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</si>
  <si>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</si>
  <si>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</si>
  <si>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</si>
  <si>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</si>
  <si>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</si>
  <si>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</si>
  <si>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</si>
  <si>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</si>
  <si>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</si>
  <si>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</si>
  <si>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</si>
  <si>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</si>
  <si>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</si>
  <si>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</si>
  <si>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</si>
  <si>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</si>
  <si>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</si>
  <si>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</si>
  <si>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</si>
  <si>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</si>
  <si>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</si>
  <si>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</si>
  <si>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</si>
  <si>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</si>
  <si>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</si>
  <si>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</si>
  <si>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</si>
  <si>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</si>
  <si>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</si>
  <si>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</si>
  <si>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</si>
  <si>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</si>
  <si>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</si>
  <si>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</si>
  <si>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</si>
  <si>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</si>
  <si>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</si>
  <si>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</si>
  <si>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</si>
  <si>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</si>
  <si>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</si>
  <si>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</si>
  <si>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</si>
  <si>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</si>
  <si>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</si>
  <si>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</si>
  <si>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</si>
  <si>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</si>
  <si>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</si>
  <si>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</si>
  <si>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</si>
  <si>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</si>
  <si>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</si>
  <si>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</si>
  <si>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</si>
  <si>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</si>
  <si>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</si>
  <si>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</si>
  <si>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</si>
  <si>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</si>
  <si>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</si>
  <si>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</si>
  <si>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</si>
  <si>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</si>
  <si>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</si>
  <si>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</si>
  <si>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</si>
  <si>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</si>
  <si>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</si>
  <si>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</si>
  <si>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</si>
  <si>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</si>
  <si>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</si>
  <si>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</si>
  <si>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</si>
  <si>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</si>
  <si>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</si>
  <si>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</si>
  <si>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</si>
  <si>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</si>
  <si>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</si>
  <si>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</si>
  <si>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</si>
  <si>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</si>
  <si>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</si>
  <si>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</si>
  <si>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</si>
  <si>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</si>
  <si>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</si>
  <si>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</si>
  <si>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</si>
  <si>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</si>
  <si>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</si>
  <si>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</si>
  <si>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</si>
  <si>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</si>
  <si>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</si>
  <si>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</si>
  <si>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</si>
  <si>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</si>
  <si>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</si>
  <si>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</si>
  <si>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</si>
  <si>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</si>
  <si>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</si>
  <si>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</si>
  <si>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</si>
  <si>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</si>
  <si>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</si>
  <si>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</si>
  <si>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</si>
  <si>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</si>
  <si>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</si>
  <si>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</si>
  <si>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</si>
  <si>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</si>
  <si>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</si>
  <si>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</si>
  <si>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</si>
  <si>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</si>
  <si>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</si>
  <si>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</si>
  <si>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</si>
  <si>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</si>
  <si>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</si>
  <si>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</si>
  <si>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</si>
  <si>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</si>
  <si>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</si>
  <si>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</si>
  <si>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</si>
  <si>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</si>
  <si>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</si>
  <si>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</si>
  <si>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</si>
  <si>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</si>
  <si>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</si>
  <si>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</si>
  <si>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</si>
  <si>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</si>
  <si>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</si>
  <si>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</si>
  <si>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</si>
  <si>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</si>
  <si>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</si>
  <si>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</si>
  <si>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</si>
  <si>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</si>
  <si>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</si>
  <si>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</si>
  <si>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</si>
  <si>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</si>
  <si>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</si>
  <si>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</si>
  <si>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</si>
  <si>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</si>
  <si>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</si>
  <si>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</si>
  <si>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</si>
  <si>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</si>
  <si>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</si>
  <si>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</si>
  <si>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</si>
  <si>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</si>
  <si>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</si>
  <si>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</si>
  <si>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</si>
  <si>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</si>
  <si>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</si>
  <si>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</si>
  <si>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</si>
  <si>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</si>
  <si>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</si>
  <si>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</si>
  <si>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</si>
  <si>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</si>
  <si>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</si>
  <si>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</si>
  <si>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</si>
  <si>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</si>
  <si>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</si>
  <si>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</si>
  <si>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</si>
  <si>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</si>
  <si>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</si>
  <si>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</si>
  <si>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</si>
  <si>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</si>
  <si>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</si>
  <si>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</si>
  <si>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</si>
  <si>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</si>
  <si>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</si>
  <si>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</si>
  <si>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</si>
  <si>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</si>
  <si>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</si>
  <si>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</si>
  <si>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</si>
  <si>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</si>
  <si>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</si>
  <si>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</si>
  <si>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</si>
  <si>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</si>
  <si>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</si>
  <si>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</si>
  <si>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</si>
  <si>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</si>
  <si>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</si>
  <si>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</si>
  <si>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</si>
  <si>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</si>
  <si>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</si>
  <si>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</si>
  <si>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</si>
  <si>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</si>
  <si>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</si>
  <si>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</si>
  <si>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</si>
  <si>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</si>
  <si>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</si>
  <si>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</si>
  <si>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</si>
  <si>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</si>
  <si>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</si>
  <si>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</si>
  <si>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</si>
  <si>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</si>
  <si>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</si>
  <si>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</si>
  <si>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</si>
  <si>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</si>
  <si>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</si>
  <si>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</si>
  <si>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</si>
  <si>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</si>
  <si>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</si>
  <si>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</si>
  <si>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</si>
  <si>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</si>
  <si>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</si>
  <si>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</si>
  <si>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</si>
  <si>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</si>
  <si>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</si>
  <si>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</si>
  <si>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</si>
  <si>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</si>
  <si>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</si>
  <si>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</si>
  <si>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</si>
  <si>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</si>
  <si>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</si>
  <si>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</si>
  <si>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</si>
  <si>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</si>
  <si>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</si>
  <si>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</si>
  <si>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</si>
  <si>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</si>
  <si>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</si>
  <si>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</si>
  <si>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</si>
  <si>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</si>
  <si>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</si>
  <si>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</si>
  <si>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</si>
  <si>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</si>
  <si>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</si>
  <si>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</si>
  <si>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</si>
  <si>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</si>
  <si>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</si>
  <si>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</si>
  <si>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</si>
  <si>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</si>
  <si>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</si>
  <si>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</si>
  <si>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</si>
  <si>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</si>
  <si>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</si>
  <si>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</si>
  <si>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</si>
  <si>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</si>
  <si>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</si>
  <si>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</si>
  <si>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</si>
  <si>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</si>
  <si>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</si>
  <si>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</si>
  <si>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</si>
  <si>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</si>
  <si>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</si>
  <si>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</si>
  <si>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</si>
  <si>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</si>
  <si>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</si>
  <si>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</si>
  <si>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</si>
  <si>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</si>
  <si>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</si>
  <si>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</si>
  <si>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</si>
  <si>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</si>
  <si>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</si>
  <si>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</si>
  <si>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</si>
  <si>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</si>
  <si>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</si>
  <si>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</si>
  <si>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</si>
  <si>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</si>
  <si>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</si>
  <si>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</si>
  <si>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</si>
  <si>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</si>
  <si>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</si>
  <si>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</si>
  <si>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</si>
  <si>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</si>
  <si>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</si>
  <si>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</si>
  <si>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</si>
  <si>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</si>
  <si>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</si>
  <si>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</si>
  <si>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</si>
  <si>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</si>
  <si>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</si>
  <si>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</si>
  <si>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</si>
  <si>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</si>
  <si>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</si>
  <si>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</si>
  <si>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</si>
  <si>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</si>
  <si>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</si>
  <si>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</si>
  <si>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</si>
  <si>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</si>
  <si>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</si>
  <si>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</si>
  <si>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</si>
  <si>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</si>
  <si>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</si>
  <si>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</si>
  <si>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</si>
  <si>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</si>
  <si>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</si>
  <si>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</si>
  <si>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</si>
  <si>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</si>
  <si>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</si>
  <si>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</si>
  <si>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</si>
  <si>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</si>
  <si>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</si>
  <si>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</si>
  <si>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</si>
  <si>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</si>
  <si>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</si>
  <si>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</si>
  <si>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</si>
  <si>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</si>
  <si>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</si>
  <si>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</si>
  <si>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</si>
  <si>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</si>
  <si>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</si>
  <si>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</si>
  <si>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</si>
  <si>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</si>
  <si>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</si>
  <si>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</si>
  <si>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</si>
  <si>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</si>
  <si>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</si>
  <si>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</si>
  <si>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</si>
  <si>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</si>
  <si>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</si>
  <si>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</si>
  <si>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</si>
  <si>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</si>
  <si>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</si>
  <si>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</si>
  <si>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</si>
  <si>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</si>
  <si>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</si>
  <si>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</si>
  <si>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</si>
  <si>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</si>
  <si>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</si>
  <si>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</si>
  <si>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</si>
  <si>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</si>
  <si>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</si>
  <si>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</si>
  <si>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</si>
  <si>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</si>
  <si>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</si>
  <si>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</si>
  <si>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</si>
  <si>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</si>
  <si>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</si>
  <si>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</si>
  <si>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</si>
  <si>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</si>
  <si>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</si>
  <si>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</si>
  <si>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</si>
  <si>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</si>
  <si>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</si>
  <si>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</si>
  <si>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</si>
  <si>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</si>
  <si>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</si>
  <si>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</si>
  <si>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</si>
  <si>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</si>
  <si>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</si>
  <si>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</si>
  <si>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</si>
  <si>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</si>
  <si>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</si>
  <si>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</si>
  <si>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</si>
  <si>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</si>
  <si>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</si>
  <si>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</si>
  <si>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</si>
  <si>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</si>
  <si>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</si>
  <si>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</si>
  <si>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</si>
  <si>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</si>
  <si>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</si>
  <si>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</si>
  <si>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</si>
  <si>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</si>
  <si>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</si>
  <si>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</si>
  <si>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</si>
  <si>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</si>
  <si>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</si>
  <si>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</si>
  <si>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</si>
  <si>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</si>
  <si>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</si>
  <si>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</si>
  <si>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</si>
  <si>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</si>
  <si>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</si>
  <si>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</si>
  <si>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</si>
  <si>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</si>
  <si>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</si>
  <si>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</si>
  <si>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</si>
  <si>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</si>
  <si>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</si>
  <si>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</si>
  <si>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</si>
  <si>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</si>
  <si>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</si>
  <si>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</si>
  <si>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</si>
  <si>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</si>
  <si>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</si>
  <si>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</si>
  <si>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</si>
  <si>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</si>
  <si>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</si>
  <si>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</si>
  <si>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</si>
  <si>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</si>
  <si>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</si>
  <si>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</si>
  <si>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</si>
  <si>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</si>
  <si>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</si>
  <si>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</si>
  <si>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</si>
  <si>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</si>
  <si>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</si>
  <si>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</si>
  <si>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</si>
  <si>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</si>
  <si>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</si>
  <si>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</si>
  <si>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</si>
  <si>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</si>
  <si>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</si>
  <si>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</si>
  <si>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</si>
  <si>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</si>
  <si>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</si>
  <si>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</si>
  <si>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</si>
  <si>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</si>
  <si>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</si>
  <si>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</si>
  <si>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</si>
  <si>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</si>
  <si>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</si>
  <si>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</si>
  <si>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</si>
  <si>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</si>
  <si>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</si>
  <si>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</si>
  <si>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</si>
  <si>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</si>
  <si>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</si>
  <si>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</si>
  <si>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</si>
  <si>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</si>
  <si>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</si>
  <si>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</si>
  <si>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</si>
  <si>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</si>
  <si>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</si>
  <si>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</si>
  <si>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</si>
  <si>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</si>
  <si>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</si>
  <si>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</si>
  <si>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</si>
  <si>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</si>
  <si>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</si>
  <si>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</si>
  <si>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</si>
  <si>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</si>
  <si>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</si>
  <si>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</si>
  <si>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</si>
  <si>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</si>
  <si>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</si>
  <si>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</si>
  <si>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</si>
  <si>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</si>
  <si>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</si>
  <si>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</si>
  <si>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</si>
  <si>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</si>
  <si>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</si>
  <si>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</si>
  <si>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</si>
  <si>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</si>
  <si>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</si>
  <si>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</si>
  <si>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</si>
  <si>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</si>
  <si>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</si>
  <si>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</si>
  <si>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</si>
  <si>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</si>
  <si>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</si>
  <si>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</si>
  <si>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</si>
  <si>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</si>
  <si>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</si>
  <si>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</si>
  <si>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</si>
  <si>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</si>
  <si>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</si>
  <si>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</si>
  <si>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</si>
  <si>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</si>
  <si>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</si>
  <si>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</si>
  <si>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</si>
  <si>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</si>
  <si>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</si>
  <si>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</si>
  <si>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</si>
  <si>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</si>
  <si>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</si>
  <si>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</si>
  <si>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</si>
  <si>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</si>
  <si>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</si>
  <si>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</si>
  <si>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</si>
  <si>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</si>
  <si>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</si>
  <si>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</si>
  <si>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</si>
  <si>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</si>
  <si>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</si>
  <si>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</si>
  <si>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</si>
  <si>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</si>
  <si>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</si>
  <si>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</si>
  <si>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</si>
  <si>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</si>
  <si>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</si>
  <si>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</si>
  <si>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</si>
  <si>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</si>
  <si>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</si>
  <si>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</si>
  <si>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</si>
  <si>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</si>
  <si>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</si>
  <si>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</si>
  <si>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</si>
  <si>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</si>
  <si>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</si>
  <si>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</si>
  <si>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</si>
  <si>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</si>
  <si>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</si>
  <si>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</si>
  <si>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</si>
  <si>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</si>
  <si>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</si>
  <si>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</si>
  <si>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</si>
  <si>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</si>
  <si>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</si>
  <si>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</si>
  <si>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</si>
  <si>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</si>
  <si>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</si>
  <si>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</si>
  <si>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</si>
  <si>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</si>
  <si>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</si>
  <si>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</si>
  <si>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</si>
  <si>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</si>
  <si>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</si>
  <si>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</si>
  <si>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</si>
  <si>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</si>
  <si>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</si>
  <si>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</si>
  <si>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</si>
  <si>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</si>
  <si>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</si>
  <si>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</si>
  <si>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</si>
  <si>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</si>
  <si>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</si>
  <si>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</si>
  <si>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</si>
  <si>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</si>
  <si>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</si>
  <si>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</si>
  <si>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</si>
  <si>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</si>
  <si>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</si>
  <si>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</si>
  <si>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</si>
  <si>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</si>
  <si>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</si>
  <si>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</si>
  <si>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</si>
  <si>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</si>
  <si>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</si>
  <si>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</si>
  <si>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</si>
  <si>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</si>
  <si>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</si>
  <si>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</si>
  <si>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</si>
  <si>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</si>
  <si>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</si>
  <si>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</si>
  <si>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</si>
  <si>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</si>
  <si>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</si>
  <si>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</si>
  <si>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</si>
  <si>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</si>
  <si>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</si>
  <si>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</si>
  <si>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</si>
  <si>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</si>
  <si>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</si>
  <si>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</si>
  <si>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</si>
  <si>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</si>
  <si>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</si>
  <si>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</si>
  <si>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</si>
  <si>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</si>
  <si>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</si>
  <si>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</si>
  <si>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</si>
  <si>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</si>
  <si>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</si>
  <si>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</si>
  <si>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</si>
  <si>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</si>
  <si>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</si>
  <si>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</si>
  <si>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</si>
  <si>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</si>
  <si>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</si>
  <si>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</si>
  <si>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</si>
  <si>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</si>
  <si>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</si>
  <si>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</si>
  <si>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</si>
  <si>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</si>
  <si>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</si>
  <si>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</si>
  <si>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</si>
  <si>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</si>
  <si>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</si>
  <si>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</si>
  <si>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</si>
  <si>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</si>
  <si>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</si>
  <si>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</si>
  <si>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</si>
  <si>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</si>
  <si>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</si>
  <si>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</si>
  <si>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</si>
  <si>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</si>
  <si>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</si>
  <si>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</si>
  <si>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</si>
  <si>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</si>
  <si>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</si>
  <si>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</si>
  <si>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</si>
  <si>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</si>
  <si>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</si>
  <si>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</si>
  <si>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</si>
  <si>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</si>
  <si>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</si>
  <si>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</si>
  <si>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</si>
  <si>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</si>
  <si>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</si>
  <si>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</si>
  <si>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</si>
  <si>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</si>
  <si>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</si>
  <si>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</si>
  <si>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</si>
  <si>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</si>
  <si>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</si>
  <si>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</si>
  <si>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</si>
  <si>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</si>
  <si>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</si>
  <si>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</si>
  <si>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</si>
  <si>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</si>
  <si>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</si>
  <si>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</si>
  <si>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</si>
  <si>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</si>
  <si>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</si>
  <si>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</si>
  <si>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</si>
  <si>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</si>
  <si>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</si>
  <si>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</si>
  <si>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</si>
  <si>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</si>
  <si>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</si>
  <si>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</si>
  <si>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</si>
  <si>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</si>
  <si>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</si>
  <si>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</si>
  <si>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</si>
  <si>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</si>
  <si>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</si>
  <si>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</si>
  <si>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</si>
  <si>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</si>
  <si>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</si>
  <si>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</si>
  <si>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</si>
  <si>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</si>
  <si>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</si>
  <si>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</si>
  <si>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</si>
  <si>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</si>
  <si>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</si>
  <si>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</si>
  <si>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</si>
  <si>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</si>
  <si>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</si>
  <si>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</si>
  <si>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</si>
  <si>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</si>
  <si>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</si>
  <si>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</si>
  <si>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</si>
  <si>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</si>
  <si>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</si>
  <si>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</si>
  <si>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</si>
  <si>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</si>
  <si>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</si>
  <si>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</si>
  <si>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</si>
  <si>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</si>
  <si>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</si>
  <si>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</si>
  <si>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</si>
  <si>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</si>
  <si>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</si>
  <si>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</si>
  <si>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</si>
  <si>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</si>
  <si>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</si>
  <si>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</si>
  <si>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</si>
  <si>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</si>
  <si>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</si>
  <si>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</si>
  <si>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</si>
  <si>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</si>
  <si>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</si>
  <si>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</si>
  <si>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</si>
  <si>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</si>
  <si>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</si>
  <si>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</si>
  <si>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</si>
  <si>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</si>
  <si>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</si>
  <si>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</si>
  <si>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</si>
  <si>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</si>
  <si>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</si>
  <si>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</si>
  <si>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</si>
  <si>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</si>
  <si>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</si>
  <si>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</si>
  <si>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</si>
  <si>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</si>
  <si>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</si>
  <si>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</si>
  <si>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</si>
  <si>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</si>
  <si>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</si>
  <si>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</si>
  <si>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</si>
  <si>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</si>
  <si>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</si>
  <si>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</si>
  <si>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</si>
  <si>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</si>
  <si>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</si>
  <si>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</si>
  <si>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</si>
  <si>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</si>
  <si>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</si>
  <si>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</si>
  <si>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</si>
  <si>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</si>
  <si>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</si>
  <si>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</si>
  <si>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</si>
  <si>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</si>
  <si>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</si>
  <si>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</si>
  <si>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</si>
  <si>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</si>
  <si>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</si>
  <si>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</si>
  <si>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</si>
  <si>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</si>
  <si>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</si>
  <si>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</si>
  <si>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</si>
  <si>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</si>
  <si>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</si>
  <si>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</si>
  <si>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</si>
  <si>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</si>
  <si>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</si>
  <si>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</si>
  <si>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</si>
  <si>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38014</t>
  </si>
  <si>
    <t>KOKSIJDE</t>
  </si>
  <si>
    <t>Paarden&amp;pony's 200 - 600 kg</t>
  </si>
  <si>
    <t>Paarden&amp;pony's &lt; 200 kg</t>
  </si>
  <si>
    <t>op basis van VEA (maart 2018) en Inventaris Hernieuwbare Energiebronnen (juni 2018)</t>
  </si>
  <si>
    <t>VEA (juni 2018)</t>
  </si>
  <si>
    <t>Filip Dekeerle</t>
  </si>
  <si>
    <t>Witte Burg 60 , 8670 Oostduinkerke</t>
  </si>
  <si>
    <t>WKK-0427 Filip Dekeerle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</si>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</sst>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38014</v>
      </c>
      <c r="B6" s="397"/>
      <c r="C6" s="398"/>
    </row>
    <row r="7" spans="1:7" s="395" customFormat="1" ht="15.75" customHeight="1">
      <c r="A7" s="399" t="str">
        <f>txtMunicipality</f>
        <v>KOKSIJDE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54771.680074380289</v>
      </c>
      <c r="D10" s="688">
        <f ca="1">tertiair!C16</f>
        <v>0</v>
      </c>
      <c r="E10" s="688">
        <f ca="1">tertiair!D16</f>
        <v>71304.801117542534</v>
      </c>
      <c r="F10" s="688">
        <f>tertiair!E16</f>
        <v>853.28344513110346</v>
      </c>
      <c r="G10" s="688">
        <f ca="1">tertiair!F16</f>
        <v>10328.55929138998</v>
      </c>
      <c r="H10" s="688">
        <f>tertiair!G16</f>
        <v>0</v>
      </c>
      <c r="I10" s="688">
        <f>tertiair!H16</f>
        <v>0</v>
      </c>
      <c r="J10" s="688">
        <f>tertiair!I16</f>
        <v>0</v>
      </c>
      <c r="K10" s="688">
        <f>tertiair!J16</f>
        <v>0</v>
      </c>
      <c r="L10" s="688">
        <f>tertiair!K16</f>
        <v>0</v>
      </c>
      <c r="M10" s="688">
        <f ca="1">tertiair!L16</f>
        <v>0</v>
      </c>
      <c r="N10" s="688">
        <f>tertiair!M16</f>
        <v>0</v>
      </c>
      <c r="O10" s="688">
        <f ca="1">tertiair!N16</f>
        <v>4653.84355889979</v>
      </c>
      <c r="P10" s="688">
        <f>tertiair!O16</f>
        <v>4.6900000000000004</v>
      </c>
      <c r="Q10" s="689">
        <f>tertiair!P16</f>
        <v>0</v>
      </c>
      <c r="R10" s="691">
        <f ca="1">SUM(C10:Q10)</f>
        <v>141916.85748734372</v>
      </c>
      <c r="S10" s="68"/>
    </row>
    <row r="11" spans="1:19" s="457" customFormat="1">
      <c r="A11" s="803" t="s">
        <v>225</v>
      </c>
      <c r="B11" s="808"/>
      <c r="C11" s="688">
        <f>huishoudens!B8</f>
        <v>61826.75856682298</v>
      </c>
      <c r="D11" s="688">
        <f>huishoudens!C8</f>
        <v>0</v>
      </c>
      <c r="E11" s="688">
        <f>huishoudens!D8</f>
        <v>139131.73155508563</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100.05333333333334</v>
      </c>
      <c r="Q11" s="689">
        <f>huishoudens!P8</f>
        <v>171.6</v>
      </c>
      <c r="R11" s="691">
        <f>SUM(C11:Q11)</f>
        <v>201230.14345524195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3326.5043622117305</v>
      </c>
      <c r="D13" s="688">
        <f>industrie!C18</f>
        <v>0</v>
      </c>
      <c r="E13" s="688">
        <f>industrie!D18</f>
        <v>4362.5235225656443</v>
      </c>
      <c r="F13" s="688">
        <f>industrie!E18</f>
        <v>24.87087971354455</v>
      </c>
      <c r="G13" s="688">
        <f>industrie!F18</f>
        <v>1714.5203095800716</v>
      </c>
      <c r="H13" s="688">
        <f>industrie!G18</f>
        <v>0</v>
      </c>
      <c r="I13" s="688">
        <f>industrie!H18</f>
        <v>0</v>
      </c>
      <c r="J13" s="688">
        <f>industrie!I18</f>
        <v>0</v>
      </c>
      <c r="K13" s="688">
        <f>industrie!J18</f>
        <v>3.3442367489767246</v>
      </c>
      <c r="L13" s="688">
        <f>industrie!K18</f>
        <v>0</v>
      </c>
      <c r="M13" s="688">
        <f>industrie!L18</f>
        <v>0</v>
      </c>
      <c r="N13" s="688">
        <f>industrie!M18</f>
        <v>0</v>
      </c>
      <c r="O13" s="688">
        <f>industrie!N18</f>
        <v>173.69281593806761</v>
      </c>
      <c r="P13" s="688">
        <f>industrie!O18</f>
        <v>0</v>
      </c>
      <c r="Q13" s="689">
        <f>industrie!P18</f>
        <v>0</v>
      </c>
      <c r="R13" s="691">
        <f>SUM(C13:Q13)</f>
        <v>9605.4561267580357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119924.94300341501</v>
      </c>
      <c r="D16" s="721">
        <f t="shared" ref="D16:R16" ca="1" si="0">SUM(D9:D15)</f>
        <v>0</v>
      </c>
      <c r="E16" s="721">
        <f t="shared" ca="1" si="0"/>
        <v>214799.05619519381</v>
      </c>
      <c r="F16" s="721">
        <f t="shared" si="0"/>
        <v>878.15432484464804</v>
      </c>
      <c r="G16" s="721">
        <f t="shared" ca="1" si="0"/>
        <v>12043.079600970052</v>
      </c>
      <c r="H16" s="721">
        <f t="shared" si="0"/>
        <v>0</v>
      </c>
      <c r="I16" s="721">
        <f t="shared" si="0"/>
        <v>0</v>
      </c>
      <c r="J16" s="721">
        <f t="shared" si="0"/>
        <v>0</v>
      </c>
      <c r="K16" s="721">
        <f t="shared" si="0"/>
        <v>3.3442367489767246</v>
      </c>
      <c r="L16" s="721">
        <f t="shared" si="0"/>
        <v>0</v>
      </c>
      <c r="M16" s="721">
        <f t="shared" ca="1" si="0"/>
        <v>0</v>
      </c>
      <c r="N16" s="721">
        <f t="shared" si="0"/>
        <v>0</v>
      </c>
      <c r="O16" s="721">
        <f t="shared" ca="1" si="0"/>
        <v>4827.5363748378577</v>
      </c>
      <c r="P16" s="721">
        <f t="shared" si="0"/>
        <v>104.74333333333334</v>
      </c>
      <c r="Q16" s="721">
        <f t="shared" si="0"/>
        <v>171.6</v>
      </c>
      <c r="R16" s="721">
        <f t="shared" ca="1" si="0"/>
        <v>352752.45706934365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1342.4352069028726</v>
      </c>
      <c r="D19" s="688">
        <f>transport!C54</f>
        <v>0</v>
      </c>
      <c r="E19" s="688">
        <f>transport!D54</f>
        <v>0</v>
      </c>
      <c r="F19" s="688">
        <f>transport!E54</f>
        <v>0</v>
      </c>
      <c r="G19" s="688">
        <f>transport!F54</f>
        <v>0</v>
      </c>
      <c r="H19" s="688">
        <f>transport!G54</f>
        <v>1356.8345578036126</v>
      </c>
      <c r="I19" s="688">
        <f>transport!H54</f>
        <v>0</v>
      </c>
      <c r="J19" s="688">
        <f>transport!I54</f>
        <v>0</v>
      </c>
      <c r="K19" s="688">
        <f>transport!J54</f>
        <v>0</v>
      </c>
      <c r="L19" s="688">
        <f>transport!K54</f>
        <v>0</v>
      </c>
      <c r="M19" s="688">
        <f>transport!L54</f>
        <v>0</v>
      </c>
      <c r="N19" s="688">
        <f>transport!M54</f>
        <v>59.580843671764001</v>
      </c>
      <c r="O19" s="688">
        <f>transport!N54</f>
        <v>0</v>
      </c>
      <c r="P19" s="688">
        <f>transport!O54</f>
        <v>0</v>
      </c>
      <c r="Q19" s="689">
        <f>transport!P54</f>
        <v>0</v>
      </c>
      <c r="R19" s="691">
        <f>SUM(C19:Q19)</f>
        <v>2758.850608378249</v>
      </c>
      <c r="S19" s="68"/>
    </row>
    <row r="20" spans="1:19" s="457" customFormat="1">
      <c r="A20" s="803" t="s">
        <v>307</v>
      </c>
      <c r="B20" s="808"/>
      <c r="C20" s="688">
        <f>transport!B14</f>
        <v>2.0796952375403648</v>
      </c>
      <c r="D20" s="688">
        <f>transport!C14</f>
        <v>0</v>
      </c>
      <c r="E20" s="688">
        <f>transport!D14</f>
        <v>5.3527402167761124</v>
      </c>
      <c r="F20" s="688">
        <f>transport!E14</f>
        <v>324.66596224161952</v>
      </c>
      <c r="G20" s="688">
        <f>transport!F14</f>
        <v>0</v>
      </c>
      <c r="H20" s="688">
        <f>transport!G14</f>
        <v>80120.379813091698</v>
      </c>
      <c r="I20" s="688">
        <f>transport!H14</f>
        <v>12066.843798716774</v>
      </c>
      <c r="J20" s="688">
        <f>transport!I14</f>
        <v>0</v>
      </c>
      <c r="K20" s="688">
        <f>transport!J14</f>
        <v>0</v>
      </c>
      <c r="L20" s="688">
        <f>transport!K14</f>
        <v>0</v>
      </c>
      <c r="M20" s="688">
        <f>transport!L14</f>
        <v>0</v>
      </c>
      <c r="N20" s="688">
        <f>transport!M14</f>
        <v>4119.7739835550838</v>
      </c>
      <c r="O20" s="688">
        <f>transport!N14</f>
        <v>0</v>
      </c>
      <c r="P20" s="688">
        <f>transport!O14</f>
        <v>0</v>
      </c>
      <c r="Q20" s="689">
        <f>transport!P14</f>
        <v>0</v>
      </c>
      <c r="R20" s="691">
        <f>SUM(C20:Q20)</f>
        <v>96639.095993059498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1344.5149021404129</v>
      </c>
      <c r="D22" s="806">
        <f t="shared" ref="D22:R22" si="1">SUM(D18:D21)</f>
        <v>0</v>
      </c>
      <c r="E22" s="806">
        <f t="shared" si="1"/>
        <v>5.3527402167761124</v>
      </c>
      <c r="F22" s="806">
        <f t="shared" si="1"/>
        <v>324.66596224161952</v>
      </c>
      <c r="G22" s="806">
        <f t="shared" si="1"/>
        <v>0</v>
      </c>
      <c r="H22" s="806">
        <f t="shared" si="1"/>
        <v>81477.214370895308</v>
      </c>
      <c r="I22" s="806">
        <f t="shared" si="1"/>
        <v>12066.843798716774</v>
      </c>
      <c r="J22" s="806">
        <f t="shared" si="1"/>
        <v>0</v>
      </c>
      <c r="K22" s="806">
        <f t="shared" si="1"/>
        <v>0</v>
      </c>
      <c r="L22" s="806">
        <f t="shared" si="1"/>
        <v>0</v>
      </c>
      <c r="M22" s="806">
        <f t="shared" si="1"/>
        <v>0</v>
      </c>
      <c r="N22" s="806">
        <f t="shared" si="1"/>
        <v>4179.3548272268481</v>
      </c>
      <c r="O22" s="806">
        <f t="shared" si="1"/>
        <v>0</v>
      </c>
      <c r="P22" s="806">
        <f t="shared" si="1"/>
        <v>0</v>
      </c>
      <c r="Q22" s="806">
        <f t="shared" si="1"/>
        <v>0</v>
      </c>
      <c r="R22" s="806">
        <f t="shared" si="1"/>
        <v>99397.946601437754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1171.8697495083259</v>
      </c>
      <c r="D24" s="688">
        <f>+landbouw!C8</f>
        <v>3.5357142857142851</v>
      </c>
      <c r="E24" s="688">
        <f>+landbouw!D8</f>
        <v>212.5264008511233</v>
      </c>
      <c r="F24" s="688">
        <f>+landbouw!E8</f>
        <v>11.039798218856888</v>
      </c>
      <c r="G24" s="688">
        <f>+landbouw!F8</f>
        <v>3824.1999020602357</v>
      </c>
      <c r="H24" s="688">
        <f>+landbouw!G8</f>
        <v>0</v>
      </c>
      <c r="I24" s="688">
        <f>+landbouw!H8</f>
        <v>0</v>
      </c>
      <c r="J24" s="688">
        <f>+landbouw!I8</f>
        <v>0</v>
      </c>
      <c r="K24" s="688">
        <f>+landbouw!J8</f>
        <v>144.96598798754661</v>
      </c>
      <c r="L24" s="688">
        <f>+landbouw!K8</f>
        <v>0</v>
      </c>
      <c r="M24" s="688">
        <f>+landbouw!L8</f>
        <v>0</v>
      </c>
      <c r="N24" s="688">
        <f>+landbouw!M8</f>
        <v>0</v>
      </c>
      <c r="O24" s="688">
        <f>+landbouw!N8</f>
        <v>0</v>
      </c>
      <c r="P24" s="688">
        <f>+landbouw!O8</f>
        <v>0</v>
      </c>
      <c r="Q24" s="689">
        <f>+landbouw!P8</f>
        <v>0</v>
      </c>
      <c r="R24" s="691">
        <f>SUM(C24:Q24)</f>
        <v>5368.1375529118022</v>
      </c>
      <c r="S24" s="68"/>
    </row>
    <row r="25" spans="1:19" s="457" customFormat="1" ht="15" thickBot="1">
      <c r="A25" s="825" t="s">
        <v>912</v>
      </c>
      <c r="B25" s="1001"/>
      <c r="C25" s="1002">
        <f>IF(Onbekend_ele_kWh="---",0,Onbekend_ele_kWh)/1000+IF(REST_rest_ele_kWh="---",0,REST_rest_ele_kWh)/1000</f>
        <v>6014.0238881620908</v>
      </c>
      <c r="D25" s="1002"/>
      <c r="E25" s="1002">
        <f>IF(onbekend_gas_kWh="---",0,onbekend_gas_kWh)/1000+IF(REST_rest_gas_kWh="---",0,REST_rest_gas_kWh)/1000</f>
        <v>7334.39590860315</v>
      </c>
      <c r="F25" s="1002"/>
      <c r="G25" s="1002"/>
      <c r="H25" s="1002"/>
      <c r="I25" s="1002"/>
      <c r="J25" s="1002"/>
      <c r="K25" s="1002"/>
      <c r="L25" s="1002"/>
      <c r="M25" s="1002"/>
      <c r="N25" s="1002"/>
      <c r="O25" s="1002"/>
      <c r="P25" s="1002"/>
      <c r="Q25" s="1003"/>
      <c r="R25" s="691">
        <f>SUM(C25:Q25)</f>
        <v>13348.41979676524</v>
      </c>
      <c r="S25" s="68"/>
    </row>
    <row r="26" spans="1:19" s="457" customFormat="1" ht="15.75" thickBot="1">
      <c r="A26" s="694" t="s">
        <v>913</v>
      </c>
      <c r="B26" s="811"/>
      <c r="C26" s="806">
        <f>SUM(C24:C25)</f>
        <v>7185.8936376704169</v>
      </c>
      <c r="D26" s="806">
        <f t="shared" ref="D26:R26" si="2">SUM(D24:D25)</f>
        <v>3.5357142857142851</v>
      </c>
      <c r="E26" s="806">
        <f t="shared" si="2"/>
        <v>7546.9223094542731</v>
      </c>
      <c r="F26" s="806">
        <f t="shared" si="2"/>
        <v>11.039798218856888</v>
      </c>
      <c r="G26" s="806">
        <f t="shared" si="2"/>
        <v>3824.1999020602357</v>
      </c>
      <c r="H26" s="806">
        <f t="shared" si="2"/>
        <v>0</v>
      </c>
      <c r="I26" s="806">
        <f t="shared" si="2"/>
        <v>0</v>
      </c>
      <c r="J26" s="806">
        <f t="shared" si="2"/>
        <v>0</v>
      </c>
      <c r="K26" s="806">
        <f t="shared" si="2"/>
        <v>144.96598798754661</v>
      </c>
      <c r="L26" s="806">
        <f t="shared" si="2"/>
        <v>0</v>
      </c>
      <c r="M26" s="806">
        <f t="shared" si="2"/>
        <v>0</v>
      </c>
      <c r="N26" s="806">
        <f t="shared" si="2"/>
        <v>0</v>
      </c>
      <c r="O26" s="806">
        <f t="shared" si="2"/>
        <v>0</v>
      </c>
      <c r="P26" s="806">
        <f t="shared" si="2"/>
        <v>0</v>
      </c>
      <c r="Q26" s="806">
        <f t="shared" si="2"/>
        <v>0</v>
      </c>
      <c r="R26" s="806">
        <f t="shared" si="2"/>
        <v>18716.557349677041</v>
      </c>
      <c r="S26" s="68"/>
    </row>
    <row r="27" spans="1:19" s="457" customFormat="1" ht="17.25" thickTop="1" thickBot="1">
      <c r="A27" s="695" t="s">
        <v>116</v>
      </c>
      <c r="B27" s="798"/>
      <c r="C27" s="696">
        <f ca="1">C22+C16+C26</f>
        <v>128455.35154322584</v>
      </c>
      <c r="D27" s="696">
        <f t="shared" ref="D27:R27" ca="1" si="3">D22+D16+D26</f>
        <v>3.5357142857142851</v>
      </c>
      <c r="E27" s="696">
        <f t="shared" ca="1" si="3"/>
        <v>222351.33124486485</v>
      </c>
      <c r="F27" s="696">
        <f t="shared" si="3"/>
        <v>1213.8600853051246</v>
      </c>
      <c r="G27" s="696">
        <f t="shared" ca="1" si="3"/>
        <v>15867.279503030288</v>
      </c>
      <c r="H27" s="696">
        <f t="shared" si="3"/>
        <v>81477.214370895308</v>
      </c>
      <c r="I27" s="696">
        <f t="shared" si="3"/>
        <v>12066.843798716774</v>
      </c>
      <c r="J27" s="696">
        <f t="shared" si="3"/>
        <v>0</v>
      </c>
      <c r="K27" s="696">
        <f t="shared" si="3"/>
        <v>148.31022473652334</v>
      </c>
      <c r="L27" s="696">
        <f t="shared" si="3"/>
        <v>0</v>
      </c>
      <c r="M27" s="696">
        <f t="shared" ca="1" si="3"/>
        <v>0</v>
      </c>
      <c r="N27" s="696">
        <f t="shared" si="3"/>
        <v>4179.3548272268481</v>
      </c>
      <c r="O27" s="696">
        <f t="shared" ca="1" si="3"/>
        <v>4827.5363748378577</v>
      </c>
      <c r="P27" s="696">
        <f t="shared" si="3"/>
        <v>104.74333333333334</v>
      </c>
      <c r="Q27" s="696">
        <f t="shared" si="3"/>
        <v>171.6</v>
      </c>
      <c r="R27" s="696">
        <f t="shared" ca="1" si="3"/>
        <v>470866.96102045843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11846.480788837824</v>
      </c>
      <c r="D40" s="688">
        <f ca="1">tertiair!C20</f>
        <v>0</v>
      </c>
      <c r="E40" s="688">
        <f ca="1">tertiair!D20</f>
        <v>14403.569825743592</v>
      </c>
      <c r="F40" s="688">
        <f>tertiair!E20</f>
        <v>193.69534204476048</v>
      </c>
      <c r="G40" s="688">
        <f ca="1">tertiair!F20</f>
        <v>2757.725330801125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29201.471287427299</v>
      </c>
    </row>
    <row r="41" spans="1:18">
      <c r="A41" s="816" t="s">
        <v>225</v>
      </c>
      <c r="B41" s="823"/>
      <c r="C41" s="688">
        <f ca="1">huishoudens!B12</f>
        <v>13372.412652000792</v>
      </c>
      <c r="D41" s="688">
        <f ca="1">huishoudens!C12</f>
        <v>0</v>
      </c>
      <c r="E41" s="688">
        <f>huishoudens!D12</f>
        <v>28104.609774127301</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41477.022426128096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719.48441178746054</v>
      </c>
      <c r="D43" s="688">
        <f ca="1">industrie!C22</f>
        <v>0</v>
      </c>
      <c r="E43" s="688">
        <f>industrie!D22</f>
        <v>881.2297515582602</v>
      </c>
      <c r="F43" s="688">
        <f>industrie!E22</f>
        <v>5.6456896949746129</v>
      </c>
      <c r="G43" s="688">
        <f>industrie!F22</f>
        <v>457.77692265787914</v>
      </c>
      <c r="H43" s="688">
        <f>industrie!G22</f>
        <v>0</v>
      </c>
      <c r="I43" s="688">
        <f>industrie!H22</f>
        <v>0</v>
      </c>
      <c r="J43" s="688">
        <f>industrie!I22</f>
        <v>0</v>
      </c>
      <c r="K43" s="688">
        <f>industrie!J22</f>
        <v>1.1838598091377606</v>
      </c>
      <c r="L43" s="688">
        <f>industrie!K22</f>
        <v>0</v>
      </c>
      <c r="M43" s="688">
        <f>industrie!L22</f>
        <v>0</v>
      </c>
      <c r="N43" s="688">
        <f>industrie!M22</f>
        <v>0</v>
      </c>
      <c r="O43" s="688">
        <f>industrie!N22</f>
        <v>0</v>
      </c>
      <c r="P43" s="688">
        <f>industrie!O22</f>
        <v>0</v>
      </c>
      <c r="Q43" s="763">
        <f>industrie!P22</f>
        <v>0</v>
      </c>
      <c r="R43" s="843">
        <f t="shared" ca="1" si="4"/>
        <v>2065.3206355077123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25938.377852626076</v>
      </c>
      <c r="D46" s="721">
        <f t="shared" ref="D46:Q46" ca="1" si="5">SUM(D39:D45)</f>
        <v>0</v>
      </c>
      <c r="E46" s="721">
        <f t="shared" ca="1" si="5"/>
        <v>43389.409351429153</v>
      </c>
      <c r="F46" s="721">
        <f t="shared" si="5"/>
        <v>199.34103173973509</v>
      </c>
      <c r="G46" s="721">
        <f t="shared" ca="1" si="5"/>
        <v>3215.5022534590044</v>
      </c>
      <c r="H46" s="721">
        <f t="shared" si="5"/>
        <v>0</v>
      </c>
      <c r="I46" s="721">
        <f t="shared" si="5"/>
        <v>0</v>
      </c>
      <c r="J46" s="721">
        <f t="shared" si="5"/>
        <v>0</v>
      </c>
      <c r="K46" s="721">
        <f t="shared" si="5"/>
        <v>1.1838598091377606</v>
      </c>
      <c r="L46" s="721">
        <f t="shared" si="5"/>
        <v>0</v>
      </c>
      <c r="M46" s="721">
        <f t="shared" ca="1" si="5"/>
        <v>0</v>
      </c>
      <c r="N46" s="721">
        <f t="shared" si="5"/>
        <v>0</v>
      </c>
      <c r="O46" s="721">
        <f t="shared" ca="1" si="5"/>
        <v>0</v>
      </c>
      <c r="P46" s="721">
        <f t="shared" si="5"/>
        <v>0</v>
      </c>
      <c r="Q46" s="721">
        <f t="shared" si="5"/>
        <v>0</v>
      </c>
      <c r="R46" s="721">
        <f ca="1">SUM(R39:R45)</f>
        <v>72743.814349063105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290.35320565733701</v>
      </c>
      <c r="D49" s="688">
        <f ca="1">transport!C58</f>
        <v>0</v>
      </c>
      <c r="E49" s="688">
        <f>transport!D58</f>
        <v>0</v>
      </c>
      <c r="F49" s="688">
        <f>transport!E58</f>
        <v>0</v>
      </c>
      <c r="G49" s="688">
        <f>transport!F58</f>
        <v>0</v>
      </c>
      <c r="H49" s="688">
        <f>transport!G58</f>
        <v>362.27482693356461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652.62803259090163</v>
      </c>
    </row>
    <row r="50" spans="1:18">
      <c r="A50" s="819" t="s">
        <v>307</v>
      </c>
      <c r="B50" s="829"/>
      <c r="C50" s="1008">
        <f ca="1">transport!B18</f>
        <v>0.44981402149253313</v>
      </c>
      <c r="D50" s="1008">
        <f>transport!C18</f>
        <v>0</v>
      </c>
      <c r="E50" s="1008">
        <f>transport!D18</f>
        <v>1.0812535237887748</v>
      </c>
      <c r="F50" s="1008">
        <f>transport!E18</f>
        <v>73.699173428847629</v>
      </c>
      <c r="G50" s="1008">
        <f>transport!F18</f>
        <v>0</v>
      </c>
      <c r="H50" s="1008">
        <f>transport!G18</f>
        <v>21392.141410095486</v>
      </c>
      <c r="I50" s="1008">
        <f>transport!H18</f>
        <v>3004.6441058804767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24472.015756950092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290.80301967882957</v>
      </c>
      <c r="D52" s="721">
        <f t="shared" ref="D52:Q52" ca="1" si="6">SUM(D48:D51)</f>
        <v>0</v>
      </c>
      <c r="E52" s="721">
        <f t="shared" si="6"/>
        <v>1.0812535237887748</v>
      </c>
      <c r="F52" s="721">
        <f t="shared" si="6"/>
        <v>73.699173428847629</v>
      </c>
      <c r="G52" s="721">
        <f t="shared" si="6"/>
        <v>0</v>
      </c>
      <c r="H52" s="721">
        <f t="shared" si="6"/>
        <v>21754.416237029051</v>
      </c>
      <c r="I52" s="721">
        <f t="shared" si="6"/>
        <v>3004.6441058804767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25124.643789540994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253.4618703628957</v>
      </c>
      <c r="D54" s="1008">
        <f ca="1">+landbouw!C12</f>
        <v>0.8402521008403363</v>
      </c>
      <c r="E54" s="1008">
        <f>+landbouw!D12</f>
        <v>42.930332971926909</v>
      </c>
      <c r="F54" s="1008">
        <f>+landbouw!E12</f>
        <v>2.5060341956805137</v>
      </c>
      <c r="G54" s="1008">
        <f>+landbouw!F12</f>
        <v>1021.061373850083</v>
      </c>
      <c r="H54" s="1008">
        <f>+landbouw!G12</f>
        <v>0</v>
      </c>
      <c r="I54" s="1008">
        <f>+landbouw!H12</f>
        <v>0</v>
      </c>
      <c r="J54" s="1008">
        <f>+landbouw!I12</f>
        <v>0</v>
      </c>
      <c r="K54" s="1008">
        <f>+landbouw!J12</f>
        <v>51.317959747591495</v>
      </c>
      <c r="L54" s="1008">
        <f>+landbouw!K12</f>
        <v>0</v>
      </c>
      <c r="M54" s="1008">
        <f>+landbouw!L12</f>
        <v>0</v>
      </c>
      <c r="N54" s="1008">
        <f>+landbouw!M12</f>
        <v>0</v>
      </c>
      <c r="O54" s="1008">
        <f>+landbouw!N12</f>
        <v>0</v>
      </c>
      <c r="P54" s="1008">
        <f>+landbouw!O12</f>
        <v>0</v>
      </c>
      <c r="Q54" s="1009">
        <f>+landbouw!P12</f>
        <v>0</v>
      </c>
      <c r="R54" s="720">
        <f ca="1">SUM(C54:Q54)</f>
        <v>1372.1178232290179</v>
      </c>
    </row>
    <row r="55" spans="1:18" ht="15" thickBot="1">
      <c r="A55" s="819" t="s">
        <v>912</v>
      </c>
      <c r="B55" s="829"/>
      <c r="C55" s="1008">
        <f ca="1">C25*'EF ele_warmte'!B12</f>
        <v>1300.7637954134832</v>
      </c>
      <c r="D55" s="1008"/>
      <c r="E55" s="1008">
        <f>E25*EF_CO2_aardgas</f>
        <v>1481.5479735378365</v>
      </c>
      <c r="F55" s="1008"/>
      <c r="G55" s="1008"/>
      <c r="H55" s="1008"/>
      <c r="I55" s="1008"/>
      <c r="J55" s="1008"/>
      <c r="K55" s="1008"/>
      <c r="L55" s="1008"/>
      <c r="M55" s="1008"/>
      <c r="N55" s="1008"/>
      <c r="O55" s="1008"/>
      <c r="P55" s="1008"/>
      <c r="Q55" s="1009"/>
      <c r="R55" s="720">
        <f ca="1">SUM(C55:Q55)</f>
        <v>2782.3117689513197</v>
      </c>
    </row>
    <row r="56" spans="1:18" ht="15.75" thickBot="1">
      <c r="A56" s="817" t="s">
        <v>913</v>
      </c>
      <c r="B56" s="830"/>
      <c r="C56" s="721">
        <f ca="1">SUM(C54:C55)</f>
        <v>1554.2256657763789</v>
      </c>
      <c r="D56" s="721">
        <f t="shared" ref="D56:Q56" ca="1" si="7">SUM(D54:D55)</f>
        <v>0.8402521008403363</v>
      </c>
      <c r="E56" s="721">
        <f t="shared" si="7"/>
        <v>1524.4783065097633</v>
      </c>
      <c r="F56" s="721">
        <f t="shared" si="7"/>
        <v>2.5060341956805137</v>
      </c>
      <c r="G56" s="721">
        <f t="shared" si="7"/>
        <v>1021.061373850083</v>
      </c>
      <c r="H56" s="721">
        <f t="shared" si="7"/>
        <v>0</v>
      </c>
      <c r="I56" s="721">
        <f t="shared" si="7"/>
        <v>0</v>
      </c>
      <c r="J56" s="721">
        <f t="shared" si="7"/>
        <v>0</v>
      </c>
      <c r="K56" s="721">
        <f t="shared" si="7"/>
        <v>51.317959747591495</v>
      </c>
      <c r="L56" s="721">
        <f t="shared" si="7"/>
        <v>0</v>
      </c>
      <c r="M56" s="721">
        <f t="shared" si="7"/>
        <v>0</v>
      </c>
      <c r="N56" s="721">
        <f t="shared" si="7"/>
        <v>0</v>
      </c>
      <c r="O56" s="721">
        <f t="shared" si="7"/>
        <v>0</v>
      </c>
      <c r="P56" s="721">
        <f t="shared" si="7"/>
        <v>0</v>
      </c>
      <c r="Q56" s="722">
        <f t="shared" si="7"/>
        <v>0</v>
      </c>
      <c r="R56" s="723">
        <f ca="1">SUM(R54:R55)</f>
        <v>4154.4295921803377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27783.406538081286</v>
      </c>
      <c r="D61" s="729">
        <f t="shared" ref="D61:Q61" ca="1" si="8">D46+D52+D56</f>
        <v>0.8402521008403363</v>
      </c>
      <c r="E61" s="729">
        <f t="shared" ca="1" si="8"/>
        <v>44914.968911462704</v>
      </c>
      <c r="F61" s="729">
        <f t="shared" si="8"/>
        <v>275.54623936426322</v>
      </c>
      <c r="G61" s="729">
        <f t="shared" ca="1" si="8"/>
        <v>4236.5636273090877</v>
      </c>
      <c r="H61" s="729">
        <f t="shared" si="8"/>
        <v>21754.416237029051</v>
      </c>
      <c r="I61" s="729">
        <f t="shared" si="8"/>
        <v>3004.6441058804767</v>
      </c>
      <c r="J61" s="729">
        <f t="shared" si="8"/>
        <v>0</v>
      </c>
      <c r="K61" s="729">
        <f t="shared" si="8"/>
        <v>52.501819556729252</v>
      </c>
      <c r="L61" s="729">
        <f t="shared" si="8"/>
        <v>0</v>
      </c>
      <c r="M61" s="729">
        <f t="shared" ca="1" si="8"/>
        <v>0</v>
      </c>
      <c r="N61" s="729">
        <f t="shared" si="8"/>
        <v>0</v>
      </c>
      <c r="O61" s="729">
        <f t="shared" ca="1" si="8"/>
        <v>0</v>
      </c>
      <c r="P61" s="729">
        <f t="shared" si="8"/>
        <v>0</v>
      </c>
      <c r="Q61" s="729">
        <f t="shared" si="8"/>
        <v>0</v>
      </c>
      <c r="R61" s="729">
        <f ca="1">R46+R52+R56</f>
        <v>102022.88773078444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0.21628843177259172</v>
      </c>
      <c r="D63" s="773">
        <f t="shared" ca="1" si="9"/>
        <v>0.23764705882352949</v>
      </c>
      <c r="E63" s="1010">
        <f t="shared" ca="1" si="9"/>
        <v>0.20200000000000001</v>
      </c>
      <c r="F63" s="773">
        <f t="shared" si="9"/>
        <v>0.22699999999999995</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2741.2413096932664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2.4749999999999996</v>
      </c>
      <c r="D76" s="1020">
        <f>'lokale energieproductie'!C8</f>
        <v>2.9117647058823533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0.58817647058823541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2741.2413096932664</v>
      </c>
      <c r="C78" s="744">
        <f>SUM(C72:C77)</f>
        <v>2.4749999999999996</v>
      </c>
      <c r="D78" s="745">
        <f t="shared" ref="D78:H78" si="10">SUM(D76:D77)</f>
        <v>2.9117647058823533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0.58817647058823541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3.5357142857142851</v>
      </c>
      <c r="D87" s="766">
        <f>'lokale energieproductie'!C17</f>
        <v>4.1596638655462188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0.8402521008403363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3.5357142857142851</v>
      </c>
      <c r="D90" s="744">
        <f t="shared" ref="D90:H90" si="12">SUM(D87:D89)</f>
        <v>4.1596638655462188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0.8402521008403363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61826.75856682298</v>
      </c>
      <c r="C4" s="461">
        <f>huishoudens!C8</f>
        <v>0</v>
      </c>
      <c r="D4" s="461">
        <f>huishoudens!D8</f>
        <v>139131.73155508563</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100.05333333333334</v>
      </c>
      <c r="P4" s="462">
        <f>huishoudens!P8</f>
        <v>171.6</v>
      </c>
      <c r="Q4" s="463">
        <f>SUM(B4:P4)</f>
        <v>201230.14345524195</v>
      </c>
    </row>
    <row r="5" spans="1:17">
      <c r="A5" s="460" t="s">
        <v>156</v>
      </c>
      <c r="B5" s="461">
        <f ca="1">tertiair!B16</f>
        <v>51467.927074380292</v>
      </c>
      <c r="C5" s="461">
        <f ca="1">tertiair!C16</f>
        <v>0</v>
      </c>
      <c r="D5" s="461">
        <f ca="1">tertiair!D16</f>
        <v>71304.801117542534</v>
      </c>
      <c r="E5" s="461">
        <f>tertiair!E16</f>
        <v>853.28344513110346</v>
      </c>
      <c r="F5" s="461">
        <f ca="1">tertiair!F16</f>
        <v>10328.55929138998</v>
      </c>
      <c r="G5" s="461">
        <f>tertiair!G16</f>
        <v>0</v>
      </c>
      <c r="H5" s="461">
        <f>tertiair!H16</f>
        <v>0</v>
      </c>
      <c r="I5" s="461">
        <f>tertiair!I16</f>
        <v>0</v>
      </c>
      <c r="J5" s="461">
        <f>tertiair!J16</f>
        <v>0</v>
      </c>
      <c r="K5" s="461">
        <f>tertiair!K16</f>
        <v>0</v>
      </c>
      <c r="L5" s="461">
        <f ca="1">tertiair!L16</f>
        <v>0</v>
      </c>
      <c r="M5" s="461">
        <f>tertiair!M16</f>
        <v>0</v>
      </c>
      <c r="N5" s="461">
        <f ca="1">tertiair!N16</f>
        <v>4653.84355889979</v>
      </c>
      <c r="O5" s="461">
        <f>tertiair!O16</f>
        <v>4.6900000000000004</v>
      </c>
      <c r="P5" s="462">
        <f>tertiair!P16</f>
        <v>0</v>
      </c>
      <c r="Q5" s="460">
        <f t="shared" ref="Q5:Q14" ca="1" si="0">SUM(B5:P5)</f>
        <v>138613.10448734372</v>
      </c>
    </row>
    <row r="6" spans="1:17">
      <c r="A6" s="460" t="s">
        <v>194</v>
      </c>
      <c r="B6" s="461">
        <f>'openbare verlichting'!B8</f>
        <v>3303.7530000000002</v>
      </c>
      <c r="C6" s="461"/>
      <c r="D6" s="461"/>
      <c r="E6" s="461"/>
      <c r="F6" s="461"/>
      <c r="G6" s="461"/>
      <c r="H6" s="461"/>
      <c r="I6" s="461"/>
      <c r="J6" s="461"/>
      <c r="K6" s="461"/>
      <c r="L6" s="461"/>
      <c r="M6" s="461"/>
      <c r="N6" s="461"/>
      <c r="O6" s="461"/>
      <c r="P6" s="462"/>
      <c r="Q6" s="460">
        <f t="shared" si="0"/>
        <v>3303.7530000000002</v>
      </c>
    </row>
    <row r="7" spans="1:17">
      <c r="A7" s="460" t="s">
        <v>112</v>
      </c>
      <c r="B7" s="461">
        <f>landbouw!B8</f>
        <v>1171.8697495083259</v>
      </c>
      <c r="C7" s="461">
        <f>landbouw!C8</f>
        <v>3.5357142857142851</v>
      </c>
      <c r="D7" s="461">
        <f>landbouw!D8</f>
        <v>212.5264008511233</v>
      </c>
      <c r="E7" s="461">
        <f>landbouw!E8</f>
        <v>11.039798218856888</v>
      </c>
      <c r="F7" s="461">
        <f>landbouw!F8</f>
        <v>3824.1999020602357</v>
      </c>
      <c r="G7" s="461">
        <f>landbouw!G8</f>
        <v>0</v>
      </c>
      <c r="H7" s="461">
        <f>landbouw!H8</f>
        <v>0</v>
      </c>
      <c r="I7" s="461">
        <f>landbouw!I8</f>
        <v>0</v>
      </c>
      <c r="J7" s="461">
        <f>landbouw!J8</f>
        <v>144.96598798754661</v>
      </c>
      <c r="K7" s="461">
        <f>landbouw!K8</f>
        <v>0</v>
      </c>
      <c r="L7" s="461">
        <f>landbouw!L8</f>
        <v>0</v>
      </c>
      <c r="M7" s="461">
        <f>landbouw!M8</f>
        <v>0</v>
      </c>
      <c r="N7" s="461">
        <f>landbouw!N8</f>
        <v>0</v>
      </c>
      <c r="O7" s="461">
        <f>landbouw!O8</f>
        <v>0</v>
      </c>
      <c r="P7" s="462">
        <f>landbouw!P8</f>
        <v>0</v>
      </c>
      <c r="Q7" s="460">
        <f t="shared" si="0"/>
        <v>5368.1375529118022</v>
      </c>
    </row>
    <row r="8" spans="1:17">
      <c r="A8" s="460" t="s">
        <v>685</v>
      </c>
      <c r="B8" s="461">
        <f>industrie!B18</f>
        <v>3326.5043622117305</v>
      </c>
      <c r="C8" s="461">
        <f>industrie!C18</f>
        <v>0</v>
      </c>
      <c r="D8" s="461">
        <f>industrie!D18</f>
        <v>4362.5235225656443</v>
      </c>
      <c r="E8" s="461">
        <f>industrie!E18</f>
        <v>24.87087971354455</v>
      </c>
      <c r="F8" s="461">
        <f>industrie!F18</f>
        <v>1714.5203095800716</v>
      </c>
      <c r="G8" s="461">
        <f>industrie!G18</f>
        <v>0</v>
      </c>
      <c r="H8" s="461">
        <f>industrie!H18</f>
        <v>0</v>
      </c>
      <c r="I8" s="461">
        <f>industrie!I18</f>
        <v>0</v>
      </c>
      <c r="J8" s="461">
        <f>industrie!J18</f>
        <v>3.3442367489767246</v>
      </c>
      <c r="K8" s="461">
        <f>industrie!K18</f>
        <v>0</v>
      </c>
      <c r="L8" s="461">
        <f>industrie!L18</f>
        <v>0</v>
      </c>
      <c r="M8" s="461">
        <f>industrie!M18</f>
        <v>0</v>
      </c>
      <c r="N8" s="461">
        <f>industrie!N18</f>
        <v>173.69281593806761</v>
      </c>
      <c r="O8" s="461">
        <f>industrie!O18</f>
        <v>0</v>
      </c>
      <c r="P8" s="462">
        <f>industrie!P18</f>
        <v>0</v>
      </c>
      <c r="Q8" s="460">
        <f t="shared" si="0"/>
        <v>9605.4561267580357</v>
      </c>
    </row>
    <row r="9" spans="1:17" s="466" customFormat="1">
      <c r="A9" s="464" t="s">
        <v>579</v>
      </c>
      <c r="B9" s="465">
        <f>transport!B14</f>
        <v>2.0796952375403648</v>
      </c>
      <c r="C9" s="465">
        <f>transport!C14</f>
        <v>0</v>
      </c>
      <c r="D9" s="465">
        <f>transport!D14</f>
        <v>5.3527402167761124</v>
      </c>
      <c r="E9" s="465">
        <f>transport!E14</f>
        <v>324.66596224161952</v>
      </c>
      <c r="F9" s="465">
        <f>transport!F14</f>
        <v>0</v>
      </c>
      <c r="G9" s="465">
        <f>transport!G14</f>
        <v>80120.379813091698</v>
      </c>
      <c r="H9" s="465">
        <f>transport!H14</f>
        <v>12066.843798716774</v>
      </c>
      <c r="I9" s="465">
        <f>transport!I14</f>
        <v>0</v>
      </c>
      <c r="J9" s="465">
        <f>transport!J14</f>
        <v>0</v>
      </c>
      <c r="K9" s="465">
        <f>transport!K14</f>
        <v>0</v>
      </c>
      <c r="L9" s="465">
        <f>transport!L14</f>
        <v>0</v>
      </c>
      <c r="M9" s="465">
        <f>transport!M14</f>
        <v>4119.7739835550838</v>
      </c>
      <c r="N9" s="465">
        <f>transport!N14</f>
        <v>0</v>
      </c>
      <c r="O9" s="465">
        <f>transport!O14</f>
        <v>0</v>
      </c>
      <c r="P9" s="465">
        <f>transport!P14</f>
        <v>0</v>
      </c>
      <c r="Q9" s="464">
        <f>SUM(B9:P9)</f>
        <v>96639.095993059498</v>
      </c>
    </row>
    <row r="10" spans="1:17">
      <c r="A10" s="460" t="s">
        <v>569</v>
      </c>
      <c r="B10" s="461">
        <f>transport!B54</f>
        <v>1342.4352069028726</v>
      </c>
      <c r="C10" s="461">
        <f>transport!C54</f>
        <v>0</v>
      </c>
      <c r="D10" s="461">
        <f>transport!D54</f>
        <v>0</v>
      </c>
      <c r="E10" s="461">
        <f>transport!E54</f>
        <v>0</v>
      </c>
      <c r="F10" s="461">
        <f>transport!F54</f>
        <v>0</v>
      </c>
      <c r="G10" s="461">
        <f>transport!G54</f>
        <v>1356.8345578036126</v>
      </c>
      <c r="H10" s="461">
        <f>transport!H54</f>
        <v>0</v>
      </c>
      <c r="I10" s="461">
        <f>transport!I54</f>
        <v>0</v>
      </c>
      <c r="J10" s="461">
        <f>transport!J54</f>
        <v>0</v>
      </c>
      <c r="K10" s="461">
        <f>transport!K54</f>
        <v>0</v>
      </c>
      <c r="L10" s="461">
        <f>transport!L54</f>
        <v>0</v>
      </c>
      <c r="M10" s="461">
        <f>transport!M54</f>
        <v>59.580843671764001</v>
      </c>
      <c r="N10" s="461">
        <f>transport!N54</f>
        <v>0</v>
      </c>
      <c r="O10" s="461">
        <f>transport!O54</f>
        <v>0</v>
      </c>
      <c r="P10" s="462">
        <f>transport!P54</f>
        <v>0</v>
      </c>
      <c r="Q10" s="460">
        <f t="shared" si="0"/>
        <v>2758.850608378249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6014.0238881620908</v>
      </c>
      <c r="C14" s="468"/>
      <c r="D14" s="468">
        <f>'SEAP template'!E25</f>
        <v>7334.39590860315</v>
      </c>
      <c r="E14" s="468"/>
      <c r="F14" s="468"/>
      <c r="G14" s="468"/>
      <c r="H14" s="468"/>
      <c r="I14" s="468"/>
      <c r="J14" s="468"/>
      <c r="K14" s="468"/>
      <c r="L14" s="468"/>
      <c r="M14" s="468"/>
      <c r="N14" s="468"/>
      <c r="O14" s="468"/>
      <c r="P14" s="469"/>
      <c r="Q14" s="460">
        <f t="shared" si="0"/>
        <v>13348.41979676524</v>
      </c>
    </row>
    <row r="15" spans="1:17" s="473" customFormat="1">
      <c r="A15" s="470" t="s">
        <v>573</v>
      </c>
      <c r="B15" s="471">
        <f ca="1">SUM(B4:B14)</f>
        <v>128455.35154322584</v>
      </c>
      <c r="C15" s="471">
        <f t="shared" ref="C15:Q15" ca="1" si="1">SUM(C4:C14)</f>
        <v>3.5357142857142851</v>
      </c>
      <c r="D15" s="471">
        <f t="shared" ca="1" si="1"/>
        <v>222351.33124486485</v>
      </c>
      <c r="E15" s="471">
        <f t="shared" si="1"/>
        <v>1213.8600853051244</v>
      </c>
      <c r="F15" s="471">
        <f t="shared" ca="1" si="1"/>
        <v>15867.279503030288</v>
      </c>
      <c r="G15" s="471">
        <f t="shared" si="1"/>
        <v>81477.214370895308</v>
      </c>
      <c r="H15" s="471">
        <f t="shared" si="1"/>
        <v>12066.843798716774</v>
      </c>
      <c r="I15" s="471">
        <f t="shared" si="1"/>
        <v>0</v>
      </c>
      <c r="J15" s="471">
        <f t="shared" si="1"/>
        <v>148.31022473652334</v>
      </c>
      <c r="K15" s="471">
        <f t="shared" si="1"/>
        <v>0</v>
      </c>
      <c r="L15" s="471">
        <f t="shared" ca="1" si="1"/>
        <v>0</v>
      </c>
      <c r="M15" s="471">
        <f t="shared" si="1"/>
        <v>4179.3548272268481</v>
      </c>
      <c r="N15" s="471">
        <f t="shared" ca="1" si="1"/>
        <v>4827.5363748378577</v>
      </c>
      <c r="O15" s="471">
        <f t="shared" si="1"/>
        <v>104.74333333333334</v>
      </c>
      <c r="P15" s="471">
        <f t="shared" si="1"/>
        <v>171.6</v>
      </c>
      <c r="Q15" s="471">
        <f t="shared" ca="1" si="1"/>
        <v>470866.96102045855</v>
      </c>
    </row>
    <row r="17" spans="1:17">
      <c r="A17" s="474" t="s">
        <v>574</v>
      </c>
      <c r="B17" s="778">
        <f ca="1">huishoudens!B10</f>
        <v>0.21628843177259172</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13372.412652000792</v>
      </c>
      <c r="C22" s="461">
        <f t="shared" ref="C22:C32" ca="1" si="3">C4*$C$17</f>
        <v>0</v>
      </c>
      <c r="D22" s="461">
        <f t="shared" ref="D22:D32" si="4">D4*$D$17</f>
        <v>28104.609774127301</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41477.022426128096</v>
      </c>
    </row>
    <row r="23" spans="1:17">
      <c r="A23" s="460" t="s">
        <v>156</v>
      </c>
      <c r="B23" s="461">
        <f t="shared" ca="1" si="2"/>
        <v>11131.917233503827</v>
      </c>
      <c r="C23" s="461">
        <f t="shared" ca="1" si="3"/>
        <v>0</v>
      </c>
      <c r="D23" s="461">
        <f t="shared" ca="1" si="4"/>
        <v>14403.569825743592</v>
      </c>
      <c r="E23" s="461">
        <f t="shared" si="5"/>
        <v>193.69534204476048</v>
      </c>
      <c r="F23" s="461">
        <f t="shared" ca="1" si="6"/>
        <v>2757.725330801125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28486.907732093303</v>
      </c>
    </row>
    <row r="24" spans="1:17">
      <c r="A24" s="460" t="s">
        <v>194</v>
      </c>
      <c r="B24" s="461">
        <f t="shared" ca="1" si="2"/>
        <v>714.56355533399528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714.56355533399528</v>
      </c>
    </row>
    <row r="25" spans="1:17">
      <c r="A25" s="460" t="s">
        <v>112</v>
      </c>
      <c r="B25" s="461">
        <f t="shared" ca="1" si="2"/>
        <v>253.4618703628957</v>
      </c>
      <c r="C25" s="461">
        <f t="shared" ca="1" si="3"/>
        <v>0.8402521008403363</v>
      </c>
      <c r="D25" s="461">
        <f t="shared" si="4"/>
        <v>42.930332971926909</v>
      </c>
      <c r="E25" s="461">
        <f t="shared" si="5"/>
        <v>2.5060341956805137</v>
      </c>
      <c r="F25" s="461">
        <f t="shared" si="6"/>
        <v>1021.061373850083</v>
      </c>
      <c r="G25" s="461">
        <f t="shared" si="7"/>
        <v>0</v>
      </c>
      <c r="H25" s="461">
        <f t="shared" si="8"/>
        <v>0</v>
      </c>
      <c r="I25" s="461">
        <f t="shared" si="9"/>
        <v>0</v>
      </c>
      <c r="J25" s="461">
        <f t="shared" si="10"/>
        <v>51.317959747591495</v>
      </c>
      <c r="K25" s="461">
        <f t="shared" si="11"/>
        <v>0</v>
      </c>
      <c r="L25" s="461">
        <f t="shared" si="12"/>
        <v>0</v>
      </c>
      <c r="M25" s="461">
        <f t="shared" si="13"/>
        <v>0</v>
      </c>
      <c r="N25" s="461">
        <f t="shared" si="14"/>
        <v>0</v>
      </c>
      <c r="O25" s="461">
        <f t="shared" si="15"/>
        <v>0</v>
      </c>
      <c r="P25" s="462">
        <f t="shared" si="16"/>
        <v>0</v>
      </c>
      <c r="Q25" s="460">
        <f t="shared" ca="1" si="17"/>
        <v>1372.1178232290179</v>
      </c>
    </row>
    <row r="26" spans="1:17">
      <c r="A26" s="460" t="s">
        <v>685</v>
      </c>
      <c r="B26" s="461">
        <f t="shared" ca="1" si="2"/>
        <v>719.48441178746054</v>
      </c>
      <c r="C26" s="461">
        <f t="shared" ca="1" si="3"/>
        <v>0</v>
      </c>
      <c r="D26" s="461">
        <f t="shared" si="4"/>
        <v>881.2297515582602</v>
      </c>
      <c r="E26" s="461">
        <f t="shared" si="5"/>
        <v>5.6456896949746129</v>
      </c>
      <c r="F26" s="461">
        <f t="shared" si="6"/>
        <v>457.77692265787914</v>
      </c>
      <c r="G26" s="461">
        <f t="shared" si="7"/>
        <v>0</v>
      </c>
      <c r="H26" s="461">
        <f t="shared" si="8"/>
        <v>0</v>
      </c>
      <c r="I26" s="461">
        <f t="shared" si="9"/>
        <v>0</v>
      </c>
      <c r="J26" s="461">
        <f t="shared" si="10"/>
        <v>1.1838598091377606</v>
      </c>
      <c r="K26" s="461">
        <f t="shared" si="11"/>
        <v>0</v>
      </c>
      <c r="L26" s="461">
        <f t="shared" si="12"/>
        <v>0</v>
      </c>
      <c r="M26" s="461">
        <f t="shared" si="13"/>
        <v>0</v>
      </c>
      <c r="N26" s="461">
        <f t="shared" si="14"/>
        <v>0</v>
      </c>
      <c r="O26" s="461">
        <f t="shared" si="15"/>
        <v>0</v>
      </c>
      <c r="P26" s="462">
        <f t="shared" si="16"/>
        <v>0</v>
      </c>
      <c r="Q26" s="460">
        <f t="shared" ca="1" si="17"/>
        <v>2065.3206355077123</v>
      </c>
    </row>
    <row r="27" spans="1:17" s="466" customFormat="1">
      <c r="A27" s="464" t="s">
        <v>579</v>
      </c>
      <c r="B27" s="772">
        <f t="shared" ca="1" si="2"/>
        <v>0.44981402149253313</v>
      </c>
      <c r="C27" s="465">
        <f t="shared" ca="1" si="3"/>
        <v>0</v>
      </c>
      <c r="D27" s="465">
        <f t="shared" si="4"/>
        <v>1.0812535237887748</v>
      </c>
      <c r="E27" s="465">
        <f t="shared" si="5"/>
        <v>73.699173428847629</v>
      </c>
      <c r="F27" s="465">
        <f t="shared" si="6"/>
        <v>0</v>
      </c>
      <c r="G27" s="465">
        <f t="shared" si="7"/>
        <v>21392.141410095486</v>
      </c>
      <c r="H27" s="465">
        <f t="shared" si="8"/>
        <v>3004.6441058804767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24472.015756950092</v>
      </c>
    </row>
    <row r="28" spans="1:17">
      <c r="A28" s="460" t="s">
        <v>569</v>
      </c>
      <c r="B28" s="461">
        <f t="shared" ca="1" si="2"/>
        <v>290.35320565733701</v>
      </c>
      <c r="C28" s="461">
        <f t="shared" ca="1" si="3"/>
        <v>0</v>
      </c>
      <c r="D28" s="461">
        <f t="shared" si="4"/>
        <v>0</v>
      </c>
      <c r="E28" s="461">
        <f t="shared" si="5"/>
        <v>0</v>
      </c>
      <c r="F28" s="461">
        <f t="shared" si="6"/>
        <v>0</v>
      </c>
      <c r="G28" s="461">
        <f t="shared" si="7"/>
        <v>362.27482693356461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652.62803259090163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1300.7637954134832</v>
      </c>
      <c r="C32" s="461">
        <f t="shared" ca="1" si="3"/>
        <v>0</v>
      </c>
      <c r="D32" s="461">
        <f t="shared" si="4"/>
        <v>1481.5479735378365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2782.3117689513197</v>
      </c>
    </row>
    <row r="33" spans="1:17" s="473" customFormat="1">
      <c r="A33" s="470" t="s">
        <v>573</v>
      </c>
      <c r="B33" s="471">
        <f ca="1">SUM(B22:B32)</f>
        <v>27783.406538081286</v>
      </c>
      <c r="C33" s="471">
        <f t="shared" ref="C33:Q33" ca="1" si="18">SUM(C22:C32)</f>
        <v>0.8402521008403363</v>
      </c>
      <c r="D33" s="471">
        <f t="shared" ca="1" si="18"/>
        <v>44914.968911462704</v>
      </c>
      <c r="E33" s="471">
        <f t="shared" si="18"/>
        <v>275.54623936426322</v>
      </c>
      <c r="F33" s="471">
        <f t="shared" ca="1" si="18"/>
        <v>4236.5636273090868</v>
      </c>
      <c r="G33" s="471">
        <f t="shared" si="18"/>
        <v>21754.416237029051</v>
      </c>
      <c r="H33" s="471">
        <f t="shared" si="18"/>
        <v>3004.6441058804767</v>
      </c>
      <c r="I33" s="471">
        <f t="shared" si="18"/>
        <v>0</v>
      </c>
      <c r="J33" s="471">
        <f t="shared" si="18"/>
        <v>52.501819556729252</v>
      </c>
      <c r="K33" s="471">
        <f t="shared" si="18"/>
        <v>0</v>
      </c>
      <c r="L33" s="471">
        <f t="shared" ca="1" si="18"/>
        <v>0</v>
      </c>
      <c r="M33" s="471">
        <f t="shared" si="18"/>
        <v>0</v>
      </c>
      <c r="N33" s="471">
        <f t="shared" ca="1" si="18"/>
        <v>0</v>
      </c>
      <c r="O33" s="471">
        <f t="shared" si="18"/>
        <v>0</v>
      </c>
      <c r="P33" s="471">
        <f t="shared" si="18"/>
        <v>0</v>
      </c>
      <c r="Q33" s="471">
        <f t="shared" ca="1" si="18"/>
        <v>102022.88773078442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2741.2413096932664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2.4749999999999996</v>
      </c>
      <c r="D8" s="1037">
        <f>'SEAP template'!D76</f>
        <v>2.9117647058823533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0.58817647058823541</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2741.2413096932664</v>
      </c>
      <c r="C10" s="1041">
        <f>SUM(C4:C9)</f>
        <v>2.4749999999999996</v>
      </c>
      <c r="D10" s="1041">
        <f t="shared" ref="D10:H10" si="0">SUM(D8:D9)</f>
        <v>2.9117647058823533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0.58817647058823541</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0.21628843177259172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3.5357142857142851</v>
      </c>
      <c r="D17" s="1038">
        <f>'SEAP template'!D87</f>
        <v>4.1596638655462188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0.8402521008403363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3.5357142857142851</v>
      </c>
      <c r="D20" s="1041">
        <f t="shared" ref="D20:H20" si="2">SUM(D17:D19)</f>
        <v>4.1596638655462188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0.8402521008403363</v>
      </c>
    </row>
    <row r="22" spans="1:16">
      <c r="A22" s="474" t="s">
        <v>933</v>
      </c>
      <c r="B22" s="778" t="s">
        <v>927</v>
      </c>
      <c r="C22" s="778">
        <f ca="1">'EF ele_warmte'!B22</f>
        <v>0.23764705882352949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0.21628843177259172</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0.21628843177259172</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0.21628843177259172</v>
      </c>
      <c r="C29" s="511">
        <f ca="1">'EF ele_warmte'!B22</f>
        <v>0.23764705882352949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38014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10978</v>
      </c>
      <c r="C9" s="338">
        <v>11661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2208</v>
      </c>
    </row>
    <row r="15" spans="1:6">
      <c r="A15" s="1286" t="s">
        <v>184</v>
      </c>
      <c r="B15" s="335">
        <v>6</v>
      </c>
    </row>
    <row r="16" spans="1:6">
      <c r="A16" s="1286" t="s">
        <v>6</v>
      </c>
      <c r="B16" s="335">
        <v>229</v>
      </c>
    </row>
    <row r="17" spans="1:6">
      <c r="A17" s="1286" t="s">
        <v>7</v>
      </c>
      <c r="B17" s="335">
        <v>167</v>
      </c>
    </row>
    <row r="18" spans="1:6">
      <c r="A18" s="1286" t="s">
        <v>8</v>
      </c>
      <c r="B18" s="335">
        <v>254</v>
      </c>
    </row>
    <row r="19" spans="1:6">
      <c r="A19" s="1286" t="s">
        <v>9</v>
      </c>
      <c r="B19" s="335">
        <v>240</v>
      </c>
    </row>
    <row r="20" spans="1:6">
      <c r="A20" s="1286" t="s">
        <v>10</v>
      </c>
      <c r="B20" s="335">
        <v>471</v>
      </c>
    </row>
    <row r="21" spans="1:6">
      <c r="A21" s="1286" t="s">
        <v>11</v>
      </c>
      <c r="B21" s="335">
        <v>4341</v>
      </c>
    </row>
    <row r="22" spans="1:6">
      <c r="A22" s="1286" t="s">
        <v>12</v>
      </c>
      <c r="B22" s="335">
        <v>7595</v>
      </c>
    </row>
    <row r="23" spans="1:6">
      <c r="A23" s="1286" t="s">
        <v>13</v>
      </c>
      <c r="B23" s="335">
        <v>186</v>
      </c>
    </row>
    <row r="24" spans="1:6">
      <c r="A24" s="1286" t="s">
        <v>14</v>
      </c>
      <c r="B24" s="335">
        <v>77</v>
      </c>
    </row>
    <row r="25" spans="1:6">
      <c r="A25" s="1286" t="s">
        <v>15</v>
      </c>
      <c r="B25" s="335">
        <v>1017</v>
      </c>
    </row>
    <row r="26" spans="1:6">
      <c r="A26" s="1286" t="s">
        <v>16</v>
      </c>
      <c r="B26" s="335">
        <v>70</v>
      </c>
    </row>
    <row r="27" spans="1:6">
      <c r="A27" s="1286" t="s">
        <v>17</v>
      </c>
      <c r="B27" s="335">
        <v>0</v>
      </c>
    </row>
    <row r="28" spans="1:6" s="341" customFormat="1">
      <c r="A28" s="1287" t="s">
        <v>18</v>
      </c>
      <c r="B28" s="1287">
        <v>193694</v>
      </c>
    </row>
    <row r="29" spans="1:6">
      <c r="A29" s="1287" t="s">
        <v>942</v>
      </c>
      <c r="B29" s="1287">
        <v>228</v>
      </c>
      <c r="C29" s="341"/>
      <c r="D29" s="341"/>
      <c r="E29" s="341"/>
      <c r="F29" s="341"/>
    </row>
    <row r="30" spans="1:6">
      <c r="A30" s="1282" t="s">
        <v>943</v>
      </c>
      <c r="B30" s="1282">
        <v>51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7</v>
      </c>
      <c r="D36" s="335">
        <v>1431960.32460343</v>
      </c>
      <c r="E36" s="335">
        <v>3</v>
      </c>
      <c r="F36" s="335">
        <v>9133.5543285071999</v>
      </c>
    </row>
    <row r="37" spans="1:6">
      <c r="A37" s="1286" t="s">
        <v>25</v>
      </c>
      <c r="B37" s="1286" t="s">
        <v>28</v>
      </c>
      <c r="C37" s="335">
        <v>0</v>
      </c>
      <c r="D37" s="335">
        <v>0</v>
      </c>
      <c r="E37" s="335">
        <v>0</v>
      </c>
      <c r="F37" s="335">
        <v>0</v>
      </c>
    </row>
    <row r="38" spans="1:6">
      <c r="A38" s="1286" t="s">
        <v>25</v>
      </c>
      <c r="B38" s="1286" t="s">
        <v>29</v>
      </c>
      <c r="C38" s="335">
        <v>0</v>
      </c>
      <c r="D38" s="335">
        <v>0</v>
      </c>
      <c r="E38" s="335">
        <v>2</v>
      </c>
      <c r="F38" s="335">
        <v>5987.9736672195004</v>
      </c>
    </row>
    <row r="39" spans="1:6">
      <c r="A39" s="1286" t="s">
        <v>30</v>
      </c>
      <c r="B39" s="1286" t="s">
        <v>31</v>
      </c>
      <c r="C39" s="335">
        <v>13004</v>
      </c>
      <c r="D39" s="335">
        <v>154248039.418055</v>
      </c>
      <c r="E39" s="335">
        <v>24571</v>
      </c>
      <c r="F39" s="335">
        <v>59564163.187227704</v>
      </c>
    </row>
    <row r="40" spans="1:6">
      <c r="A40" s="1286" t="s">
        <v>30</v>
      </c>
      <c r="B40" s="1286" t="s">
        <v>29</v>
      </c>
      <c r="C40" s="335">
        <v>0</v>
      </c>
      <c r="D40" s="335">
        <v>0</v>
      </c>
      <c r="E40" s="335">
        <v>0</v>
      </c>
      <c r="F40" s="335">
        <v>0</v>
      </c>
    </row>
    <row r="41" spans="1:6">
      <c r="A41" s="1286" t="s">
        <v>32</v>
      </c>
      <c r="B41" s="1286" t="s">
        <v>33</v>
      </c>
      <c r="C41" s="335">
        <v>123</v>
      </c>
      <c r="D41" s="335">
        <v>2588301.1631785198</v>
      </c>
      <c r="E41" s="335">
        <v>275</v>
      </c>
      <c r="F41" s="335">
        <v>1933967.5096915399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126906.681812333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112208.041959002</v>
      </c>
      <c r="E47" s="335">
        <v>6</v>
      </c>
      <c r="F47" s="335">
        <v>13059.7221423633</v>
      </c>
    </row>
    <row r="48" spans="1:6">
      <c r="A48" s="1286" t="s">
        <v>32</v>
      </c>
      <c r="B48" s="1286" t="s">
        <v>29</v>
      </c>
      <c r="C48" s="335">
        <v>31</v>
      </c>
      <c r="D48" s="335">
        <v>645910.25376771705</v>
      </c>
      <c r="E48" s="335">
        <v>45</v>
      </c>
      <c r="F48" s="335">
        <v>213998.16538510699</v>
      </c>
    </row>
    <row r="49" spans="1:6">
      <c r="A49" s="1286" t="s">
        <v>32</v>
      </c>
      <c r="B49" s="1286" t="s">
        <v>40</v>
      </c>
      <c r="C49" s="335">
        <v>0</v>
      </c>
      <c r="D49" s="335">
        <v>0</v>
      </c>
      <c r="E49" s="335">
        <v>3</v>
      </c>
      <c r="F49" s="335">
        <v>5465.1537563878001</v>
      </c>
    </row>
    <row r="50" spans="1:6">
      <c r="A50" s="1286" t="s">
        <v>32</v>
      </c>
      <c r="B50" s="1286" t="s">
        <v>41</v>
      </c>
      <c r="C50" s="335">
        <v>22</v>
      </c>
      <c r="D50" s="335">
        <v>1490081.12043583</v>
      </c>
      <c r="E50" s="335">
        <v>32</v>
      </c>
      <c r="F50" s="335">
        <v>1033107.129424</v>
      </c>
    </row>
    <row r="51" spans="1:6">
      <c r="A51" s="1286" t="s">
        <v>42</v>
      </c>
      <c r="B51" s="1286" t="s">
        <v>43</v>
      </c>
      <c r="C51" s="335">
        <v>8</v>
      </c>
      <c r="D51" s="335">
        <v>48265.393951042803</v>
      </c>
      <c r="E51" s="335">
        <v>60</v>
      </c>
      <c r="F51" s="335">
        <v>1010697.80110634</v>
      </c>
    </row>
    <row r="52" spans="1:6">
      <c r="A52" s="1286" t="s">
        <v>42</v>
      </c>
      <c r="B52" s="1286" t="s">
        <v>29</v>
      </c>
      <c r="C52" s="335">
        <v>6</v>
      </c>
      <c r="D52" s="335">
        <v>195191.17968815</v>
      </c>
      <c r="E52" s="335">
        <v>10</v>
      </c>
      <c r="F52" s="335">
        <v>161171.94840198601</v>
      </c>
    </row>
    <row r="53" spans="1:6">
      <c r="A53" s="1286" t="s">
        <v>44</v>
      </c>
      <c r="B53" s="1286" t="s">
        <v>45</v>
      </c>
      <c r="C53" s="335">
        <v>360</v>
      </c>
      <c r="D53" s="335">
        <v>7334395.9086031504</v>
      </c>
      <c r="E53" s="335">
        <v>1174</v>
      </c>
      <c r="F53" s="335">
        <v>6014023.8881620904</v>
      </c>
    </row>
    <row r="54" spans="1:6">
      <c r="A54" s="1286" t="s">
        <v>46</v>
      </c>
      <c r="B54" s="1286" t="s">
        <v>47</v>
      </c>
      <c r="C54" s="335">
        <v>0</v>
      </c>
      <c r="D54" s="335">
        <v>0</v>
      </c>
      <c r="E54" s="335">
        <v>1</v>
      </c>
      <c r="F54" s="335">
        <v>3303753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58</v>
      </c>
      <c r="D57" s="335">
        <v>2288314.4268257902</v>
      </c>
      <c r="E57" s="335">
        <v>168</v>
      </c>
      <c r="F57" s="335">
        <v>7623614.1184501899</v>
      </c>
    </row>
    <row r="58" spans="1:6">
      <c r="A58" s="1286" t="s">
        <v>49</v>
      </c>
      <c r="B58" s="1286" t="s">
        <v>51</v>
      </c>
      <c r="C58" s="335">
        <v>67</v>
      </c>
      <c r="D58" s="335">
        <v>1794666.31905353</v>
      </c>
      <c r="E58" s="335">
        <v>127</v>
      </c>
      <c r="F58" s="335">
        <v>833718.34324639896</v>
      </c>
    </row>
    <row r="59" spans="1:6">
      <c r="A59" s="1286" t="s">
        <v>49</v>
      </c>
      <c r="B59" s="1286" t="s">
        <v>52</v>
      </c>
      <c r="C59" s="335">
        <v>269</v>
      </c>
      <c r="D59" s="335">
        <v>6433301.5433237301</v>
      </c>
      <c r="E59" s="335">
        <v>517</v>
      </c>
      <c r="F59" s="335">
        <v>11006739.589795699</v>
      </c>
    </row>
    <row r="60" spans="1:6">
      <c r="A60" s="1286" t="s">
        <v>49</v>
      </c>
      <c r="B60" s="1286" t="s">
        <v>53</v>
      </c>
      <c r="C60" s="335">
        <v>614</v>
      </c>
      <c r="D60" s="335">
        <v>27013332.027411401</v>
      </c>
      <c r="E60" s="335">
        <v>593</v>
      </c>
      <c r="F60" s="335">
        <v>13108111.078735899</v>
      </c>
    </row>
    <row r="61" spans="1:6">
      <c r="A61" s="1286" t="s">
        <v>49</v>
      </c>
      <c r="B61" s="1286" t="s">
        <v>54</v>
      </c>
      <c r="C61" s="335">
        <v>784</v>
      </c>
      <c r="D61" s="335">
        <v>29349542.777249001</v>
      </c>
      <c r="E61" s="335">
        <v>2821</v>
      </c>
      <c r="F61" s="335">
        <v>15608378.998916101</v>
      </c>
    </row>
    <row r="62" spans="1:6">
      <c r="A62" s="1286" t="s">
        <v>49</v>
      </c>
      <c r="B62" s="1286" t="s">
        <v>55</v>
      </c>
      <c r="C62" s="335">
        <v>9</v>
      </c>
      <c r="D62" s="335">
        <v>2708906.3580883099</v>
      </c>
      <c r="E62" s="335">
        <v>16</v>
      </c>
      <c r="F62" s="335">
        <v>426320.24683710502</v>
      </c>
    </row>
    <row r="63" spans="1:6">
      <c r="A63" s="1286" t="s">
        <v>49</v>
      </c>
      <c r="B63" s="1286" t="s">
        <v>29</v>
      </c>
      <c r="C63" s="335">
        <v>103</v>
      </c>
      <c r="D63" s="335">
        <v>9463822.4876741096</v>
      </c>
      <c r="E63" s="335">
        <v>104</v>
      </c>
      <c r="F63" s="335">
        <v>2861044.6983989002</v>
      </c>
    </row>
    <row r="64" spans="1:6">
      <c r="A64" s="1286" t="s">
        <v>56</v>
      </c>
      <c r="B64" s="1286" t="s">
        <v>57</v>
      </c>
      <c r="C64" s="335">
        <v>0</v>
      </c>
      <c r="D64" s="335">
        <v>0</v>
      </c>
      <c r="E64" s="335">
        <v>0</v>
      </c>
      <c r="F64" s="335">
        <v>0</v>
      </c>
    </row>
    <row r="65" spans="1:6">
      <c r="A65" s="1286" t="s">
        <v>56</v>
      </c>
      <c r="B65" s="1286" t="s">
        <v>29</v>
      </c>
      <c r="C65" s="335">
        <v>2</v>
      </c>
      <c r="D65" s="335">
        <v>88858.667539655595</v>
      </c>
      <c r="E65" s="335">
        <v>2</v>
      </c>
      <c r="F65" s="335">
        <v>28831.0119302024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119159.828408246</v>
      </c>
      <c r="E68" s="335">
        <v>23</v>
      </c>
      <c r="F68" s="335">
        <v>681215.26643245202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79862698</v>
      </c>
      <c r="E73" s="335">
        <v>91517359.836604685</v>
      </c>
    </row>
    <row r="74" spans="1:6">
      <c r="A74" s="1286" t="s">
        <v>64</v>
      </c>
      <c r="B74" s="1286" t="s">
        <v>772</v>
      </c>
      <c r="C74" s="1297" t="s">
        <v>766</v>
      </c>
      <c r="D74" s="335">
        <v>9105546.1014461014</v>
      </c>
      <c r="E74" s="335">
        <v>10488950.538261123</v>
      </c>
    </row>
    <row r="75" spans="1:6">
      <c r="A75" s="1286" t="s">
        <v>65</v>
      </c>
      <c r="B75" s="1286" t="s">
        <v>771</v>
      </c>
      <c r="C75" s="1297" t="s">
        <v>767</v>
      </c>
      <c r="D75" s="335">
        <v>6152830</v>
      </c>
      <c r="E75" s="335">
        <v>6737600.970772231</v>
      </c>
    </row>
    <row r="76" spans="1:6">
      <c r="A76" s="1286" t="s">
        <v>65</v>
      </c>
      <c r="B76" s="1286" t="s">
        <v>772</v>
      </c>
      <c r="C76" s="1297" t="s">
        <v>768</v>
      </c>
      <c r="D76" s="335">
        <v>85883.101446100889</v>
      </c>
      <c r="E76" s="335">
        <v>124725.40553353674</v>
      </c>
    </row>
    <row r="77" spans="1:6">
      <c r="A77" s="1286" t="s">
        <v>66</v>
      </c>
      <c r="B77" s="1286" t="s">
        <v>771</v>
      </c>
      <c r="C77" s="1297" t="s">
        <v>769</v>
      </c>
      <c r="D77" s="335">
        <v>12829168</v>
      </c>
      <c r="E77" s="335">
        <v>13985286.513891501</v>
      </c>
    </row>
    <row r="78" spans="1:6">
      <c r="A78" s="1282" t="s">
        <v>66</v>
      </c>
      <c r="B78" s="1282" t="s">
        <v>772</v>
      </c>
      <c r="C78" s="1282" t="s">
        <v>770</v>
      </c>
      <c r="D78" s="1282">
        <v>4094208</v>
      </c>
      <c r="E78" s="1282">
        <v>5373030.847144709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372663.79710779822</v>
      </c>
      <c r="C83" s="335">
        <v>351738.10482869518</v>
      </c>
    </row>
    <row r="84" spans="1:6">
      <c r="A84" s="1282" t="s">
        <v>337</v>
      </c>
      <c r="B84" s="338">
        <v>380832.68280932558</v>
      </c>
      <c r="C84" s="338">
        <v>385129.99932499946</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2262.5953795952705</v>
      </c>
    </row>
    <row r="92" spans="1:6">
      <c r="A92" s="1282" t="s">
        <v>69</v>
      </c>
      <c r="B92" s="338">
        <v>478.64593009799586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5266</v>
      </c>
    </row>
    <row r="98" spans="1:6">
      <c r="A98" s="1286" t="s">
        <v>72</v>
      </c>
      <c r="B98" s="335">
        <v>0</v>
      </c>
    </row>
    <row r="99" spans="1:6">
      <c r="A99" s="1286" t="s">
        <v>73</v>
      </c>
      <c r="B99" s="335">
        <v>87</v>
      </c>
    </row>
    <row r="100" spans="1:6">
      <c r="A100" s="1286" t="s">
        <v>74</v>
      </c>
      <c r="B100" s="335">
        <v>1499</v>
      </c>
    </row>
    <row r="101" spans="1:6">
      <c r="A101" s="1286" t="s">
        <v>75</v>
      </c>
      <c r="B101" s="335">
        <v>72</v>
      </c>
    </row>
    <row r="102" spans="1:6">
      <c r="A102" s="1286" t="s">
        <v>76</v>
      </c>
      <c r="B102" s="335">
        <v>190</v>
      </c>
    </row>
    <row r="103" spans="1:6">
      <c r="A103" s="1286" t="s">
        <v>77</v>
      </c>
      <c r="B103" s="335">
        <v>69</v>
      </c>
    </row>
    <row r="104" spans="1:6">
      <c r="A104" s="1286" t="s">
        <v>78</v>
      </c>
      <c r="B104" s="335">
        <v>1638</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10</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54</v>
      </c>
    </row>
    <row r="130" spans="1:6">
      <c r="A130" s="1286" t="s">
        <v>295</v>
      </c>
      <c r="B130" s="335">
        <v>3</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128455.35154322584</v>
      </c>
      <c r="C3" s="44" t="s">
        <v>170</v>
      </c>
      <c r="D3" s="44"/>
      <c r="E3" s="157"/>
      <c r="F3" s="44"/>
      <c r="G3" s="44"/>
      <c r="H3" s="44"/>
      <c r="I3" s="44"/>
      <c r="J3" s="44"/>
      <c r="K3" s="97"/>
    </row>
    <row r="4" spans="1:11">
      <c r="A4" s="365" t="s">
        <v>171</v>
      </c>
      <c r="B4" s="50">
        <f>IF(ISERROR('SEAP template'!B78),0,'SEAP template'!B78)</f>
        <v>2741.2413096932664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0.58817647058823541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0.21628843177259172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0.8402521008403363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3.5357142857142851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3303.7530000000002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3303.7530000000002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0.21628843177259172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714.56355533399528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59564.163187227707</v>
      </c>
      <c r="C5" s="18">
        <f>IF(ISERROR('Eigen informatie GS &amp; warmtenet'!B57),0,'Eigen informatie GS &amp; warmtenet'!B57)</f>
        <v>0</v>
      </c>
      <c r="D5" s="31">
        <f>(SUM(HH_hh_gas_kWh,HH_rest_gas_kWh)/1000)*0.902</f>
        <v>139131.73155508563</v>
      </c>
      <c r="E5" s="18">
        <f>B46*B57</f>
        <v>0</v>
      </c>
      <c r="F5" s="18">
        <f>B51*B62</f>
        <v>0</v>
      </c>
      <c r="G5" s="19"/>
      <c r="H5" s="18"/>
      <c r="I5" s="18"/>
      <c r="J5" s="18">
        <f>B50*B61+C50*C61</f>
        <v>0</v>
      </c>
      <c r="K5" s="18"/>
      <c r="L5" s="18"/>
      <c r="M5" s="18"/>
      <c r="N5" s="18">
        <f>B48*B59+C48*C59</f>
        <v>0</v>
      </c>
      <c r="O5" s="18">
        <f>B69*B70*B71</f>
        <v>100.05333333333334</v>
      </c>
      <c r="P5" s="18">
        <f>B77*B78*B79/1000-B77*B78*B79/1000/B80</f>
        <v>171.6</v>
      </c>
    </row>
    <row r="6" spans="1:16">
      <c r="A6" s="17" t="s">
        <v>639</v>
      </c>
      <c r="B6" s="780">
        <f>kWh_PV_kleiner_dan_10kW</f>
        <v>2262.5953795952705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61826.75856682298</v>
      </c>
      <c r="C8" s="22">
        <f>C5</f>
        <v>0</v>
      </c>
      <c r="D8" s="22">
        <f>D5</f>
        <v>139131.73155508563</v>
      </c>
      <c r="E8" s="22">
        <f>E5</f>
        <v>0</v>
      </c>
      <c r="F8" s="22">
        <f>F5</f>
        <v>0</v>
      </c>
      <c r="G8" s="22"/>
      <c r="H8" s="22"/>
      <c r="I8" s="22"/>
      <c r="J8" s="22">
        <f>J5</f>
        <v>0</v>
      </c>
      <c r="K8" s="22"/>
      <c r="L8" s="22">
        <f>L5</f>
        <v>0</v>
      </c>
      <c r="M8" s="22">
        <f>M5</f>
        <v>0</v>
      </c>
      <c r="N8" s="22">
        <f>N5</f>
        <v>0</v>
      </c>
      <c r="O8" s="22">
        <f>O5</f>
        <v>100.05333333333334</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0.21628843177259172</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13372.412652000792</v>
      </c>
      <c r="C12" s="24">
        <f ca="1">C10*C8</f>
        <v>0</v>
      </c>
      <c r="D12" s="24">
        <f>D8*D10</f>
        <v>28104.609774127301</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5266</v>
      </c>
      <c r="C18" s="169" t="s">
        <v>111</v>
      </c>
      <c r="D18" s="231"/>
      <c r="E18" s="16"/>
    </row>
    <row r="19" spans="1:7">
      <c r="A19" s="174" t="s">
        <v>72</v>
      </c>
      <c r="B19" s="38">
        <f>aantalw2001_ander</f>
        <v>0</v>
      </c>
      <c r="C19" s="169" t="s">
        <v>111</v>
      </c>
      <c r="D19" s="232"/>
      <c r="E19" s="16"/>
    </row>
    <row r="20" spans="1:7">
      <c r="A20" s="174" t="s">
        <v>73</v>
      </c>
      <c r="B20" s="38">
        <f>aantalw2001_propaan</f>
        <v>87</v>
      </c>
      <c r="C20" s="170">
        <f>IF(ISERROR(B20/SUM($B$20,$B$21,$B$22)*100),0,B20/SUM($B$20,$B$21,$B$22)*100)</f>
        <v>5.2472858866103742</v>
      </c>
      <c r="D20" s="232"/>
      <c r="E20" s="16"/>
    </row>
    <row r="21" spans="1:7">
      <c r="A21" s="174" t="s">
        <v>74</v>
      </c>
      <c r="B21" s="38">
        <f>aantalw2001_elektriciteit</f>
        <v>1499</v>
      </c>
      <c r="C21" s="170">
        <f>IF(ISERROR(B21/SUM($B$20,$B$21,$B$22)*100),0,B21/SUM($B$20,$B$21,$B$22)*100)</f>
        <v>90.410132689987933</v>
      </c>
      <c r="D21" s="232"/>
      <c r="E21" s="16"/>
    </row>
    <row r="22" spans="1:7">
      <c r="A22" s="174" t="s">
        <v>75</v>
      </c>
      <c r="B22" s="38">
        <f>aantalw2001_hout</f>
        <v>72</v>
      </c>
      <c r="C22" s="170">
        <f>IF(ISERROR(B22/SUM($B$20,$B$21,$B$22)*100),0,B22/SUM($B$20,$B$21,$B$22)*100)</f>
        <v>4.3425814234016888</v>
      </c>
      <c r="D22" s="232"/>
      <c r="E22" s="16"/>
    </row>
    <row r="23" spans="1:7">
      <c r="A23" s="174" t="s">
        <v>76</v>
      </c>
      <c r="B23" s="38">
        <f>aantalw2001_niet_gespec</f>
        <v>190</v>
      </c>
      <c r="C23" s="169" t="s">
        <v>111</v>
      </c>
      <c r="D23" s="231"/>
      <c r="E23" s="16"/>
    </row>
    <row r="24" spans="1:7">
      <c r="A24" s="174" t="s">
        <v>77</v>
      </c>
      <c r="B24" s="38">
        <f>aantalw2001_steenkool</f>
        <v>69</v>
      </c>
      <c r="C24" s="169" t="s">
        <v>111</v>
      </c>
      <c r="D24" s="232"/>
      <c r="E24" s="16"/>
    </row>
    <row r="25" spans="1:7">
      <c r="A25" s="174" t="s">
        <v>78</v>
      </c>
      <c r="B25" s="38">
        <f>aantalw2001_stookolie</f>
        <v>1638</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10978</v>
      </c>
      <c r="C28" s="37"/>
      <c r="D28" s="231"/>
    </row>
    <row r="29" spans="1:7" s="16" customFormat="1">
      <c r="A29" s="233" t="s">
        <v>666</v>
      </c>
      <c r="B29" s="38">
        <f>SUM(HH_hh_gas_aantal,HH_rest_gas_aantal)</f>
        <v>13004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13004</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13004</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51467.927074380292</v>
      </c>
      <c r="C5" s="18">
        <f>IF(ISERROR('Eigen informatie GS &amp; warmtenet'!B58),0,'Eigen informatie GS &amp; warmtenet'!B58)</f>
        <v>0</v>
      </c>
      <c r="D5" s="31">
        <f>SUM(D6:D12)</f>
        <v>71304.801117542534</v>
      </c>
      <c r="E5" s="18">
        <f>SUM(E6:E12)</f>
        <v>853.28344513110346</v>
      </c>
      <c r="F5" s="18">
        <f>SUM(F6:F12)</f>
        <v>10328.55929138998</v>
      </c>
      <c r="G5" s="19"/>
      <c r="H5" s="18"/>
      <c r="I5" s="18"/>
      <c r="J5" s="18">
        <f>SUM(J6:J12)</f>
        <v>0</v>
      </c>
      <c r="K5" s="18"/>
      <c r="L5" s="18"/>
      <c r="M5" s="18"/>
      <c r="N5" s="18">
        <f>SUM(N6:N12)</f>
        <v>4653.84355889979</v>
      </c>
      <c r="O5" s="18">
        <f>B38*B39*B40</f>
        <v>4.6900000000000004</v>
      </c>
      <c r="P5" s="18">
        <f>B46*B47*B48/1000-B46*B47*B48/1000/B49</f>
        <v>0</v>
      </c>
      <c r="R5" s="33"/>
    </row>
    <row r="6" spans="1:18">
      <c r="A6" s="33" t="s">
        <v>54</v>
      </c>
      <c r="B6" s="38">
        <f>B26</f>
        <v>15608.378998916101</v>
      </c>
      <c r="C6" s="34"/>
      <c r="D6" s="38">
        <f>IF(ISERROR(TER_kantoor_gas_kWh/1000),0,TER_kantoor_gas_kWh/1000)*0.902</f>
        <v>26473.2875850786</v>
      </c>
      <c r="E6" s="34">
        <f>$C$26*'E Balans VL '!I12/100/3.6*1000000</f>
        <v>25.616513378686115</v>
      </c>
      <c r="F6" s="34">
        <f>$C$26*('E Balans VL '!L12+'E Balans VL '!N12)/100/3.6*1000000</f>
        <v>1839.8606387574473</v>
      </c>
      <c r="G6" s="35"/>
      <c r="H6" s="34"/>
      <c r="I6" s="34"/>
      <c r="J6" s="34">
        <f>$C$26*('E Balans VL '!D12+'E Balans VL '!E12)/100/3.6*1000000</f>
        <v>0</v>
      </c>
      <c r="K6" s="34"/>
      <c r="L6" s="34"/>
      <c r="M6" s="34"/>
      <c r="N6" s="34">
        <f>$C$26*'E Balans VL '!Y12/100/3.6*1000000</f>
        <v>3.1535990650054777</v>
      </c>
      <c r="O6" s="34"/>
      <c r="P6" s="34"/>
      <c r="R6" s="33"/>
    </row>
    <row r="7" spans="1:18">
      <c r="A7" s="33" t="s">
        <v>53</v>
      </c>
      <c r="B7" s="38">
        <f t="shared" ref="B7:B12" si="0">B27</f>
        <v>13108.111078735899</v>
      </c>
      <c r="C7" s="34"/>
      <c r="D7" s="38">
        <f>IF(ISERROR(TER_horeca_gas_kWh/1000),0,TER_horeca_gas_kWh/1000)*0.902</f>
        <v>24366.025488725085</v>
      </c>
      <c r="E7" s="34">
        <f>$C$27*'E Balans VL '!I9/100/3.6*1000000</f>
        <v>680.21611266486343</v>
      </c>
      <c r="F7" s="34">
        <f>$C$27*('E Balans VL '!L9+'E Balans VL '!N9)/100/3.6*1000000</f>
        <v>2991.2804594600711</v>
      </c>
      <c r="G7" s="35"/>
      <c r="H7" s="34"/>
      <c r="I7" s="34"/>
      <c r="J7" s="34">
        <f>$C$27*('E Balans VL '!D9+'E Balans VL '!E9)/100/3.6*1000000</f>
        <v>0</v>
      </c>
      <c r="K7" s="34"/>
      <c r="L7" s="34"/>
      <c r="M7" s="34"/>
      <c r="N7" s="34">
        <f>$C$27*'E Balans VL '!Y9/100/3.6*1000000</f>
        <v>1.384210522860537</v>
      </c>
      <c r="O7" s="34"/>
      <c r="P7" s="34"/>
      <c r="R7" s="33"/>
    </row>
    <row r="8" spans="1:18">
      <c r="A8" s="6" t="s">
        <v>52</v>
      </c>
      <c r="B8" s="38">
        <f t="shared" si="0"/>
        <v>11006.739589795699</v>
      </c>
      <c r="C8" s="34"/>
      <c r="D8" s="38">
        <f>IF(ISERROR(TER_handel_gas_kWh/1000),0,TER_handel_gas_kWh/1000)*0.902</f>
        <v>5802.8379920780044</v>
      </c>
      <c r="E8" s="34">
        <f>$C$28*'E Balans VL '!I13/100/3.6*1000000</f>
        <v>59.272645239577187</v>
      </c>
      <c r="F8" s="34">
        <f>$C$28*('E Balans VL '!L13+'E Balans VL '!N13)/100/3.6*1000000</f>
        <v>2244.6012931999385</v>
      </c>
      <c r="G8" s="35"/>
      <c r="H8" s="34"/>
      <c r="I8" s="34"/>
      <c r="J8" s="34">
        <f>$C$28*('E Balans VL '!D13+'E Balans VL '!E13)/100/3.6*1000000</f>
        <v>0</v>
      </c>
      <c r="K8" s="34"/>
      <c r="L8" s="34"/>
      <c r="M8" s="34"/>
      <c r="N8" s="34">
        <f>$C$28*'E Balans VL '!Y13/100/3.6*1000000</f>
        <v>54.730703487407936</v>
      </c>
      <c r="O8" s="34"/>
      <c r="P8" s="34"/>
      <c r="R8" s="33"/>
    </row>
    <row r="9" spans="1:18">
      <c r="A9" s="33" t="s">
        <v>51</v>
      </c>
      <c r="B9" s="38">
        <f t="shared" si="0"/>
        <v>833.71834324639894</v>
      </c>
      <c r="C9" s="34"/>
      <c r="D9" s="38">
        <f>IF(ISERROR(TER_gezond_gas_kWh/1000),0,TER_gezond_gas_kWh/1000)*0.902</f>
        <v>1618.7890197862841</v>
      </c>
      <c r="E9" s="34">
        <f>$C$29*'E Balans VL '!I10/100/3.6*1000000</f>
        <v>0.82622435916294257</v>
      </c>
      <c r="F9" s="34">
        <f>$C$29*('E Balans VL '!L10+'E Balans VL '!N10)/100/3.6*1000000</f>
        <v>289.27623409719064</v>
      </c>
      <c r="G9" s="35"/>
      <c r="H9" s="34"/>
      <c r="I9" s="34"/>
      <c r="J9" s="34">
        <f>$C$29*('E Balans VL '!D10+'E Balans VL '!E10)/100/3.6*1000000</f>
        <v>0</v>
      </c>
      <c r="K9" s="34"/>
      <c r="L9" s="34"/>
      <c r="M9" s="34"/>
      <c r="N9" s="34">
        <f>$C$29*'E Balans VL '!Y10/100/3.6*1000000</f>
        <v>7.1840787390804115</v>
      </c>
      <c r="O9" s="34"/>
      <c r="P9" s="34"/>
      <c r="R9" s="33"/>
    </row>
    <row r="10" spans="1:18">
      <c r="A10" s="33" t="s">
        <v>50</v>
      </c>
      <c r="B10" s="38">
        <f t="shared" si="0"/>
        <v>7623.6141184501903</v>
      </c>
      <c r="C10" s="34"/>
      <c r="D10" s="38">
        <f>IF(ISERROR(TER_ander_gas_kWh/1000),0,TER_ander_gas_kWh/1000)*0.902</f>
        <v>2064.0596129968626</v>
      </c>
      <c r="E10" s="34">
        <f>$C$30*'E Balans VL '!I14/100/3.6*1000000</f>
        <v>62.368782748606748</v>
      </c>
      <c r="F10" s="34">
        <f>$C$30*('E Balans VL '!L14+'E Balans VL '!N14)/100/3.6*1000000</f>
        <v>2228.834398049627</v>
      </c>
      <c r="G10" s="35"/>
      <c r="H10" s="34"/>
      <c r="I10" s="34"/>
      <c r="J10" s="34">
        <f>$C$30*('E Balans VL '!D14+'E Balans VL '!E14)/100/3.6*1000000</f>
        <v>0</v>
      </c>
      <c r="K10" s="34"/>
      <c r="L10" s="34"/>
      <c r="M10" s="34"/>
      <c r="N10" s="34">
        <f>$C$30*'E Balans VL '!Y14/100/3.6*1000000</f>
        <v>4397.8250436534145</v>
      </c>
      <c r="O10" s="34"/>
      <c r="P10" s="34"/>
      <c r="R10" s="33"/>
    </row>
    <row r="11" spans="1:18">
      <c r="A11" s="33" t="s">
        <v>55</v>
      </c>
      <c r="B11" s="38">
        <f t="shared" si="0"/>
        <v>426.320246837105</v>
      </c>
      <c r="C11" s="34"/>
      <c r="D11" s="38">
        <f>IF(ISERROR(TER_onderwijs_gas_kWh/1000),0,TER_onderwijs_gas_kWh/1000)*0.902</f>
        <v>2443.4335349956555</v>
      </c>
      <c r="E11" s="34">
        <f>$C$31*'E Balans VL '!I11/100/3.6*1000000</f>
        <v>0.26276581191327258</v>
      </c>
      <c r="F11" s="34">
        <f>$C$31*('E Balans VL '!L11+'E Balans VL '!N11)/100/3.6*1000000</f>
        <v>164.82231154264451</v>
      </c>
      <c r="G11" s="35"/>
      <c r="H11" s="34"/>
      <c r="I11" s="34"/>
      <c r="J11" s="34">
        <f>$C$31*('E Balans VL '!D11+'E Balans VL '!E11)/100/3.6*1000000</f>
        <v>0</v>
      </c>
      <c r="K11" s="34"/>
      <c r="L11" s="34"/>
      <c r="M11" s="34"/>
      <c r="N11" s="34">
        <f>$C$31*'E Balans VL '!Y11/100/3.6*1000000</f>
        <v>1.386728404482841</v>
      </c>
      <c r="O11" s="34"/>
      <c r="P11" s="34"/>
      <c r="R11" s="33"/>
    </row>
    <row r="12" spans="1:18">
      <c r="A12" s="33" t="s">
        <v>260</v>
      </c>
      <c r="B12" s="38">
        <f t="shared" si="0"/>
        <v>2861.0446983989004</v>
      </c>
      <c r="C12" s="34"/>
      <c r="D12" s="38">
        <f>IF(ISERROR(TER_rest_gas_kWh/1000),0,TER_rest_gas_kWh/1000)*0.902</f>
        <v>8536.367883882047</v>
      </c>
      <c r="E12" s="34">
        <f>$C$32*'E Balans VL '!I8/100/3.6*1000000</f>
        <v>24.720400928293795</v>
      </c>
      <c r="F12" s="34">
        <f>$C$32*('E Balans VL '!L8+'E Balans VL '!N8)/100/3.6*1000000</f>
        <v>569.88395628306159</v>
      </c>
      <c r="G12" s="35"/>
      <c r="H12" s="34"/>
      <c r="I12" s="34"/>
      <c r="J12" s="34">
        <f>$C$32*('E Balans VL '!D8+'E Balans VL '!E8)/100/3.6*1000000</f>
        <v>0</v>
      </c>
      <c r="K12" s="34"/>
      <c r="L12" s="34"/>
      <c r="M12" s="34"/>
      <c r="N12" s="34">
        <f>$C$32*'E Balans VL '!Y8/100/3.6*1000000</f>
        <v>188.17919502753827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51467.927074380292</v>
      </c>
      <c r="C16" s="22">
        <f t="shared" ca="1" si="1"/>
        <v>0</v>
      </c>
      <c r="D16" s="22">
        <f t="shared" ca="1" si="1"/>
        <v>71304.801117542534</v>
      </c>
      <c r="E16" s="22">
        <f t="shared" si="1"/>
        <v>853.28344513110346</v>
      </c>
      <c r="F16" s="22">
        <f t="shared" ca="1" si="1"/>
        <v>10328.55929138998</v>
      </c>
      <c r="G16" s="22">
        <f t="shared" si="1"/>
        <v>0</v>
      </c>
      <c r="H16" s="22">
        <f t="shared" si="1"/>
        <v>0</v>
      </c>
      <c r="I16" s="22">
        <f t="shared" si="1"/>
        <v>0</v>
      </c>
      <c r="J16" s="22">
        <f t="shared" si="1"/>
        <v>0</v>
      </c>
      <c r="K16" s="22">
        <f t="shared" si="1"/>
        <v>0</v>
      </c>
      <c r="L16" s="22">
        <f t="shared" ca="1" si="1"/>
        <v>0</v>
      </c>
      <c r="M16" s="22">
        <f t="shared" si="1"/>
        <v>0</v>
      </c>
      <c r="N16" s="22">
        <f t="shared" ca="1" si="1"/>
        <v>4653.84355889979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0.21628843177259172</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11131.917233503827</v>
      </c>
      <c r="C20" s="24">
        <f t="shared" ref="C20:P20" ca="1" si="2">C16*C18</f>
        <v>0</v>
      </c>
      <c r="D20" s="24">
        <f t="shared" ca="1" si="2"/>
        <v>14403.569825743592</v>
      </c>
      <c r="E20" s="24">
        <f t="shared" si="2"/>
        <v>193.69534204476048</v>
      </c>
      <c r="F20" s="24">
        <f t="shared" ca="1" si="2"/>
        <v>2757.725330801125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15608.378998916101</v>
      </c>
      <c r="C26" s="40">
        <f>IF(ISERROR(B26*3.6/1000000/'E Balans VL '!Z12*100),0,B26*3.6/1000000/'E Balans VL '!Z12*100)</f>
        <v>0.33166686047384514</v>
      </c>
      <c r="D26" s="240" t="s">
        <v>707</v>
      </c>
      <c r="F26" s="6"/>
    </row>
    <row r="27" spans="1:18">
      <c r="A27" s="234" t="s">
        <v>53</v>
      </c>
      <c r="B27" s="34">
        <f>IF(ISERROR(TER_horeca_ele_kWh/1000),0,TER_horeca_ele_kWh/1000)</f>
        <v>13108.111078735899</v>
      </c>
      <c r="C27" s="40">
        <f>IF(ISERROR(B27*3.6/1000000/'E Balans VL '!Z9*100),0,B27*3.6/1000000/'E Balans VL '!Z9*100)</f>
        <v>1.0317097064799035</v>
      </c>
      <c r="D27" s="240" t="s">
        <v>707</v>
      </c>
      <c r="F27" s="6"/>
    </row>
    <row r="28" spans="1:18">
      <c r="A28" s="174" t="s">
        <v>52</v>
      </c>
      <c r="B28" s="34">
        <f>IF(ISERROR(TER_handel_ele_kWh/1000),0,TER_handel_ele_kWh/1000)</f>
        <v>11006.739589795699</v>
      </c>
      <c r="C28" s="40">
        <f>IF(ISERROR(B28*3.6/1000000/'E Balans VL '!Z13*100),0,B28*3.6/1000000/'E Balans VL '!Z13*100)</f>
        <v>0.30830466648464783</v>
      </c>
      <c r="D28" s="240" t="s">
        <v>707</v>
      </c>
      <c r="F28" s="6"/>
    </row>
    <row r="29" spans="1:18">
      <c r="A29" s="234" t="s">
        <v>51</v>
      </c>
      <c r="B29" s="34">
        <f>IF(ISERROR(TER_gezond_ele_kWh/1000),0,TER_gezond_ele_kWh/1000)</f>
        <v>833.71834324639894</v>
      </c>
      <c r="C29" s="40">
        <f>IF(ISERROR(B29*3.6/1000000/'E Balans VL '!Z10*100),0,B29*3.6/1000000/'E Balans VL '!Z10*100)</f>
        <v>0.10665778672857153</v>
      </c>
      <c r="D29" s="240" t="s">
        <v>707</v>
      </c>
      <c r="F29" s="6"/>
    </row>
    <row r="30" spans="1:18">
      <c r="A30" s="234" t="s">
        <v>50</v>
      </c>
      <c r="B30" s="34">
        <f>IF(ISERROR(TER_ander_ele_kWh/1000),0,TER_ander_ele_kWh/1000)</f>
        <v>7623.6141184501903</v>
      </c>
      <c r="C30" s="40">
        <f>IF(ISERROR(B30*3.6/1000000/'E Balans VL '!Z14*100),0,B30*3.6/1000000/'E Balans VL '!Z14*100)</f>
        <v>0.57018209836535028</v>
      </c>
      <c r="D30" s="240" t="s">
        <v>707</v>
      </c>
      <c r="F30" s="6"/>
    </row>
    <row r="31" spans="1:18">
      <c r="A31" s="234" t="s">
        <v>55</v>
      </c>
      <c r="B31" s="34">
        <f>IF(ISERROR(TER_onderwijs_ele_kWh/1000),0,TER_onderwijs_ele_kWh/1000)</f>
        <v>426.320246837105</v>
      </c>
      <c r="C31" s="40">
        <f>IF(ISERROR(B31*3.6/1000000/'E Balans VL '!Z11*100),0,B31*3.6/1000000/'E Balans VL '!Z11*100)</f>
        <v>9.001807234552682E-2</v>
      </c>
      <c r="D31" s="240" t="s">
        <v>707</v>
      </c>
    </row>
    <row r="32" spans="1:18">
      <c r="A32" s="234" t="s">
        <v>260</v>
      </c>
      <c r="B32" s="34">
        <f>IF(ISERROR(TER_rest_ele_kWh/1000),0,TER_rest_ele_kWh/1000)</f>
        <v>2861.0446983989004</v>
      </c>
      <c r="C32" s="40">
        <f>IF(ISERROR(B32*3.6/1000000/'E Balans VL '!Z8*100),0,B32*3.6/1000000/'E Balans VL '!Z8*100)</f>
        <v>2.3569091861596458E-2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3326.5043622117305</v>
      </c>
      <c r="C5" s="18">
        <f>IF(ISERROR('Eigen informatie GS &amp; warmtenet'!B59),0,'Eigen informatie GS &amp; warmtenet'!B59)</f>
        <v>0</v>
      </c>
      <c r="D5" s="31">
        <f>SUM(D6:D15)</f>
        <v>4362.5235225656443</v>
      </c>
      <c r="E5" s="18">
        <f>SUM(E6:E15)</f>
        <v>24.87087971354455</v>
      </c>
      <c r="F5" s="18">
        <f>SUM(F6:F15)</f>
        <v>1714.5203095800716</v>
      </c>
      <c r="G5" s="19"/>
      <c r="H5" s="18"/>
      <c r="I5" s="18"/>
      <c r="J5" s="18">
        <f>SUM(J6:J15)</f>
        <v>3.3442367489767246</v>
      </c>
      <c r="K5" s="18"/>
      <c r="L5" s="18"/>
      <c r="M5" s="18"/>
      <c r="N5" s="18">
        <f>SUM(N6:N15)</f>
        <v>173.69281593806761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126.90668181233301</v>
      </c>
      <c r="C8" s="34"/>
      <c r="D8" s="38">
        <f>IF( ISERROR(IND_metaal_Gas_kWH/1000),0,IND_metaal_Gas_kWH/1000)*0.902</f>
        <v>0</v>
      </c>
      <c r="E8" s="34">
        <f>C30*'E Balans VL '!I18/100/3.6*1000000</f>
        <v>1.155716281112994</v>
      </c>
      <c r="F8" s="34">
        <f>C30*'E Balans VL '!L18/100/3.6*1000000+C30*'E Balans VL '!N18/100/3.6*1000000</f>
        <v>16.738027585152185</v>
      </c>
      <c r="G8" s="35"/>
      <c r="H8" s="34"/>
      <c r="I8" s="34"/>
      <c r="J8" s="41">
        <f>C30*'E Balans VL '!D18/100/3.6*1000000+C30*'E Balans VL '!E18/100/3.6*1000000</f>
        <v>2.0810853198553407</v>
      </c>
      <c r="K8" s="34"/>
      <c r="L8" s="34"/>
      <c r="M8" s="34"/>
      <c r="N8" s="34">
        <f>C30*'E Balans VL '!Y18/100/3.6*1000000</f>
        <v>0.43612785183895902</v>
      </c>
      <c r="O8" s="34"/>
      <c r="P8" s="34"/>
      <c r="R8" s="33"/>
    </row>
    <row r="9" spans="1:18">
      <c r="A9" s="6" t="s">
        <v>33</v>
      </c>
      <c r="B9" s="38">
        <f t="shared" si="0"/>
        <v>1933.9675096915398</v>
      </c>
      <c r="C9" s="34"/>
      <c r="D9" s="38">
        <f>IF( ISERROR(IND_andere_gas_kWh/1000),0,IND_andere_gas_kWh/1000)*0.902</f>
        <v>2334.6476491870249</v>
      </c>
      <c r="E9" s="34">
        <f>C31*'E Balans VL '!I19/100/3.6*1000000</f>
        <v>11.178621213556747</v>
      </c>
      <c r="F9" s="34">
        <f>C31*'E Balans VL '!L19/100/3.6*1000000+C31*'E Balans VL '!N19/100/3.6*1000000</f>
        <v>1538.5642127937131</v>
      </c>
      <c r="G9" s="35"/>
      <c r="H9" s="34"/>
      <c r="I9" s="34"/>
      <c r="J9" s="41">
        <f>C31*'E Balans VL '!D19/100/3.6*1000000+C31*'E Balans VL '!E19/100/3.6*1000000</f>
        <v>0.18293184451417105</v>
      </c>
      <c r="K9" s="34"/>
      <c r="L9" s="34"/>
      <c r="M9" s="34"/>
      <c r="N9" s="34">
        <f>C31*'E Balans VL '!Y19/100/3.6*1000000</f>
        <v>146.52730618367076</v>
      </c>
      <c r="O9" s="34"/>
      <c r="P9" s="34"/>
      <c r="R9" s="33"/>
    </row>
    <row r="10" spans="1:18">
      <c r="A10" s="6" t="s">
        <v>41</v>
      </c>
      <c r="B10" s="38">
        <f t="shared" si="0"/>
        <v>1033.107129424</v>
      </c>
      <c r="C10" s="34"/>
      <c r="D10" s="38">
        <f>IF( ISERROR(IND_voed_gas_kWh/1000),0,IND_voed_gas_kWh/1000)*0.902</f>
        <v>1344.0531706331187</v>
      </c>
      <c r="E10" s="34">
        <f>C32*'E Balans VL '!I20/100/3.6*1000000</f>
        <v>10.158145846812799</v>
      </c>
      <c r="F10" s="34">
        <f>C32*'E Balans VL '!L20/100/3.6*1000000+C32*'E Balans VL '!N20/100/3.6*1000000</f>
        <v>114.74003150251397</v>
      </c>
      <c r="G10" s="35"/>
      <c r="H10" s="34"/>
      <c r="I10" s="34"/>
      <c r="J10" s="41">
        <f>C32*'E Balans VL '!D20/100/3.6*1000000+C32*'E Balans VL '!E20/100/3.6*1000000</f>
        <v>4.0719441994757867E-3</v>
      </c>
      <c r="K10" s="34"/>
      <c r="L10" s="34"/>
      <c r="M10" s="34"/>
      <c r="N10" s="34">
        <f>C32*'E Balans VL '!Y20/100/3.6*1000000</f>
        <v>15.297886462647176</v>
      </c>
      <c r="O10" s="34"/>
      <c r="P10" s="34"/>
      <c r="R10" s="33"/>
    </row>
    <row r="11" spans="1:18">
      <c r="A11" s="6" t="s">
        <v>40</v>
      </c>
      <c r="B11" s="38">
        <f t="shared" si="0"/>
        <v>5.4651537563878003</v>
      </c>
      <c r="C11" s="34"/>
      <c r="D11" s="38">
        <f>IF( ISERROR(IND_textiel_gas_kWh/1000),0,IND_textiel_gas_kWh/1000)*0.902</f>
        <v>0</v>
      </c>
      <c r="E11" s="34">
        <f>C33*'E Balans VL '!I21/100/3.6*1000000</f>
        <v>1.0641923409803921E-2</v>
      </c>
      <c r="F11" s="34">
        <f>C33*'E Balans VL '!L21/100/3.6*1000000+C33*'E Balans VL '!N21/100/3.6*1000000</f>
        <v>0.18025870480729922</v>
      </c>
      <c r="G11" s="35"/>
      <c r="H11" s="34"/>
      <c r="I11" s="34"/>
      <c r="J11" s="41">
        <f>C33*'E Balans VL '!D21/100/3.6*1000000+C33*'E Balans VL '!E21/100/3.6*1000000</f>
        <v>0</v>
      </c>
      <c r="K11" s="34"/>
      <c r="L11" s="34"/>
      <c r="M11" s="34"/>
      <c r="N11" s="34">
        <f>C33*'E Balans VL '!Y21/100/3.6*1000000</f>
        <v>5.6688018777058341E-2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13.059722142363301</v>
      </c>
      <c r="C13" s="34"/>
      <c r="D13" s="38">
        <f>IF( ISERROR(IND_papier_gas_kWh/1000),0,IND_papier_gas_kWh/1000)*0.902</f>
        <v>101.2116538470198</v>
      </c>
      <c r="E13" s="34">
        <f>C35*'E Balans VL '!I23/100/3.6*1000000</f>
        <v>0.44483307154178114</v>
      </c>
      <c r="F13" s="34">
        <f>C35*'E Balans VL '!L23/100/3.6*1000000+C35*'E Balans VL '!N23/100/3.6*1000000</f>
        <v>2.1571595928374321</v>
      </c>
      <c r="G13" s="35"/>
      <c r="H13" s="34"/>
      <c r="I13" s="34"/>
      <c r="J13" s="41">
        <f>C35*'E Balans VL '!D23/100/3.6*1000000+C35*'E Balans VL '!E23/100/3.6*1000000</f>
        <v>0</v>
      </c>
      <c r="K13" s="34"/>
      <c r="L13" s="34"/>
      <c r="M13" s="34"/>
      <c r="N13" s="34">
        <f>C35*'E Balans VL '!Y23/100/3.6*1000000</f>
        <v>4.8056275137920403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213.99816538510697</v>
      </c>
      <c r="C15" s="34"/>
      <c r="D15" s="38">
        <f>IF( ISERROR(IND_rest_gas_kWh/1000),0,IND_rest_gas_kWh/1000)*0.902</f>
        <v>582.6110488984807</v>
      </c>
      <c r="E15" s="34">
        <f>C37*'E Balans VL '!I15/100/3.6*1000000</f>
        <v>1.9229213771104279</v>
      </c>
      <c r="F15" s="34">
        <f>C37*'E Balans VL '!L15/100/3.6*1000000+C37*'E Balans VL '!N15/100/3.6*1000000</f>
        <v>42.140619401047537</v>
      </c>
      <c r="G15" s="35"/>
      <c r="H15" s="34"/>
      <c r="I15" s="34"/>
      <c r="J15" s="41">
        <f>C37*'E Balans VL '!D15/100/3.6*1000000+C37*'E Balans VL '!E15/100/3.6*1000000</f>
        <v>1.0761476404077372</v>
      </c>
      <c r="K15" s="34"/>
      <c r="L15" s="34"/>
      <c r="M15" s="34"/>
      <c r="N15" s="34">
        <f>C37*'E Balans VL '!Y15/100/3.6*1000000</f>
        <v>6.5691799073416011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3326.5043622117305</v>
      </c>
      <c r="C18" s="22">
        <f>C5+C16</f>
        <v>0</v>
      </c>
      <c r="D18" s="22">
        <f>MAX((D5+D16),0)</f>
        <v>4362.5235225656443</v>
      </c>
      <c r="E18" s="22">
        <f>MAX((E5+E16),0)</f>
        <v>24.87087971354455</v>
      </c>
      <c r="F18" s="22">
        <f>MAX((F5+F16),0)</f>
        <v>1714.5203095800716</v>
      </c>
      <c r="G18" s="22"/>
      <c r="H18" s="22"/>
      <c r="I18" s="22"/>
      <c r="J18" s="22">
        <f>MAX((J5+J16),0)</f>
        <v>3.3442367489767246</v>
      </c>
      <c r="K18" s="22"/>
      <c r="L18" s="22">
        <f>MAX((L5+L16),0)</f>
        <v>0</v>
      </c>
      <c r="M18" s="22"/>
      <c r="N18" s="22">
        <f>MAX((N5+N16),0)</f>
        <v>173.69281593806761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0.21628843177259172</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719.48441178746054</v>
      </c>
      <c r="C22" s="24">
        <f ca="1">C18*C20</f>
        <v>0</v>
      </c>
      <c r="D22" s="24">
        <f>D18*D20</f>
        <v>881.2297515582602</v>
      </c>
      <c r="E22" s="24">
        <f>E18*E20</f>
        <v>5.6456896949746129</v>
      </c>
      <c r="F22" s="24">
        <f>F18*F20</f>
        <v>457.77692265787914</v>
      </c>
      <c r="G22" s="24"/>
      <c r="H22" s="24"/>
      <c r="I22" s="24"/>
      <c r="J22" s="24">
        <f>J18*J20</f>
        <v>1.1838598091377606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126.90668181233301</v>
      </c>
      <c r="C30" s="40">
        <f>IF(ISERROR(B30*3.6/1000000/'E Balans VL '!Z18*100),0,B30*3.6/1000000/'E Balans VL '!Z18*100)</f>
        <v>7.0615082251559713E-3</v>
      </c>
      <c r="D30" s="240" t="s">
        <v>707</v>
      </c>
    </row>
    <row r="31" spans="1:18">
      <c r="A31" s="6" t="s">
        <v>33</v>
      </c>
      <c r="B31" s="38">
        <f>IF( ISERROR(IND_ander_ele_kWh/1000),0,IND_ander_ele_kWh/1000)</f>
        <v>1933.9675096915398</v>
      </c>
      <c r="C31" s="40">
        <f>IF(ISERROR(B31*3.6/1000000/'E Balans VL '!Z19*100),0,B31*3.6/1000000/'E Balans VL '!Z19*100)</f>
        <v>8.9905070341435619E-2</v>
      </c>
      <c r="D31" s="240" t="s">
        <v>707</v>
      </c>
    </row>
    <row r="32" spans="1:18">
      <c r="A32" s="174" t="s">
        <v>41</v>
      </c>
      <c r="B32" s="38">
        <f>IF( ISERROR(IND_voed_ele_kWh/1000),0,IND_voed_ele_kWh/1000)</f>
        <v>1033.107129424</v>
      </c>
      <c r="C32" s="40">
        <f>IF(ISERROR(B32*3.6/1000000/'E Balans VL '!Z20*100),0,B32*3.6/1000000/'E Balans VL '!Z20*100)</f>
        <v>3.6518250576928535E-2</v>
      </c>
      <c r="D32" s="240" t="s">
        <v>707</v>
      </c>
    </row>
    <row r="33" spans="1:5">
      <c r="A33" s="174" t="s">
        <v>40</v>
      </c>
      <c r="B33" s="38">
        <f>IF( ISERROR(IND_textiel_ele_kWh/1000),0,IND_textiel_ele_kWh/1000)</f>
        <v>5.4651537563878003</v>
      </c>
      <c r="C33" s="40">
        <f>IF(ISERROR(B33*3.6/1000000/'E Balans VL '!Z21*100),0,B33*3.6/1000000/'E Balans VL '!Z21*100)</f>
        <v>7.3815194269689303E-4</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13.059722142363301</v>
      </c>
      <c r="C35" s="40">
        <f>IF(ISERROR(B35*3.6/1000000/'E Balans VL '!Z22*100),0,B35*3.6/1000000/'E Balans VL '!Z22*100)</f>
        <v>2.6246358788923375E-3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213.99816538510697</v>
      </c>
      <c r="C37" s="40">
        <f>IF(ISERROR(B37*3.6/1000000/'E Balans VL '!Z15*100),0,B37*3.6/1000000/'E Balans VL '!Z15*100)</f>
        <v>1.6160022717503749E-3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1171.8697495083259</v>
      </c>
      <c r="C5" s="18">
        <f>'Eigen informatie GS &amp; warmtenet'!B60</f>
        <v>0</v>
      </c>
      <c r="D5" s="31">
        <f>IF(ISERROR(SUM(LB_lb_gas_kWh,LB_rest_gas_kWh)/1000),0,SUM(LB_lb_gas_kWh,LB_rest_gas_kWh)/1000)*0.902</f>
        <v>219.59782942255188</v>
      </c>
      <c r="E5" s="18">
        <f>B17*'E Balans VL '!I25/3.6*1000000/100</f>
        <v>11.039798218856888</v>
      </c>
      <c r="F5" s="18">
        <f>B17*('E Balans VL '!L25/3.6*1000000+'E Balans VL '!N25/3.6*1000000)/100</f>
        <v>3824.1999020602357</v>
      </c>
      <c r="G5" s="19"/>
      <c r="H5" s="18"/>
      <c r="I5" s="18"/>
      <c r="J5" s="18">
        <f>('E Balans VL '!D25+'E Balans VL '!E25)/3.6*1000000*landbouw!B17/100</f>
        <v>144.96598798754661</v>
      </c>
      <c r="K5" s="18"/>
      <c r="L5" s="18">
        <f>L6*(-1)</f>
        <v>0</v>
      </c>
      <c r="M5" s="18"/>
      <c r="N5" s="18">
        <f>N6*(-1)</f>
        <v>0</v>
      </c>
      <c r="O5" s="18"/>
      <c r="P5" s="18"/>
      <c r="R5" s="33"/>
    </row>
    <row r="6" spans="1:18">
      <c r="A6" s="17" t="s">
        <v>502</v>
      </c>
      <c r="B6" s="18" t="s">
        <v>211</v>
      </c>
      <c r="C6" s="18">
        <f>'lokale energieproductie'!O92+'lokale energieproductie'!O61</f>
        <v>3.5357142857142851</v>
      </c>
      <c r="D6" s="312">
        <f>('lokale energieproductie'!P61+'lokale energieproductie'!P92)*(-1)</f>
        <v>-7.0714285714285712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1171.8697495083259</v>
      </c>
      <c r="C8" s="22">
        <f>C5+C6</f>
        <v>3.5357142857142851</v>
      </c>
      <c r="D8" s="22">
        <f>MAX((D5+D6),0)</f>
        <v>212.5264008511233</v>
      </c>
      <c r="E8" s="22">
        <f>MAX((E5+E6),0)</f>
        <v>11.039798218856888</v>
      </c>
      <c r="F8" s="22">
        <f>MAX((F5+F6),0)</f>
        <v>3824.1999020602357</v>
      </c>
      <c r="G8" s="22"/>
      <c r="H8" s="22"/>
      <c r="I8" s="22"/>
      <c r="J8" s="22">
        <f>MAX((J5+J6),0)</f>
        <v>144.96598798754661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0.21628843177259172</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253.4618703628957</v>
      </c>
      <c r="C12" s="24">
        <f ca="1">C8*C10</f>
        <v>0.8402521008403363</v>
      </c>
      <c r="D12" s="24">
        <f>D8*D10</f>
        <v>42.930332971926909</v>
      </c>
      <c r="E12" s="24">
        <f>E8*E10</f>
        <v>2.5060341956805137</v>
      </c>
      <c r="F12" s="24">
        <f>F8*F10</f>
        <v>1021.061373850083</v>
      </c>
      <c r="G12" s="24"/>
      <c r="H12" s="24"/>
      <c r="I12" s="24"/>
      <c r="J12" s="24">
        <f>J8*J10</f>
        <v>51.317959747591495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0.15865243820343983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115.32894894848852</v>
      </c>
      <c r="C26" s="250">
        <f>B26*'GWP N2O_CH4'!B5</f>
        <v>2421.9079279182588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75.96911883685587</v>
      </c>
      <c r="C27" s="250">
        <f>B27*'GWP N2O_CH4'!B5</f>
        <v>1595.3514955739734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1.9100013002569272</v>
      </c>
      <c r="C28" s="250">
        <f>B28*'GWP N2O_CH4'!B4</f>
        <v>592.10040307964744</v>
      </c>
      <c r="D28" s="51"/>
    </row>
    <row r="29" spans="1:4">
      <c r="A29" s="42" t="s">
        <v>277</v>
      </c>
      <c r="B29" s="250">
        <f>B34*'ha_N2O bodem landbouw'!B4</f>
        <v>12.177925597942151</v>
      </c>
      <c r="C29" s="250">
        <f>B29*'GWP N2O_CH4'!B4</f>
        <v>3775.1569353620666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3.2876565470970199E-3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7.4869028551453137E-6</v>
      </c>
      <c r="C5" s="447" t="s">
        <v>211</v>
      </c>
      <c r="D5" s="432">
        <f>SUM(D6:D11)</f>
        <v>1.9269864780394004E-5</v>
      </c>
      <c r="E5" s="432">
        <f>SUM(E6:E11)</f>
        <v>1.1687974640698302E-3</v>
      </c>
      <c r="F5" s="445" t="s">
        <v>211</v>
      </c>
      <c r="G5" s="432">
        <f>SUM(G6:G11)</f>
        <v>0.28843336732713015</v>
      </c>
      <c r="H5" s="432">
        <f>SUM(H6:H11)</f>
        <v>4.3440637675380388E-2</v>
      </c>
      <c r="I5" s="447" t="s">
        <v>211</v>
      </c>
      <c r="J5" s="447" t="s">
        <v>211</v>
      </c>
      <c r="K5" s="447" t="s">
        <v>211</v>
      </c>
      <c r="L5" s="447" t="s">
        <v>211</v>
      </c>
      <c r="M5" s="432">
        <f>SUM(M6:M11)</f>
        <v>1.4831186340798302E-2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6.049128439585751E-6</v>
      </c>
      <c r="C6" s="433"/>
      <c r="D6" s="433">
        <f>vkm_2011_GW_PW*SUMIFS(TableVerdeelsleutelVkm[CNG],TableVerdeelsleutelVkm[Voertuigtype],"Lichte voertuigen")*SUMIFS(TableECFTransport[EnergieConsumptieFactor (PJ per km)],TableECFTransport[Index],CONCATENATE($A6,"_CNG_CNG"))</f>
        <v>1.47720729548663E-5</v>
      </c>
      <c r="E6" s="435">
        <f>vkm_2011_GW_PW*SUMIFS(TableVerdeelsleutelVkm[LPG],TableVerdeelsleutelVkm[Voertuigtype],"Lichte voertuigen")*SUMIFS(TableECFTransport[EnergieConsumptieFactor (PJ per km)],TableECFTransport[Index],CONCATENATE($A6,"_LPG_LPG"))</f>
        <v>8.7561214474443476E-4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0.1265800357655974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3.317299079709933E-2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7.1540347327206429E-3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8.4659183237327851E-2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3.4156679852135142E-5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3.7715404198550677E-3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4.660405905262103E-7</v>
      </c>
      <c r="C8" s="433"/>
      <c r="D8" s="435">
        <f>vkm_2011_NGW_PW*SUMIFS(TableVerdeelsleutelVkm[CNG],TableVerdeelsleutelVkm[Voertuigtype],"Lichte voertuigen")*SUMIFS(TableECFTransport[EnergieConsumptieFactor (PJ per km)],TableECFTransport[Index],CONCATENATE($A8,"_CNG_CNG"))</f>
        <v>2.0419069557076137E-6</v>
      </c>
      <c r="E8" s="435">
        <f>vkm_2011_NGW_PW*SUMIFS(TableVerdeelsleutelVkm[LPG],TableVerdeelsleutelVkm[Voertuigtype],"Lichte voertuigen")*SUMIFS(TableECFTransport[EnergieConsumptieFactor (PJ per km)],TableECFTransport[Index],CONCATENATE($A8,"_LPG_LPG"))</f>
        <v>1.1103627514554914E-4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1.516370483246132E-2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4.3909852945727907E-3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8.7609380384331102E-4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1.1070327598153328E-3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3.8889145118874065E-7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4.9315325419543042E-5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9.7173382503335228E-7</v>
      </c>
      <c r="C10" s="433"/>
      <c r="D10" s="435">
        <f>vkm_2011_SW_PW*SUMIFS(TableVerdeelsleutelVkm[CNG],TableVerdeelsleutelVkm[Voertuigtype],"Lichte voertuigen")*SUMIFS(TableECFTransport[EnergieConsumptieFactor (PJ per km)],TableECFTransport[Index],CONCATENATE($A10,"_CNG_CNG"))</f>
        <v>2.4558848698200902E-6</v>
      </c>
      <c r="E10" s="435">
        <f>vkm_2011_SW_PW*SUMIFS(TableVerdeelsleutelVkm[LPG],TableVerdeelsleutelVkm[Voertuigtype],"Lichte voertuigen")*SUMIFS(TableECFTransport[EnergieConsumptieFactor (PJ per km)],TableECFTransport[Index],CONCATENATE($A10,"_LPG_LPG"))</f>
        <v>1.8214904417984641E-4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2.3997117805007458E-2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5.8263096612183006E-3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1.3351056023505972E-3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3.6926292926920776E-2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1.5806351186652811E-5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1.6450964566091398E-3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2.0796952375403648</v>
      </c>
      <c r="C14" s="22"/>
      <c r="D14" s="22">
        <f t="shared" ref="D14:M14" si="0">((D5)*10^9/3600)+D12</f>
        <v>5.3527402167761124</v>
      </c>
      <c r="E14" s="22">
        <f t="shared" si="0"/>
        <v>324.66596224161952</v>
      </c>
      <c r="F14" s="22"/>
      <c r="G14" s="22">
        <f t="shared" si="0"/>
        <v>80120.379813091698</v>
      </c>
      <c r="H14" s="22">
        <f t="shared" si="0"/>
        <v>12066.843798716774</v>
      </c>
      <c r="I14" s="22"/>
      <c r="J14" s="22"/>
      <c r="K14" s="22"/>
      <c r="L14" s="22"/>
      <c r="M14" s="22">
        <f t="shared" si="0"/>
        <v>4119.7739835550838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0.21628843177259172</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0.44981402149253313</v>
      </c>
      <c r="C18" s="24"/>
      <c r="D18" s="24">
        <f t="shared" ref="D18:M18" si="1">D14*D16</f>
        <v>1.0812535237887748</v>
      </c>
      <c r="E18" s="24">
        <f t="shared" si="1"/>
        <v>73.699173428847629</v>
      </c>
      <c r="F18" s="24"/>
      <c r="G18" s="24">
        <f t="shared" si="1"/>
        <v>21392.141410095486</v>
      </c>
      <c r="H18" s="24">
        <f t="shared" si="1"/>
        <v>3004.6441058804767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4.8327667448503416E-3</v>
      </c>
      <c r="C50" s="323">
        <f t="shared" ref="C50:P50" si="2">SUM(C51:C52)</f>
        <v>0</v>
      </c>
      <c r="D50" s="323">
        <f t="shared" si="2"/>
        <v>0</v>
      </c>
      <c r="E50" s="323">
        <f t="shared" si="2"/>
        <v>0</v>
      </c>
      <c r="F50" s="323">
        <f t="shared" si="2"/>
        <v>0</v>
      </c>
      <c r="G50" s="323">
        <f t="shared" si="2"/>
        <v>4.8846044080930054E-3</v>
      </c>
      <c r="H50" s="323">
        <f t="shared" si="2"/>
        <v>0</v>
      </c>
      <c r="I50" s="323">
        <f t="shared" si="2"/>
        <v>0</v>
      </c>
      <c r="J50" s="323">
        <f t="shared" si="2"/>
        <v>0</v>
      </c>
      <c r="K50" s="323">
        <f t="shared" si="2"/>
        <v>0</v>
      </c>
      <c r="L50" s="323">
        <f t="shared" si="2"/>
        <v>0</v>
      </c>
      <c r="M50" s="323">
        <f t="shared" si="2"/>
        <v>2.1449103721835039E-4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4.8846044080930054E-3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2.1449103721835039E-4</v>
      </c>
      <c r="N51" s="325"/>
      <c r="O51" s="325"/>
      <c r="P51" s="328"/>
    </row>
    <row r="52" spans="1:18">
      <c r="A52" s="4" t="s">
        <v>330</v>
      </c>
      <c r="B52" s="329">
        <f>vkm_2011_tram*SUMIFS(TableECFTransport[EnergieConsumptieFactor (PJ per km)],TableECFTransport[Index],"Tram_gemiddeld_Electric_Electric")</f>
        <v>4.8327667448503416E-3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1342.4352069028726</v>
      </c>
      <c r="C54" s="22">
        <f t="shared" ref="C54:P54" si="3">(C50)*10^9/3600</f>
        <v>0</v>
      </c>
      <c r="D54" s="22">
        <f t="shared" si="3"/>
        <v>0</v>
      </c>
      <c r="E54" s="22">
        <f t="shared" si="3"/>
        <v>0</v>
      </c>
      <c r="F54" s="22">
        <f t="shared" si="3"/>
        <v>0</v>
      </c>
      <c r="G54" s="22">
        <f t="shared" si="3"/>
        <v>1356.8345578036126</v>
      </c>
      <c r="H54" s="22">
        <f t="shared" si="3"/>
        <v>0</v>
      </c>
      <c r="I54" s="22">
        <f t="shared" si="3"/>
        <v>0</v>
      </c>
      <c r="J54" s="22">
        <f t="shared" si="3"/>
        <v>0</v>
      </c>
      <c r="K54" s="22">
        <f t="shared" si="3"/>
        <v>0</v>
      </c>
      <c r="L54" s="22">
        <f t="shared" si="3"/>
        <v>0</v>
      </c>
      <c r="M54" s="22">
        <f t="shared" si="3"/>
        <v>59.580843671764001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0.21628843177259172</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290.35320565733701</v>
      </c>
      <c r="C58" s="24">
        <f t="shared" ref="C58:P58" ca="1" si="4">C54*C56</f>
        <v>0</v>
      </c>
      <c r="D58" s="24">
        <f t="shared" si="4"/>
        <v>0</v>
      </c>
      <c r="E58" s="24">
        <f t="shared" si="4"/>
        <v>0</v>
      </c>
      <c r="F58" s="24">
        <f t="shared" si="4"/>
        <v>0</v>
      </c>
      <c r="G58" s="24">
        <f t="shared" si="4"/>
        <v>362.27482693356461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2741.2413096932664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2.4749999999999996</v>
      </c>
      <c r="C8" s="558">
        <f>B101</f>
        <v>2.9117647058823533</v>
      </c>
      <c r="D8" s="991"/>
      <c r="E8" s="991">
        <f>E101</f>
        <v>0</v>
      </c>
      <c r="F8" s="992"/>
      <c r="G8" s="559"/>
      <c r="H8" s="991">
        <f>I101</f>
        <v>0</v>
      </c>
      <c r="I8" s="991">
        <f>G101+F101</f>
        <v>0</v>
      </c>
      <c r="J8" s="991">
        <f>H101+D101+C101</f>
        <v>0</v>
      </c>
      <c r="K8" s="991"/>
      <c r="L8" s="991"/>
      <c r="M8" s="991"/>
      <c r="N8" s="560"/>
      <c r="O8" s="561">
        <f>C8*$C$12+D8*$D$12+E8*$E$12+F8*$F$12+G8*$G$12+H8*$H$12+I8*$I$12+J8*$J$12</f>
        <v>0.58817647058823541</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2743.7163096932663</v>
      </c>
      <c r="C10" s="570">
        <f t="shared" ref="C10:L10" si="0">SUM(C8:C9)</f>
        <v>2.9117647058823533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0.58817647058823541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3.5357142857142851</v>
      </c>
      <c r="C17" s="582">
        <f>B102</f>
        <v>4.1596638655462188</v>
      </c>
      <c r="D17" s="583"/>
      <c r="E17" s="583">
        <f>E102</f>
        <v>0</v>
      </c>
      <c r="F17" s="584"/>
      <c r="G17" s="585"/>
      <c r="H17" s="582">
        <f>I102</f>
        <v>0</v>
      </c>
      <c r="I17" s="583">
        <f>G102+F102</f>
        <v>0</v>
      </c>
      <c r="J17" s="583">
        <f>H102+D102+C102</f>
        <v>0</v>
      </c>
      <c r="K17" s="583"/>
      <c r="L17" s="583"/>
      <c r="M17" s="583"/>
      <c r="N17" s="998"/>
      <c r="O17" s="586">
        <f>C17*$C$22+E17*$E$22+H17*$H$22+I17*$I$22+J17*$J$22+D17*$D$22+F17*$F$22+G17*$G$22+K17*$K$22+L17*$L$22</f>
        <v>0.8402521008403363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3.5357142857142851</v>
      </c>
      <c r="C20" s="569">
        <f>SUM(C17:C19)</f>
        <v>4.1596638655462188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0.8402521008403363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38014</v>
      </c>
      <c r="C28" s="789">
        <v>8670</v>
      </c>
      <c r="D28" s="642" t="s">
        <v>946</v>
      </c>
      <c r="E28" s="641" t="s">
        <v>947</v>
      </c>
      <c r="F28" s="641" t="s">
        <v>948</v>
      </c>
      <c r="G28" s="641" t="s">
        <v>949</v>
      </c>
      <c r="H28" s="641" t="s">
        <v>950</v>
      </c>
      <c r="I28" s="641" t="s">
        <v>947</v>
      </c>
      <c r="J28" s="788">
        <v>41074</v>
      </c>
      <c r="K28" s="788">
        <v>41183</v>
      </c>
      <c r="L28" s="641" t="s">
        <v>951</v>
      </c>
      <c r="M28" s="641">
        <v>5.5</v>
      </c>
      <c r="N28" s="641">
        <v>2.4749999999999996</v>
      </c>
      <c r="O28" s="641">
        <v>3.5357142857142851</v>
      </c>
      <c r="P28" s="641">
        <v>7.0714285714285712</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5.5</v>
      </c>
      <c r="N58" s="599">
        <f>SUM(N28:N57)</f>
        <v>2.4749999999999996</v>
      </c>
      <c r="O58" s="599">
        <f t="shared" ref="O58:W58" si="2">SUM(O28:O57)</f>
        <v>3.5357142857142851</v>
      </c>
      <c r="P58" s="599">
        <f t="shared" si="2"/>
        <v>7.0714285714285712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5.5</v>
      </c>
      <c r="N61" s="604">
        <f t="shared" si="4"/>
        <v>2.4749999999999996</v>
      </c>
      <c r="O61" s="604">
        <f t="shared" si="4"/>
        <v>3.5357142857142851</v>
      </c>
      <c r="P61" s="604">
        <f t="shared" si="4"/>
        <v>7.0714285714285712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2.9117647058823533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4.1596638655462188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2019-06-29T16:13:31Z</dcterms:modified>
</cp:coreProperties>
</file>