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<sst xmlns="http://schemas.openxmlformats.org/spreadsheetml/2006/main" count="2483" uniqueCount="946">
  <si>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</si>
  <si>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</si>
  <si>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</si>
  <si>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</si>
  <si>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</si>
  <si>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</si>
  <si>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</si>
  <si>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</si>
  <si>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</si>
  <si>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</si>
  <si>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</si>
  <si>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</si>
  <si>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</si>
  <si>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</si>
  <si>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</si>
  <si>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</si>
  <si>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</si>
  <si>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</si>
  <si>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</si>
  <si>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</si>
  <si>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</si>
  <si>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</si>
  <si>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</si>
  <si>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</si>
  <si>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</si>
  <si>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</si>
  <si>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</si>
  <si>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</si>
  <si>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</si>
  <si>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</si>
  <si>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</si>
  <si>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</si>
  <si>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</si>
  <si>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</si>
  <si>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</si>
  <si>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</si>
  <si>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</si>
  <si>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</si>
  <si>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</si>
  <si>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</si>
  <si>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</si>
  <si>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</si>
  <si>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</si>
  <si>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</si>
  <si>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</si>
  <si>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</si>
  <si>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</si>
  <si>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</si>
  <si>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</si>
  <si>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</si>
  <si>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</si>
  <si>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</si>
  <si>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</si>
  <si>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</si>
  <si>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</si>
  <si>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</si>
  <si>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</si>
  <si>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</si>
  <si>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</si>
  <si>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</si>
  <si>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</si>
  <si>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</si>
  <si>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</si>
  <si>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</si>
  <si>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</si>
  <si>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</si>
  <si>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</si>
  <si>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</si>
  <si>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</si>
  <si>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</si>
  <si>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</si>
  <si>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</si>
  <si>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</si>
  <si>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</si>
  <si>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</si>
  <si>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</si>
  <si>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</si>
  <si>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</si>
  <si>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</si>
  <si>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</si>
  <si>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</si>
  <si>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</si>
  <si>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</si>
  <si>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</si>
  <si>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</si>
  <si>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</si>
  <si>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</si>
  <si>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</si>
  <si>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</si>
  <si>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</si>
  <si>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</si>
  <si>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</si>
  <si>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</si>
  <si>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</si>
  <si>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</si>
  <si>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</si>
  <si>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</si>
  <si>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</si>
  <si>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</si>
  <si>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</si>
  <si>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</si>
  <si>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</si>
  <si>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</si>
  <si>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</si>
  <si>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</si>
  <si>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</si>
  <si>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</si>
  <si>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</si>
  <si>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</si>
  <si>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</si>
  <si>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</si>
  <si>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</si>
  <si>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</si>
  <si>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</si>
  <si>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</si>
  <si>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</si>
  <si>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</si>
  <si>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</si>
  <si>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</si>
  <si>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</si>
  <si>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</si>
  <si>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</si>
  <si>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</si>
  <si>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</si>
  <si>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</si>
  <si>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</si>
  <si>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</si>
  <si>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</si>
  <si>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</si>
  <si>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</si>
  <si>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</si>
  <si>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</si>
  <si>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</si>
  <si>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</si>
  <si>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</si>
  <si>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</si>
  <si>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</si>
  <si>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</si>
  <si>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</si>
  <si>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</si>
  <si>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</si>
  <si>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</si>
  <si>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</si>
  <si>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</si>
  <si>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</si>
  <si>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</si>
  <si>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</si>
  <si>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</si>
  <si>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</si>
  <si>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</si>
  <si>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</si>
  <si>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</si>
  <si>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</si>
  <si>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</si>
  <si>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</si>
  <si>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</si>
  <si>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</si>
  <si>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</si>
  <si>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</si>
  <si>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</si>
  <si>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</si>
  <si>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</si>
  <si>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</si>
  <si>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</si>
  <si>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</si>
  <si>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</si>
  <si>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</si>
  <si>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</si>
  <si>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</si>
  <si>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</si>
  <si>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</si>
  <si>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</si>
  <si>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</si>
  <si>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</si>
  <si>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</si>
  <si>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</si>
  <si>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</si>
  <si>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</si>
  <si>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</si>
  <si>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</si>
  <si>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</si>
  <si>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</si>
  <si>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</si>
  <si>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</si>
  <si>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</si>
  <si>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</si>
  <si>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</si>
  <si>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</si>
  <si>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</si>
  <si>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</si>
  <si>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</si>
  <si>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</si>
  <si>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</si>
  <si>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</si>
  <si>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</si>
  <si>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</si>
  <si>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</si>
  <si>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</si>
  <si>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</si>
  <si>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</si>
  <si>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</si>
  <si>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</si>
  <si>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</si>
  <si>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</si>
  <si>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</si>
  <si>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</si>
  <si>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</si>
  <si>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</si>
  <si>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</si>
  <si>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</si>
  <si>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</si>
  <si>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</si>
  <si>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</si>
  <si>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</si>
  <si>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</si>
  <si>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</si>
  <si>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</si>
  <si>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</si>
  <si>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</si>
  <si>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</si>
  <si>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</si>
  <si>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</si>
  <si>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</si>
  <si>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</si>
  <si>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</si>
  <si>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</si>
  <si>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</si>
  <si>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</si>
  <si>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</si>
  <si>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</si>
  <si>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</si>
  <si>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</si>
  <si>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</si>
  <si>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</si>
  <si>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</si>
  <si>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</si>
  <si>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</si>
  <si>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</si>
  <si>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</si>
  <si>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</si>
  <si>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</si>
  <si>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</si>
  <si>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</si>
  <si>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</si>
  <si>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</si>
  <si>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</si>
  <si>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</si>
  <si>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</si>
  <si>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</si>
  <si>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</si>
  <si>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</si>
  <si>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</si>
  <si>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</si>
  <si>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</si>
  <si>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</si>
  <si>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</si>
  <si>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</si>
  <si>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</si>
  <si>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</si>
  <si>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</si>
  <si>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</si>
  <si>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</si>
  <si>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</si>
  <si>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</si>
  <si>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</si>
  <si>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</si>
  <si>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</si>
  <si>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</si>
  <si>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</si>
  <si>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</si>
  <si>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</si>
  <si>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</si>
  <si>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</si>
  <si>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</si>
  <si>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</si>
  <si>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</si>
  <si>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</si>
  <si>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</si>
  <si>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</si>
  <si>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</si>
  <si>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</si>
  <si>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</si>
  <si>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</si>
  <si>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</si>
  <si>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</si>
  <si>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</si>
  <si>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</si>
  <si>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</si>
  <si>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</si>
  <si>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</si>
  <si>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</si>
  <si>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</si>
  <si>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</si>
  <si>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</si>
  <si>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</si>
  <si>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</si>
  <si>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</si>
  <si>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</si>
  <si>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</si>
  <si>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</si>
  <si>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</si>
  <si>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</si>
  <si>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</si>
  <si>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</si>
  <si>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</si>
  <si>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</si>
  <si>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</si>
  <si>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</si>
  <si>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</si>
  <si>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</si>
  <si>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</si>
  <si>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</si>
  <si>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</si>
  <si>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</si>
  <si>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</si>
  <si>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</si>
  <si>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</si>
  <si>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</si>
  <si>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</si>
  <si>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</si>
  <si>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</si>
  <si>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</si>
  <si>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</si>
  <si>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</si>
  <si>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</si>
  <si>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</si>
  <si>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</si>
  <si>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</si>
  <si>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</si>
  <si>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</si>
  <si>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</si>
  <si>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</si>
  <si>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</si>
  <si>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</si>
  <si>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</si>
  <si>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</si>
  <si>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</si>
  <si>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</si>
  <si>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</si>
  <si>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</si>
  <si>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</si>
  <si>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</si>
  <si>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</si>
  <si>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</si>
  <si>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</si>
  <si>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</si>
  <si>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</si>
  <si>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</si>
  <si>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</si>
  <si>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</si>
  <si>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</si>
  <si>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</si>
  <si>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</si>
  <si>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</si>
  <si>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</si>
  <si>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</si>
  <si>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</si>
  <si>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</si>
  <si>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</si>
  <si>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</si>
  <si>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</si>
  <si>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</si>
  <si>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</si>
  <si>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</si>
  <si>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</si>
  <si>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</si>
  <si>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</si>
  <si>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</si>
  <si>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</si>
  <si>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</si>
  <si>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</si>
  <si>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</si>
  <si>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</si>
  <si>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</si>
  <si>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</si>
  <si>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</si>
  <si>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</si>
  <si>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</si>
  <si>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</si>
  <si>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</si>
  <si>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</si>
  <si>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</si>
  <si>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</si>
  <si>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</si>
  <si>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</si>
  <si>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</si>
  <si>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</si>
  <si>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</si>
  <si>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</si>
  <si>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</si>
  <si>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</si>
  <si>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</si>
  <si>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</si>
  <si>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</si>
  <si>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</si>
  <si>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</si>
  <si>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</si>
  <si>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</si>
  <si>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</si>
  <si>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</si>
  <si>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</si>
  <si>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</si>
  <si>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</si>
  <si>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</si>
  <si>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</si>
  <si>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</si>
  <si>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</si>
  <si>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</si>
  <si>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</si>
  <si>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</si>
  <si>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</si>
  <si>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</si>
  <si>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</si>
  <si>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</si>
  <si>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</si>
  <si>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</si>
  <si>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</si>
  <si>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</si>
  <si>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</si>
  <si>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</si>
  <si>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</si>
  <si>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</si>
  <si>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</si>
  <si>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</si>
  <si>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</si>
  <si>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</si>
  <si>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</si>
  <si>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</si>
  <si>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</si>
  <si>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</si>
  <si>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</si>
  <si>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</si>
  <si>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</si>
  <si>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</si>
  <si>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</si>
  <si>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</si>
  <si>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</si>
  <si>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</si>
  <si>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</si>
  <si>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</si>
  <si>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</si>
  <si>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</si>
  <si>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</si>
  <si>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</si>
  <si>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</si>
  <si>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</si>
  <si>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</si>
  <si>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</si>
  <si>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</si>
  <si>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</si>
  <si>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</si>
  <si>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</si>
  <si>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</si>
  <si>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</si>
  <si>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</si>
  <si>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</si>
  <si>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</si>
  <si>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</si>
  <si>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</si>
  <si>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</si>
  <si>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</si>
  <si>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</si>
  <si>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</si>
  <si>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</si>
  <si>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</si>
  <si>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</si>
  <si>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</si>
  <si>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</si>
  <si>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</si>
  <si>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</si>
  <si>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</si>
  <si>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</si>
  <si>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</si>
  <si>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</si>
  <si>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</si>
  <si>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</si>
  <si>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</si>
  <si>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</si>
  <si>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</si>
  <si>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</si>
  <si>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</si>
  <si>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</si>
  <si>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</si>
  <si>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</si>
  <si>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</si>
  <si>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</si>
  <si>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</si>
  <si>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</si>
  <si>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</si>
  <si>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</si>
  <si>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</si>
  <si>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</si>
  <si>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</si>
  <si>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</si>
  <si>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</si>
  <si>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</si>
  <si>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</si>
  <si>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</si>
  <si>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</si>
  <si>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</si>
  <si>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</si>
  <si>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</si>
  <si>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</si>
  <si>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</si>
  <si>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</si>
  <si>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</si>
  <si>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</si>
  <si>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</si>
  <si>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</si>
  <si>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</si>
  <si>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</si>
  <si>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</si>
  <si>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</si>
  <si>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</si>
  <si>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</si>
  <si>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</si>
  <si>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</si>
  <si>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</si>
  <si>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</si>
  <si>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</si>
  <si>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</si>
  <si>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</si>
  <si>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</si>
  <si>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</si>
  <si>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</si>
  <si>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</si>
  <si>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</si>
  <si>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</si>
  <si>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</si>
  <si>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</si>
  <si>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</si>
  <si>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</si>
  <si>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</si>
  <si>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</si>
  <si>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</si>
  <si>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</si>
  <si>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</si>
  <si>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</si>
  <si>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</si>
  <si>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</si>
  <si>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</si>
  <si>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</si>
  <si>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</si>
  <si>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</si>
  <si>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</si>
  <si>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</si>
  <si>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</si>
  <si>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</si>
  <si>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</si>
  <si>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</si>
  <si>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</si>
  <si>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</si>
  <si>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</si>
  <si>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</si>
  <si>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</si>
  <si>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</si>
  <si>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</si>
  <si>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</si>
  <si>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</si>
  <si>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</si>
  <si>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</si>
  <si>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</si>
  <si>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</si>
  <si>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</si>
  <si>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</si>
  <si>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</si>
  <si>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</si>
  <si>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</si>
  <si>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</si>
  <si>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</si>
  <si>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</si>
  <si>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</si>
  <si>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</si>
  <si>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</si>
  <si>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</si>
  <si>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</si>
  <si>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</si>
  <si>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</si>
  <si>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</si>
  <si>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</si>
  <si>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</si>
  <si>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</si>
  <si>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</si>
  <si>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</si>
  <si>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</si>
  <si>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</si>
  <si>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</si>
  <si>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</si>
  <si>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</si>
  <si>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</si>
  <si>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</si>
  <si>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</si>
  <si>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</si>
  <si>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</si>
  <si>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</si>
  <si>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</si>
  <si>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</si>
  <si>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</si>
  <si>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</si>
  <si>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</si>
  <si>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</si>
  <si>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</si>
  <si>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</si>
  <si>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</si>
  <si>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</si>
  <si>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</si>
  <si>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</si>
  <si>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</si>
  <si>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</si>
  <si>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</si>
  <si>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</si>
  <si>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</si>
  <si>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</si>
  <si>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</si>
  <si>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</si>
  <si>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</si>
  <si>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</si>
  <si>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</si>
  <si>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</si>
  <si>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</si>
  <si>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</si>
  <si>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</si>
  <si>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</si>
  <si>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</si>
  <si>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</si>
  <si>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</si>
  <si>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</si>
  <si>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</si>
  <si>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</si>
  <si>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</si>
  <si>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</si>
  <si>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</si>
  <si>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</si>
  <si>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</si>
  <si>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</si>
  <si>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</si>
  <si>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</si>
  <si>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</si>
  <si>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</si>
  <si>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</si>
  <si>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</si>
  <si>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</si>
  <si>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</si>
  <si>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</si>
  <si>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</si>
  <si>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</si>
  <si>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</si>
  <si>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</si>
  <si>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</si>
  <si>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</si>
  <si>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</si>
  <si>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</si>
  <si>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</si>
  <si>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</si>
  <si>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</si>
  <si>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</si>
  <si>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</si>
  <si>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</si>
  <si>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</si>
  <si>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</si>
  <si>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</si>
  <si>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</si>
  <si>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</si>
  <si>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</si>
  <si>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</si>
  <si>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</si>
  <si>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</si>
  <si>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</si>
  <si>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</si>
  <si>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</si>
  <si>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</si>
  <si>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</si>
  <si>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</si>
  <si>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</si>
  <si>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</si>
  <si>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</si>
  <si>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</si>
  <si>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</si>
  <si>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</si>
  <si>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</si>
  <si>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</si>
  <si>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</si>
  <si>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</si>
  <si>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</si>
  <si>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</si>
  <si>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</si>
  <si>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</si>
  <si>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</si>
  <si>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</si>
  <si>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</si>
  <si>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</si>
  <si>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</si>
  <si>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</si>
  <si>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</si>
  <si>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</si>
  <si>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</si>
  <si>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</si>
  <si>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</si>
  <si>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</si>
  <si>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</si>
  <si>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</si>
  <si>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</si>
  <si>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</si>
  <si>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</si>
  <si>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</si>
  <si>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</si>
  <si>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</si>
  <si>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</si>
  <si>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</si>
  <si>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</si>
  <si>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</si>
  <si>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</si>
  <si>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</si>
  <si>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</si>
  <si>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</si>
  <si>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</si>
  <si>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</si>
  <si>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</si>
  <si>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</si>
  <si>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</si>
  <si>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</si>
  <si>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</si>
  <si>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</si>
  <si>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</si>
  <si>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</si>
  <si>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</si>
  <si>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</si>
  <si>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</si>
  <si>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</si>
  <si>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</si>
  <si>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</si>
  <si>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</si>
  <si>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</si>
  <si>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</si>
  <si>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</si>
  <si>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</si>
  <si>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</si>
  <si>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</si>
  <si>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</si>
  <si>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</si>
  <si>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</si>
  <si>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</si>
  <si>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</si>
  <si>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</si>
  <si>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</si>
  <si>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</si>
  <si>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</si>
  <si>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</si>
  <si>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</si>
  <si>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</si>
  <si>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</si>
  <si>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</si>
  <si>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</si>
  <si>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</si>
  <si>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</si>
  <si>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</si>
  <si>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</si>
  <si>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</si>
  <si>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</si>
  <si>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</si>
  <si>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</si>
  <si>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</si>
  <si>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</si>
  <si>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</si>
  <si>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</si>
  <si>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</si>
  <si>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</si>
  <si>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</si>
  <si>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</si>
  <si>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</si>
  <si>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</si>
  <si>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</si>
  <si>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</si>
  <si>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</si>
  <si>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</si>
  <si>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</si>
  <si>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</si>
  <si>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</si>
  <si>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</si>
  <si>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</si>
  <si>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</si>
  <si>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</si>
  <si>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</si>
  <si>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</si>
  <si>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</si>
  <si>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</si>
  <si>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</si>
  <si>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</si>
  <si>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</si>
  <si>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</si>
  <si>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</si>
  <si>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</si>
  <si>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</si>
  <si>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</si>
  <si>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</si>
  <si>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</si>
  <si>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</si>
  <si>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</si>
  <si>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</si>
  <si>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</si>
  <si>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</si>
  <si>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</si>
  <si>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</si>
  <si>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</si>
  <si>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</si>
  <si>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</si>
  <si>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</si>
  <si>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</si>
  <si>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</si>
  <si>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</si>
  <si>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</si>
  <si>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</si>
  <si>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</si>
  <si>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</si>
  <si>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</si>
  <si>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</si>
  <si>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</si>
  <si>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</si>
  <si>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</si>
  <si>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</si>
  <si>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</si>
  <si>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</si>
  <si>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</si>
  <si>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</si>
  <si>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</si>
  <si>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</si>
  <si>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</si>
  <si>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</si>
  <si>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</si>
  <si>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</si>
  <si>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</si>
  <si>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</si>
  <si>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</si>
  <si>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</si>
  <si>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</si>
  <si>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</si>
  <si>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</si>
  <si>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</si>
  <si>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</si>
  <si>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</si>
  <si>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</si>
  <si>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</si>
  <si>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</si>
  <si>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</si>
  <si>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</si>
  <si>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</si>
  <si>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</si>
  <si>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</si>
  <si>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</si>
  <si>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</si>
  <si>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</si>
  <si>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</si>
  <si>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</si>
  <si>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</si>
  <si>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</si>
  <si>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</si>
  <si>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</si>
  <si>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</si>
  <si>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</si>
  <si>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</si>
  <si>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</si>
  <si>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</si>
  <si>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</si>
  <si>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</si>
  <si>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</si>
  <si>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</si>
  <si>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</si>
  <si>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</si>
  <si>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</si>
  <si>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</si>
  <si>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</si>
  <si>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</si>
  <si>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</si>
  <si>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</si>
  <si>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</si>
  <si>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</si>
  <si>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</si>
  <si>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</si>
  <si>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</si>
  <si>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</si>
  <si>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</si>
  <si>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</si>
  <si>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</si>
  <si>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</si>
  <si>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</si>
  <si>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</si>
  <si>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</si>
  <si>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</si>
  <si>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</si>
  <si>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</si>
  <si>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</si>
  <si>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</si>
  <si>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</si>
  <si>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</si>
  <si>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</si>
  <si>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</si>
  <si>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</si>
  <si>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</si>
  <si>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</si>
  <si>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</si>
  <si>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</si>
  <si>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</si>
  <si>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</si>
  <si>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</si>
  <si>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</si>
  <si>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</si>
  <si>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</si>
  <si>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</si>
  <si>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</si>
  <si>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</si>
  <si>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</si>
  <si>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</si>
  <si>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</si>
  <si>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</si>
  <si>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</si>
  <si>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</si>
  <si>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</si>
  <si>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</si>
  <si>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</si>
  <si>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</si>
  <si>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</si>
  <si>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</si>
  <si>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</si>
  <si>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</si>
  <si>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</si>
  <si>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</si>
  <si>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</si>
  <si>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</si>
  <si>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</si>
  <si>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</si>
  <si>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</si>
  <si>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</si>
  <si>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</si>
  <si>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</si>
  <si>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</si>
  <si>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</si>
  <si>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</si>
  <si>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</si>
  <si>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</si>
  <si>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</si>
  <si>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38008</t>
  </si>
  <si>
    <t>DE_PANNE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</si>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</sst>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38008</v>
      </c>
      <c r="B6" s="397"/>
      <c r="C6" s="398"/>
    </row>
    <row r="7" spans="1:7" s="395" customFormat="1" ht="15.75" customHeight="1">
      <c r="A7" s="399" t="str">
        <f>txtMunicipality</f>
        <v>DE_PANNE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0.21678618085381074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0.21678618085381074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5295</v>
      </c>
      <c r="C9" s="338">
        <v>5606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1349</v>
      </c>
    </row>
    <row r="15" spans="1:6">
      <c r="A15" s="1286" t="s">
        <v>184</v>
      </c>
      <c r="B15" s="335">
        <v>12</v>
      </c>
    </row>
    <row r="16" spans="1:6">
      <c r="A16" s="1286" t="s">
        <v>6</v>
      </c>
      <c r="B16" s="335">
        <v>608</v>
      </c>
    </row>
    <row r="17" spans="1:6">
      <c r="A17" s="1286" t="s">
        <v>7</v>
      </c>
      <c r="B17" s="335">
        <v>106</v>
      </c>
    </row>
    <row r="18" spans="1:6">
      <c r="A18" s="1286" t="s">
        <v>8</v>
      </c>
      <c r="B18" s="335">
        <v>307</v>
      </c>
    </row>
    <row r="19" spans="1:6">
      <c r="A19" s="1286" t="s">
        <v>9</v>
      </c>
      <c r="B19" s="335">
        <v>224</v>
      </c>
    </row>
    <row r="20" spans="1:6">
      <c r="A20" s="1286" t="s">
        <v>10</v>
      </c>
      <c r="B20" s="335">
        <v>339</v>
      </c>
    </row>
    <row r="21" spans="1:6">
      <c r="A21" s="1286" t="s">
        <v>11</v>
      </c>
      <c r="B21" s="335">
        <v>1740</v>
      </c>
    </row>
    <row r="22" spans="1:6">
      <c r="A22" s="1286" t="s">
        <v>12</v>
      </c>
      <c r="B22" s="335">
        <v>466</v>
      </c>
    </row>
    <row r="23" spans="1:6">
      <c r="A23" s="1286" t="s">
        <v>13</v>
      </c>
      <c r="B23" s="335">
        <v>65</v>
      </c>
    </row>
    <row r="24" spans="1:6">
      <c r="A24" s="1286" t="s">
        <v>14</v>
      </c>
      <c r="B24" s="335">
        <v>5</v>
      </c>
    </row>
    <row r="25" spans="1:6">
      <c r="A25" s="1286" t="s">
        <v>15</v>
      </c>
      <c r="B25" s="335">
        <v>625</v>
      </c>
    </row>
    <row r="26" spans="1:6">
      <c r="A26" s="1286" t="s">
        <v>16</v>
      </c>
      <c r="B26" s="335">
        <v>31</v>
      </c>
    </row>
    <row r="27" spans="1:6">
      <c r="A27" s="1286" t="s">
        <v>17</v>
      </c>
      <c r="B27" s="335">
        <v>0</v>
      </c>
    </row>
    <row r="28" spans="1:6" s="341" customFormat="1">
      <c r="A28" s="1287" t="s">
        <v>18</v>
      </c>
      <c r="B28" s="1287">
        <v>29820</v>
      </c>
    </row>
    <row r="29" spans="1:6">
      <c r="A29" s="1287" t="s">
        <v>942</v>
      </c>
      <c r="B29" s="1287">
        <v>105</v>
      </c>
      <c r="C29" s="341"/>
      <c r="D29" s="341"/>
      <c r="E29" s="341"/>
      <c r="F29" s="341"/>
    </row>
    <row r="30" spans="1:6">
      <c r="A30" s="1282" t="s">
        <v>943</v>
      </c>
      <c r="B30" s="1282">
        <v>77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23671.799834985501</v>
      </c>
    </row>
    <row r="37" spans="1:6">
      <c r="A37" s="1286" t="s">
        <v>25</v>
      </c>
      <c r="B37" s="1286" t="s">
        <v>28</v>
      </c>
      <c r="C37" s="335">
        <v>0</v>
      </c>
      <c r="D37" s="335">
        <v>0</v>
      </c>
      <c r="E37" s="335">
        <v>0</v>
      </c>
      <c r="F37" s="335">
        <v>0</v>
      </c>
    </row>
    <row r="38" spans="1:6">
      <c r="A38" s="1286" t="s">
        <v>25</v>
      </c>
      <c r="B38" s="1286" t="s">
        <v>29</v>
      </c>
      <c r="C38" s="335">
        <v>3</v>
      </c>
      <c r="D38" s="335">
        <v>586511.25539109297</v>
      </c>
      <c r="E38" s="335">
        <v>2</v>
      </c>
      <c r="F38" s="335">
        <v>11359</v>
      </c>
    </row>
    <row r="39" spans="1:6">
      <c r="A39" s="1286" t="s">
        <v>30</v>
      </c>
      <c r="B39" s="1286" t="s">
        <v>31</v>
      </c>
      <c r="C39" s="335">
        <v>6437</v>
      </c>
      <c r="D39" s="335">
        <v>75045102.854584903</v>
      </c>
      <c r="E39" s="335">
        <v>12345</v>
      </c>
      <c r="F39" s="335">
        <v>28554668.248535201</v>
      </c>
    </row>
    <row r="40" spans="1:6">
      <c r="A40" s="1286" t="s">
        <v>30</v>
      </c>
      <c r="B40" s="1286" t="s">
        <v>29</v>
      </c>
      <c r="C40" s="335">
        <v>0</v>
      </c>
      <c r="D40" s="335">
        <v>0</v>
      </c>
      <c r="E40" s="335">
        <v>0</v>
      </c>
      <c r="F40" s="335">
        <v>0</v>
      </c>
    </row>
    <row r="41" spans="1:6">
      <c r="A41" s="1286" t="s">
        <v>32</v>
      </c>
      <c r="B41" s="1286" t="s">
        <v>33</v>
      </c>
      <c r="C41" s="335">
        <v>76</v>
      </c>
      <c r="D41" s="335">
        <v>1179165.9819012401</v>
      </c>
      <c r="E41" s="335">
        <v>159</v>
      </c>
      <c r="F41" s="335">
        <v>1173052.8354668601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35176.503380194903</v>
      </c>
      <c r="E44" s="335">
        <v>11</v>
      </c>
      <c r="F44" s="335">
        <v>120573.982692652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566814.51637600805</v>
      </c>
      <c r="E48" s="335">
        <v>22</v>
      </c>
      <c r="F48" s="335">
        <v>664603.97653364402</v>
      </c>
    </row>
    <row r="49" spans="1:6">
      <c r="A49" s="1286" t="s">
        <v>32</v>
      </c>
      <c r="B49" s="1286" t="s">
        <v>40</v>
      </c>
      <c r="C49" s="335">
        <v>0</v>
      </c>
      <c r="D49" s="335">
        <v>0</v>
      </c>
      <c r="E49" s="335">
        <v>0</v>
      </c>
      <c r="F49" s="335">
        <v>0</v>
      </c>
    </row>
    <row r="50" spans="1:6">
      <c r="A50" s="1286" t="s">
        <v>32</v>
      </c>
      <c r="B50" s="1286" t="s">
        <v>41</v>
      </c>
      <c r="C50" s="335">
        <v>12</v>
      </c>
      <c r="D50" s="335">
        <v>1067137.56601084</v>
      </c>
      <c r="E50" s="335">
        <v>18</v>
      </c>
      <c r="F50" s="335">
        <v>358533.03540892998</v>
      </c>
    </row>
    <row r="51" spans="1:6">
      <c r="A51" s="1286" t="s">
        <v>42</v>
      </c>
      <c r="B51" s="1286" t="s">
        <v>43</v>
      </c>
      <c r="C51" s="335">
        <v>3</v>
      </c>
      <c r="D51" s="335">
        <v>11333.111619760501</v>
      </c>
      <c r="E51" s="335">
        <v>22</v>
      </c>
      <c r="F51" s="335">
        <v>401327.76060190197</v>
      </c>
    </row>
    <row r="52" spans="1:6">
      <c r="A52" s="1286" t="s">
        <v>42</v>
      </c>
      <c r="B52" s="1286" t="s">
        <v>29</v>
      </c>
      <c r="C52" s="335">
        <v>5</v>
      </c>
      <c r="D52" s="335">
        <v>74966.190986073998</v>
      </c>
      <c r="E52" s="335">
        <v>5</v>
      </c>
      <c r="F52" s="335">
        <v>51811.897729748103</v>
      </c>
    </row>
    <row r="53" spans="1:6">
      <c r="A53" s="1286" t="s">
        <v>44</v>
      </c>
      <c r="B53" s="1286" t="s">
        <v>45</v>
      </c>
      <c r="C53" s="335">
        <v>146</v>
      </c>
      <c r="D53" s="335">
        <v>3285198.5704403399</v>
      </c>
      <c r="E53" s="335">
        <v>478</v>
      </c>
      <c r="F53" s="335">
        <v>2338830.94470882</v>
      </c>
    </row>
    <row r="54" spans="1:6">
      <c r="A54" s="1286" t="s">
        <v>46</v>
      </c>
      <c r="B54" s="1286" t="s">
        <v>47</v>
      </c>
      <c r="C54" s="335">
        <v>0</v>
      </c>
      <c r="D54" s="335">
        <v>0</v>
      </c>
      <c r="E54" s="335">
        <v>1</v>
      </c>
      <c r="F54" s="335">
        <v>1548925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1368941.6481797399</v>
      </c>
      <c r="E57" s="335">
        <v>93</v>
      </c>
      <c r="F57" s="335">
        <v>1890776.5012221599</v>
      </c>
    </row>
    <row r="58" spans="1:6">
      <c r="A58" s="1286" t="s">
        <v>49</v>
      </c>
      <c r="B58" s="1286" t="s">
        <v>51</v>
      </c>
      <c r="C58" s="335">
        <v>11</v>
      </c>
      <c r="D58" s="335">
        <v>128295.769161363</v>
      </c>
      <c r="E58" s="335">
        <v>31</v>
      </c>
      <c r="F58" s="335">
        <v>185895.45893875201</v>
      </c>
    </row>
    <row r="59" spans="1:6">
      <c r="A59" s="1286" t="s">
        <v>49</v>
      </c>
      <c r="B59" s="1286" t="s">
        <v>52</v>
      </c>
      <c r="C59" s="335">
        <v>154</v>
      </c>
      <c r="D59" s="335">
        <v>3605514.9955536998</v>
      </c>
      <c r="E59" s="335">
        <v>322</v>
      </c>
      <c r="F59" s="335">
        <v>6242358.9544392796</v>
      </c>
    </row>
    <row r="60" spans="1:6">
      <c r="A60" s="1286" t="s">
        <v>49</v>
      </c>
      <c r="B60" s="1286" t="s">
        <v>53</v>
      </c>
      <c r="C60" s="335">
        <v>168</v>
      </c>
      <c r="D60" s="335">
        <v>11584989.4039848</v>
      </c>
      <c r="E60" s="335">
        <v>233</v>
      </c>
      <c r="F60" s="335">
        <v>6853847.9888685104</v>
      </c>
    </row>
    <row r="61" spans="1:6">
      <c r="A61" s="1286" t="s">
        <v>49</v>
      </c>
      <c r="B61" s="1286" t="s">
        <v>54</v>
      </c>
      <c r="C61" s="335">
        <v>231</v>
      </c>
      <c r="D61" s="335">
        <v>12679149.990044599</v>
      </c>
      <c r="E61" s="335">
        <v>1042</v>
      </c>
      <c r="F61" s="335">
        <v>8237880.5222573299</v>
      </c>
    </row>
    <row r="62" spans="1:6">
      <c r="A62" s="1286" t="s">
        <v>49</v>
      </c>
      <c r="B62" s="1286" t="s">
        <v>55</v>
      </c>
      <c r="C62" s="335">
        <v>9</v>
      </c>
      <c r="D62" s="335">
        <v>1290833.9510318299</v>
      </c>
      <c r="E62" s="335">
        <v>10</v>
      </c>
      <c r="F62" s="335">
        <v>507708.12195671099</v>
      </c>
    </row>
    <row r="63" spans="1:6">
      <c r="A63" s="1286" t="s">
        <v>49</v>
      </c>
      <c r="B63" s="1286" t="s">
        <v>29</v>
      </c>
      <c r="C63" s="335">
        <v>85</v>
      </c>
      <c r="D63" s="335">
        <v>6851863.9103067899</v>
      </c>
      <c r="E63" s="335">
        <v>82</v>
      </c>
      <c r="F63" s="335">
        <v>4778337.9389381902</v>
      </c>
    </row>
    <row r="64" spans="1:6">
      <c r="A64" s="1286" t="s">
        <v>56</v>
      </c>
      <c r="B64" s="1286" t="s">
        <v>57</v>
      </c>
      <c r="C64" s="335">
        <v>0</v>
      </c>
      <c r="D64" s="335">
        <v>0</v>
      </c>
      <c r="E64" s="335">
        <v>0</v>
      </c>
      <c r="F64" s="335">
        <v>0</v>
      </c>
    </row>
    <row r="65" spans="1:6">
      <c r="A65" s="1286" t="s">
        <v>56</v>
      </c>
      <c r="B65" s="1286" t="s">
        <v>29</v>
      </c>
      <c r="C65" s="335">
        <v>2</v>
      </c>
      <c r="D65" s="335">
        <v>38830.217765098503</v>
      </c>
      <c r="E65" s="335">
        <v>1</v>
      </c>
      <c r="F65" s="335">
        <v>5445.9874090525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16</v>
      </c>
      <c r="F68" s="335">
        <v>1539646.33882399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27253421</v>
      </c>
      <c r="E73" s="335">
        <v>28604903.813366547</v>
      </c>
    </row>
    <row r="74" spans="1:6">
      <c r="A74" s="1286" t="s">
        <v>64</v>
      </c>
      <c r="B74" s="1286" t="s">
        <v>772</v>
      </c>
      <c r="C74" s="1297" t="s">
        <v>766</v>
      </c>
      <c r="D74" s="335">
        <v>2444162.0166392345</v>
      </c>
      <c r="E74" s="335">
        <v>2650486.6197012323</v>
      </c>
    </row>
    <row r="75" spans="1:6">
      <c r="A75" s="1286" t="s">
        <v>65</v>
      </c>
      <c r="B75" s="1286" t="s">
        <v>771</v>
      </c>
      <c r="C75" s="1297" t="s">
        <v>767</v>
      </c>
      <c r="D75" s="335">
        <v>3051519</v>
      </c>
      <c r="E75" s="335">
        <v>3201941.2313086716</v>
      </c>
    </row>
    <row r="76" spans="1:6">
      <c r="A76" s="1286" t="s">
        <v>65</v>
      </c>
      <c r="B76" s="1286" t="s">
        <v>772</v>
      </c>
      <c r="C76" s="1297" t="s">
        <v>768</v>
      </c>
      <c r="D76" s="335">
        <v>217731.01663923435</v>
      </c>
      <c r="E76" s="335">
        <v>238849.8283373205</v>
      </c>
    </row>
    <row r="77" spans="1:6">
      <c r="A77" s="1286" t="s">
        <v>66</v>
      </c>
      <c r="B77" s="1286" t="s">
        <v>771</v>
      </c>
      <c r="C77" s="1297" t="s">
        <v>769</v>
      </c>
      <c r="D77" s="335">
        <v>29211037</v>
      </c>
      <c r="E77" s="335">
        <v>31086774.362650316</v>
      </c>
    </row>
    <row r="78" spans="1:6">
      <c r="A78" s="1282" t="s">
        <v>66</v>
      </c>
      <c r="B78" s="1282" t="s">
        <v>772</v>
      </c>
      <c r="C78" s="1282" t="s">
        <v>770</v>
      </c>
      <c r="D78" s="1282">
        <v>12613385</v>
      </c>
      <c r="E78" s="1282">
        <v>15338532.77496391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47533.966721531302</v>
      </c>
      <c r="C83" s="335">
        <v>44864.855398833752</v>
      </c>
    </row>
    <row r="84" spans="1:6">
      <c r="A84" s="1282" t="s">
        <v>337</v>
      </c>
      <c r="B84" s="338">
        <v>222178.0799213823</v>
      </c>
      <c r="C84" s="338">
        <v>224685.1376802483</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1021.4738783606696</v>
      </c>
    </row>
    <row r="92" spans="1:6">
      <c r="A92" s="1282" t="s">
        <v>69</v>
      </c>
      <c r="B92" s="338">
        <v>231.51834375386525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3072</v>
      </c>
    </row>
    <row r="98" spans="1:6">
      <c r="A98" s="1286" t="s">
        <v>72</v>
      </c>
      <c r="B98" s="335">
        <v>3</v>
      </c>
    </row>
    <row r="99" spans="1:6">
      <c r="A99" s="1286" t="s">
        <v>73</v>
      </c>
      <c r="B99" s="335">
        <v>28</v>
      </c>
    </row>
    <row r="100" spans="1:6">
      <c r="A100" s="1286" t="s">
        <v>74</v>
      </c>
      <c r="B100" s="335">
        <v>564</v>
      </c>
    </row>
    <row r="101" spans="1:6">
      <c r="A101" s="1286" t="s">
        <v>75</v>
      </c>
      <c r="B101" s="335">
        <v>30</v>
      </c>
    </row>
    <row r="102" spans="1:6">
      <c r="A102" s="1286" t="s">
        <v>76</v>
      </c>
      <c r="B102" s="335">
        <v>111</v>
      </c>
    </row>
    <row r="103" spans="1:6">
      <c r="A103" s="1286" t="s">
        <v>77</v>
      </c>
      <c r="B103" s="335">
        <v>65</v>
      </c>
    </row>
    <row r="104" spans="1:6">
      <c r="A104" s="1286" t="s">
        <v>78</v>
      </c>
      <c r="B104" s="335">
        <v>657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65715.036996244526</v>
      </c>
      <c r="C3" s="44" t="s">
        <v>170</v>
      </c>
      <c r="D3" s="44"/>
      <c r="E3" s="157"/>
      <c r="F3" s="44"/>
      <c r="G3" s="44"/>
      <c r="H3" s="44"/>
      <c r="I3" s="44"/>
      <c r="J3" s="44"/>
      <c r="K3" s="97"/>
    </row>
    <row r="4" spans="1:11">
      <c r="A4" s="365" t="s">
        <v>171</v>
      </c>
      <c r="B4" s="50">
        <f>IF(ISERROR('SEAP template'!B78),0,'SEAP template'!B78)</f>
        <v>1252.9922221145348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0.21678618085381074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1548.925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1548.925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0.21678618085381074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335.78553517898877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28554.668248535199</v>
      </c>
      <c r="C5" s="18">
        <f>IF(ISERROR('Eigen informatie GS &amp; warmtenet'!B57),0,'Eigen informatie GS &amp; warmtenet'!B57)</f>
        <v>0</v>
      </c>
      <c r="D5" s="31">
        <f>(SUM(HH_hh_gas_kWh,HH_rest_gas_kWh)/1000)*0.902</f>
        <v>67690.682774835572</v>
      </c>
      <c r="E5" s="18">
        <f>B46*B57</f>
        <v>0</v>
      </c>
      <c r="F5" s="18">
        <f>B51*B62</f>
        <v>0</v>
      </c>
      <c r="G5" s="19"/>
      <c r="H5" s="18"/>
      <c r="I5" s="18"/>
      <c r="J5" s="18">
        <f>B50*B61+C50*C61</f>
        <v>0</v>
      </c>
      <c r="K5" s="18"/>
      <c r="L5" s="18"/>
      <c r="M5" s="18"/>
      <c r="N5" s="18">
        <f>B48*B59+C48*C59</f>
        <v>0</v>
      </c>
      <c r="O5" s="18">
        <f>B69*B70*B71</f>
        <v>46.9</v>
      </c>
      <c r="P5" s="18">
        <f>B77*B78*B79/1000-B77*B78*B79/1000/B80</f>
        <v>57.2</v>
      </c>
    </row>
    <row r="6" spans="1:16">
      <c r="A6" s="17" t="s">
        <v>639</v>
      </c>
      <c r="B6" s="780">
        <f>kWh_PV_kleiner_dan_10kW</f>
        <v>1021.4738783606696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29576.142126895869</v>
      </c>
      <c r="C8" s="22">
        <f>C5</f>
        <v>0</v>
      </c>
      <c r="D8" s="22">
        <f>D5</f>
        <v>67690.682774835572</v>
      </c>
      <c r="E8" s="22">
        <f>E5</f>
        <v>0</v>
      </c>
      <c r="F8" s="22">
        <f>F5</f>
        <v>0</v>
      </c>
      <c r="G8" s="22"/>
      <c r="H8" s="22"/>
      <c r="I8" s="22"/>
      <c r="J8" s="22">
        <f>J5</f>
        <v>0</v>
      </c>
      <c r="K8" s="22"/>
      <c r="L8" s="22">
        <f>L5</f>
        <v>0</v>
      </c>
      <c r="M8" s="22">
        <f>M5</f>
        <v>0</v>
      </c>
      <c r="N8" s="22">
        <f>N5</f>
        <v>0</v>
      </c>
      <c r="O8" s="22">
        <f>O5</f>
        <v>46.9</v>
      </c>
      <c r="P8" s="22">
        <f>P5</f>
        <v>57.2</v>
      </c>
    </row>
    <row r="9" spans="1:16">
      <c r="B9" s="20"/>
      <c r="C9" s="20"/>
      <c r="D9" s="262"/>
      <c r="E9" s="20"/>
      <c r="F9" s="20"/>
      <c r="G9" s="20"/>
      <c r="H9" s="20"/>
      <c r="I9" s="20"/>
      <c r="J9" s="20"/>
      <c r="K9" s="20"/>
      <c r="L9" s="20"/>
      <c r="M9" s="20"/>
      <c r="N9" s="20"/>
      <c r="O9" s="20"/>
      <c r="P9" s="20"/>
    </row>
    <row r="10" spans="1:16">
      <c r="A10" s="25" t="s">
        <v>214</v>
      </c>
      <c r="B10" s="26">
        <f ca="1">'EF ele_warmte'!B12</f>
        <v>0.21678618085381074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6411.6988960792587</v>
      </c>
      <c r="C12" s="24">
        <f ca="1">C10*C8</f>
        <v>0</v>
      </c>
      <c r="D12" s="24">
        <f>D8*D10</f>
        <v>13673.517920516786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3072</v>
      </c>
      <c r="C18" s="169" t="s">
        <v>111</v>
      </c>
      <c r="D18" s="231"/>
      <c r="E18" s="16"/>
    </row>
    <row r="19" spans="1:7">
      <c r="A19" s="174" t="s">
        <v>72</v>
      </c>
      <c r="B19" s="38">
        <f>aantalw2001_ander</f>
        <v>3</v>
      </c>
      <c r="C19" s="169" t="s">
        <v>111</v>
      </c>
      <c r="D19" s="232"/>
      <c r="E19" s="16"/>
    </row>
    <row r="20" spans="1:7">
      <c r="A20" s="174" t="s">
        <v>73</v>
      </c>
      <c r="B20" s="38">
        <f>aantalw2001_propaan</f>
        <v>28</v>
      </c>
      <c r="C20" s="170">
        <f>IF(ISERROR(B20/SUM($B$20,$B$21,$B$22)*100),0,B20/SUM($B$20,$B$21,$B$22)*100)</f>
        <v>4.501607717041801</v>
      </c>
      <c r="D20" s="232"/>
      <c r="E20" s="16"/>
    </row>
    <row r="21" spans="1:7">
      <c r="A21" s="174" t="s">
        <v>74</v>
      </c>
      <c r="B21" s="38">
        <f>aantalw2001_elektriciteit</f>
        <v>564</v>
      </c>
      <c r="C21" s="170">
        <f>IF(ISERROR(B21/SUM($B$20,$B$21,$B$22)*100),0,B21/SUM($B$20,$B$21,$B$22)*100)</f>
        <v>90.675241157556272</v>
      </c>
      <c r="D21" s="232"/>
      <c r="E21" s="16"/>
    </row>
    <row r="22" spans="1:7">
      <c r="A22" s="174" t="s">
        <v>75</v>
      </c>
      <c r="B22" s="38">
        <f>aantalw2001_hout</f>
        <v>30</v>
      </c>
      <c r="C22" s="170">
        <f>IF(ISERROR(B22/SUM($B$20,$B$21,$B$22)*100),0,B22/SUM($B$20,$B$21,$B$22)*100)</f>
        <v>4.823151125401929</v>
      </c>
      <c r="D22" s="232"/>
      <c r="E22" s="16"/>
    </row>
    <row r="23" spans="1:7">
      <c r="A23" s="174" t="s">
        <v>76</v>
      </c>
      <c r="B23" s="38">
        <f>aantalw2001_niet_gespec</f>
        <v>111</v>
      </c>
      <c r="C23" s="169" t="s">
        <v>111</v>
      </c>
      <c r="D23" s="231"/>
      <c r="E23" s="16"/>
    </row>
    <row r="24" spans="1:7">
      <c r="A24" s="174" t="s">
        <v>77</v>
      </c>
      <c r="B24" s="38">
        <f>aantalw2001_steenkool</f>
        <v>65</v>
      </c>
      <c r="C24" s="169" t="s">
        <v>111</v>
      </c>
      <c r="D24" s="232"/>
      <c r="E24" s="16"/>
    </row>
    <row r="25" spans="1:7">
      <c r="A25" s="174" t="s">
        <v>78</v>
      </c>
      <c r="B25" s="38">
        <f>aantalw2001_stookolie</f>
        <v>657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5295</v>
      </c>
      <c r="C28" s="37"/>
      <c r="D28" s="231"/>
    </row>
    <row r="29" spans="1:7" s="16" customFormat="1">
      <c r="A29" s="233" t="s">
        <v>666</v>
      </c>
      <c r="B29" s="38">
        <f>SUM(HH_hh_gas_aantal,HH_rest_gas_aantal)</f>
        <v>6437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6437</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6437</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28696.805486620935</v>
      </c>
      <c r="C5" s="18">
        <f>IF(ISERROR('Eigen informatie GS &amp; warmtenet'!B58),0,'Eigen informatie GS &amp; warmtenet'!B58)</f>
        <v>0</v>
      </c>
      <c r="D5" s="31">
        <f>SUM(D6:D12)</f>
        <v>33833.649880773068</v>
      </c>
      <c r="E5" s="18">
        <f>SUM(E6:E12)</f>
        <v>460.05308031377876</v>
      </c>
      <c r="F5" s="18">
        <f>SUM(F6:F12)</f>
        <v>5573.4670343222315</v>
      </c>
      <c r="G5" s="19"/>
      <c r="H5" s="18"/>
      <c r="I5" s="18"/>
      <c r="J5" s="18">
        <f>SUM(J6:J12)</f>
        <v>0</v>
      </c>
      <c r="K5" s="18"/>
      <c r="L5" s="18"/>
      <c r="M5" s="18"/>
      <c r="N5" s="18">
        <f>SUM(N6:N12)</f>
        <v>1441.6965273845501</v>
      </c>
      <c r="O5" s="18">
        <f>B38*B39*B40</f>
        <v>0</v>
      </c>
      <c r="P5" s="18">
        <f>B46*B47*B48/1000-B46*B47*B48/1000/B49</f>
        <v>0</v>
      </c>
      <c r="R5" s="33"/>
    </row>
    <row r="6" spans="1:18">
      <c r="A6" s="33" t="s">
        <v>54</v>
      </c>
      <c r="B6" s="38">
        <f>B26</f>
        <v>8237.8805222573301</v>
      </c>
      <c r="C6" s="34"/>
      <c r="D6" s="38">
        <f>IF(ISERROR(TER_kantoor_gas_kWh/1000),0,TER_kantoor_gas_kWh/1000)*0.902</f>
        <v>11436.59329102023</v>
      </c>
      <c r="E6" s="34">
        <f>$C$26*'E Balans VL '!I12/100/3.6*1000000</f>
        <v>13.520031556452919</v>
      </c>
      <c r="F6" s="34">
        <f>$C$26*('E Balans VL '!L12+'E Balans VL '!N12)/100/3.6*1000000</f>
        <v>971.05228677112677</v>
      </c>
      <c r="G6" s="35"/>
      <c r="H6" s="34"/>
      <c r="I6" s="34"/>
      <c r="J6" s="34">
        <f>$C$26*('E Balans VL '!D12+'E Balans VL '!E12)/100/3.6*1000000</f>
        <v>0</v>
      </c>
      <c r="K6" s="34"/>
      <c r="L6" s="34"/>
      <c r="M6" s="34"/>
      <c r="N6" s="34">
        <f>$C$26*'E Balans VL '!Y12/100/3.6*1000000</f>
        <v>1.6644247499642097</v>
      </c>
      <c r="O6" s="34"/>
      <c r="P6" s="34"/>
      <c r="R6" s="33"/>
    </row>
    <row r="7" spans="1:18">
      <c r="A7" s="33" t="s">
        <v>53</v>
      </c>
      <c r="B7" s="38">
        <f t="shared" ref="B7:B12" si="0">B27</f>
        <v>6853.8479888685106</v>
      </c>
      <c r="C7" s="34"/>
      <c r="D7" s="38">
        <f>IF(ISERROR(TER_horeca_gas_kWh/1000),0,TER_horeca_gas_kWh/1000)*0.902</f>
        <v>10449.66044239429</v>
      </c>
      <c r="E7" s="34">
        <f>$C$27*'E Balans VL '!I9/100/3.6*1000000</f>
        <v>355.66511511692397</v>
      </c>
      <c r="F7" s="34">
        <f>$C$27*('E Balans VL '!L9+'E Balans VL '!N9)/100/3.6*1000000</f>
        <v>1564.0530842365429</v>
      </c>
      <c r="G7" s="35"/>
      <c r="H7" s="34"/>
      <c r="I7" s="34"/>
      <c r="J7" s="34">
        <f>$C$27*('E Balans VL '!D9+'E Balans VL '!E9)/100/3.6*1000000</f>
        <v>0</v>
      </c>
      <c r="K7" s="34"/>
      <c r="L7" s="34"/>
      <c r="M7" s="34"/>
      <c r="N7" s="34">
        <f>$C$27*'E Balans VL '!Y9/100/3.6*1000000</f>
        <v>0.72376320671164407</v>
      </c>
      <c r="O7" s="34"/>
      <c r="P7" s="34"/>
      <c r="R7" s="33"/>
    </row>
    <row r="8" spans="1:18">
      <c r="A8" s="6" t="s">
        <v>52</v>
      </c>
      <c r="B8" s="38">
        <f t="shared" si="0"/>
        <v>6242.3589544392798</v>
      </c>
      <c r="C8" s="34"/>
      <c r="D8" s="38">
        <f>IF(ISERROR(TER_handel_gas_kWh/1000),0,TER_handel_gas_kWh/1000)*0.902</f>
        <v>3252.1745259894374</v>
      </c>
      <c r="E8" s="34">
        <f>$C$28*'E Balans VL '!I13/100/3.6*1000000</f>
        <v>33.615870053617328</v>
      </c>
      <c r="F8" s="34">
        <f>$C$28*('E Balans VL '!L13+'E Balans VL '!N13)/100/3.6*1000000</f>
        <v>1273.0024970103523</v>
      </c>
      <c r="G8" s="35"/>
      <c r="H8" s="34"/>
      <c r="I8" s="34"/>
      <c r="J8" s="34">
        <f>$C$28*('E Balans VL '!D13+'E Balans VL '!E13)/100/3.6*1000000</f>
        <v>0</v>
      </c>
      <c r="K8" s="34"/>
      <c r="L8" s="34"/>
      <c r="M8" s="34"/>
      <c r="N8" s="34">
        <f>$C$28*'E Balans VL '!Y13/100/3.6*1000000</f>
        <v>31.039954585109207</v>
      </c>
      <c r="O8" s="34"/>
      <c r="P8" s="34"/>
      <c r="R8" s="33"/>
    </row>
    <row r="9" spans="1:18">
      <c r="A9" s="33" t="s">
        <v>51</v>
      </c>
      <c r="B9" s="38">
        <f t="shared" si="0"/>
        <v>185.895458938752</v>
      </c>
      <c r="C9" s="34"/>
      <c r="D9" s="38">
        <f>IF(ISERROR(TER_gezond_gas_kWh/1000),0,TER_gezond_gas_kWh/1000)*0.902</f>
        <v>115.72278378354945</v>
      </c>
      <c r="E9" s="34">
        <f>$C$29*'E Balans VL '!I10/100/3.6*1000000</f>
        <v>0.18422451380271324</v>
      </c>
      <c r="F9" s="34">
        <f>$C$29*('E Balans VL '!L10+'E Balans VL '!N10)/100/3.6*1000000</f>
        <v>64.500366020708114</v>
      </c>
      <c r="G9" s="35"/>
      <c r="H9" s="34"/>
      <c r="I9" s="34"/>
      <c r="J9" s="34">
        <f>$C$29*('E Balans VL '!D10+'E Balans VL '!E10)/100/3.6*1000000</f>
        <v>0</v>
      </c>
      <c r="K9" s="34"/>
      <c r="L9" s="34"/>
      <c r="M9" s="34"/>
      <c r="N9" s="34">
        <f>$C$29*'E Balans VL '!Y10/100/3.6*1000000</f>
        <v>1.6018450656288257</v>
      </c>
      <c r="O9" s="34"/>
      <c r="P9" s="34"/>
      <c r="R9" s="33"/>
    </row>
    <row r="10" spans="1:18">
      <c r="A10" s="33" t="s">
        <v>50</v>
      </c>
      <c r="B10" s="38">
        <f t="shared" si="0"/>
        <v>1890.7765012221601</v>
      </c>
      <c r="C10" s="34"/>
      <c r="D10" s="38">
        <f>IF(ISERROR(TER_ander_gas_kWh/1000),0,TER_ander_gas_kWh/1000)*0.902</f>
        <v>1234.7853666581254</v>
      </c>
      <c r="E10" s="34">
        <f>$C$30*'E Balans VL '!I14/100/3.6*1000000</f>
        <v>15.468441476530142</v>
      </c>
      <c r="F10" s="34">
        <f>$C$30*('E Balans VL '!L14+'E Balans VL '!N14)/100/3.6*1000000</f>
        <v>552.78607225788949</v>
      </c>
      <c r="G10" s="35"/>
      <c r="H10" s="34"/>
      <c r="I10" s="34"/>
      <c r="J10" s="34">
        <f>$C$30*('E Balans VL '!D14+'E Balans VL '!E14)/100/3.6*1000000</f>
        <v>0</v>
      </c>
      <c r="K10" s="34"/>
      <c r="L10" s="34"/>
      <c r="M10" s="34"/>
      <c r="N10" s="34">
        <f>$C$30*'E Balans VL '!Y14/100/3.6*1000000</f>
        <v>1090.7299503659324</v>
      </c>
      <c r="O10" s="34"/>
      <c r="P10" s="34"/>
      <c r="R10" s="33"/>
    </row>
    <row r="11" spans="1:18">
      <c r="A11" s="33" t="s">
        <v>55</v>
      </c>
      <c r="B11" s="38">
        <f t="shared" si="0"/>
        <v>507.70812195671101</v>
      </c>
      <c r="C11" s="34"/>
      <c r="D11" s="38">
        <f>IF(ISERROR(TER_onderwijs_gas_kWh/1000),0,TER_onderwijs_gas_kWh/1000)*0.902</f>
        <v>1164.3322238307105</v>
      </c>
      <c r="E11" s="34">
        <f>$C$31*'E Balans VL '!I11/100/3.6*1000000</f>
        <v>0.31292986404160317</v>
      </c>
      <c r="F11" s="34">
        <f>$C$31*('E Balans VL '!L11+'E Balans VL '!N11)/100/3.6*1000000</f>
        <v>196.28818211360797</v>
      </c>
      <c r="G11" s="35"/>
      <c r="H11" s="34"/>
      <c r="I11" s="34"/>
      <c r="J11" s="34">
        <f>$C$31*('E Balans VL '!D11+'E Balans VL '!E11)/100/3.6*1000000</f>
        <v>0</v>
      </c>
      <c r="K11" s="34"/>
      <c r="L11" s="34"/>
      <c r="M11" s="34"/>
      <c r="N11" s="34">
        <f>$C$31*'E Balans VL '!Y11/100/3.6*1000000</f>
        <v>1.651465721197672</v>
      </c>
      <c r="O11" s="34"/>
      <c r="P11" s="34"/>
      <c r="R11" s="33"/>
    </row>
    <row r="12" spans="1:18">
      <c r="A12" s="33" t="s">
        <v>260</v>
      </c>
      <c r="B12" s="38">
        <f t="shared" si="0"/>
        <v>4778.3379389381898</v>
      </c>
      <c r="C12" s="34"/>
      <c r="D12" s="38">
        <f>IF(ISERROR(TER_rest_gas_kWh/1000),0,TER_rest_gas_kWh/1000)*0.902</f>
        <v>6180.381247096725</v>
      </c>
      <c r="E12" s="34">
        <f>$C$32*'E Balans VL '!I8/100/3.6*1000000</f>
        <v>41.286467732410088</v>
      </c>
      <c r="F12" s="34">
        <f>$C$32*('E Balans VL '!L8+'E Balans VL '!N8)/100/3.6*1000000</f>
        <v>951.78454591200489</v>
      </c>
      <c r="G12" s="35"/>
      <c r="H12" s="34"/>
      <c r="I12" s="34"/>
      <c r="J12" s="34">
        <f>$C$32*('E Balans VL '!D8+'E Balans VL '!E8)/100/3.6*1000000</f>
        <v>0</v>
      </c>
      <c r="K12" s="34"/>
      <c r="L12" s="34"/>
      <c r="M12" s="34"/>
      <c r="N12" s="34">
        <f>$C$32*'E Balans VL '!Y8/100/3.6*1000000</f>
        <v>314.28512369000629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28696.805486620935</v>
      </c>
      <c r="C16" s="22">
        <f t="shared" ca="1" si="1"/>
        <v>0</v>
      </c>
      <c r="D16" s="22">
        <f t="shared" ca="1" si="1"/>
        <v>33833.649880773068</v>
      </c>
      <c r="E16" s="22">
        <f t="shared" si="1"/>
        <v>460.05308031377876</v>
      </c>
      <c r="F16" s="22">
        <f t="shared" ca="1" si="1"/>
        <v>5573.4670343222315</v>
      </c>
      <c r="G16" s="22">
        <f t="shared" si="1"/>
        <v>0</v>
      </c>
      <c r="H16" s="22">
        <f t="shared" si="1"/>
        <v>0</v>
      </c>
      <c r="I16" s="22">
        <f t="shared" si="1"/>
        <v>0</v>
      </c>
      <c r="J16" s="22">
        <f t="shared" si="1"/>
        <v>0</v>
      </c>
      <c r="K16" s="22">
        <f t="shared" si="1"/>
        <v>0</v>
      </c>
      <c r="L16" s="22">
        <f t="shared" ca="1" si="1"/>
        <v>0</v>
      </c>
      <c r="M16" s="22">
        <f t="shared" si="1"/>
        <v>0</v>
      </c>
      <c r="N16" s="22">
        <f t="shared" ca="1" si="1"/>
        <v>1441.6965273845501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0.21678618085381074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6221.0708641492347</v>
      </c>
      <c r="C20" s="24">
        <f t="shared" ref="C20:P20" ca="1" si="2">C16*C18</f>
        <v>0</v>
      </c>
      <c r="D20" s="24">
        <f t="shared" ca="1" si="2"/>
        <v>6834.3972759161597</v>
      </c>
      <c r="E20" s="24">
        <f t="shared" si="2"/>
        <v>104.43204923122778</v>
      </c>
      <c r="F20" s="24">
        <f t="shared" ca="1" si="2"/>
        <v>1488.1156981640358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8237.8805222573301</v>
      </c>
      <c r="C26" s="40">
        <f>IF(ISERROR(B26*3.6/1000000/'E Balans VL '!Z12*100),0,B26*3.6/1000000/'E Balans VL '!Z12*100)</f>
        <v>0.17504905345811148</v>
      </c>
      <c r="D26" s="240" t="s">
        <v>707</v>
      </c>
      <c r="F26" s="6"/>
    </row>
    <row r="27" spans="1:18">
      <c r="A27" s="234" t="s">
        <v>53</v>
      </c>
      <c r="B27" s="34">
        <f>IF(ISERROR(TER_horeca_ele_kWh/1000),0,TER_horeca_ele_kWh/1000)</f>
        <v>6853.8479888685106</v>
      </c>
      <c r="C27" s="40">
        <f>IF(ISERROR(B27*3.6/1000000/'E Balans VL '!Z9*100),0,B27*3.6/1000000/'E Balans VL '!Z9*100)</f>
        <v>0.53945083730060428</v>
      </c>
      <c r="D27" s="240" t="s">
        <v>707</v>
      </c>
      <c r="F27" s="6"/>
    </row>
    <row r="28" spans="1:18">
      <c r="A28" s="174" t="s">
        <v>52</v>
      </c>
      <c r="B28" s="34">
        <f>IF(ISERROR(TER_handel_ele_kWh/1000),0,TER_handel_ele_kWh/1000)</f>
        <v>6242.3589544392798</v>
      </c>
      <c r="C28" s="40">
        <f>IF(ISERROR(B28*3.6/1000000/'E Balans VL '!Z13*100),0,B28*3.6/1000000/'E Balans VL '!Z13*100)</f>
        <v>0.1748518150924637</v>
      </c>
      <c r="D28" s="240" t="s">
        <v>707</v>
      </c>
      <c r="F28" s="6"/>
    </row>
    <row r="29" spans="1:18">
      <c r="A29" s="234" t="s">
        <v>51</v>
      </c>
      <c r="B29" s="34">
        <f>IF(ISERROR(TER_gezond_ele_kWh/1000),0,TER_gezond_ele_kWh/1000)</f>
        <v>185.895458938752</v>
      </c>
      <c r="C29" s="40">
        <f>IF(ISERROR(B29*3.6/1000000/'E Balans VL '!Z10*100),0,B29*3.6/1000000/'E Balans VL '!Z10*100)</f>
        <v>2.378165045055217E-2</v>
      </c>
      <c r="D29" s="240" t="s">
        <v>707</v>
      </c>
      <c r="F29" s="6"/>
    </row>
    <row r="30" spans="1:18">
      <c r="A30" s="234" t="s">
        <v>50</v>
      </c>
      <c r="B30" s="34">
        <f>IF(ISERROR(TER_ander_ele_kWh/1000),0,TER_ander_ele_kWh/1000)</f>
        <v>1890.7765012221601</v>
      </c>
      <c r="C30" s="40">
        <f>IF(ISERROR(B30*3.6/1000000/'E Balans VL '!Z14*100),0,B30*3.6/1000000/'E Balans VL '!Z14*100)</f>
        <v>0.14141415033030444</v>
      </c>
      <c r="D30" s="240" t="s">
        <v>707</v>
      </c>
      <c r="F30" s="6"/>
    </row>
    <row r="31" spans="1:18">
      <c r="A31" s="234" t="s">
        <v>55</v>
      </c>
      <c r="B31" s="34">
        <f>IF(ISERROR(TER_onderwijs_ele_kWh/1000),0,TER_onderwijs_ele_kWh/1000)</f>
        <v>507.70812195671101</v>
      </c>
      <c r="C31" s="40">
        <f>IF(ISERROR(B31*3.6/1000000/'E Balans VL '!Z11*100),0,B31*3.6/1000000/'E Balans VL '!Z11*100)</f>
        <v>0.107203227601277</v>
      </c>
      <c r="D31" s="240" t="s">
        <v>707</v>
      </c>
    </row>
    <row r="32" spans="1:18">
      <c r="A32" s="234" t="s">
        <v>260</v>
      </c>
      <c r="B32" s="34">
        <f>IF(ISERROR(TER_rest_ele_kWh/1000),0,TER_rest_ele_kWh/1000)</f>
        <v>4778.3379389381898</v>
      </c>
      <c r="C32" s="40">
        <f>IF(ISERROR(B32*3.6/1000000/'E Balans VL '!Z8*100),0,B32*3.6/1000000/'E Balans VL '!Z8*100)</f>
        <v>3.9363623326685804E-2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2316.7638301020861</v>
      </c>
      <c r="C5" s="18">
        <f>IF(ISERROR('Eigen informatie GS &amp; warmtenet'!B59),0,'Eigen informatie GS &amp; warmtenet'!B59)</f>
        <v>0</v>
      </c>
      <c r="D5" s="31">
        <f>SUM(D6:D15)</f>
        <v>2569.1617000367914</v>
      </c>
      <c r="E5" s="18">
        <f>SUM(E6:E15)</f>
        <v>17.375709867902827</v>
      </c>
      <c r="F5" s="18">
        <f>SUM(F6:F15)</f>
        <v>1119.8166694473598</v>
      </c>
      <c r="G5" s="19"/>
      <c r="H5" s="18"/>
      <c r="I5" s="18"/>
      <c r="J5" s="18">
        <f>SUM(J6:J15)</f>
        <v>5.4317499658100203</v>
      </c>
      <c r="K5" s="18"/>
      <c r="L5" s="18"/>
      <c r="M5" s="18"/>
      <c r="N5" s="18">
        <f>SUM(N6:N15)</f>
        <v>115.00149143785627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120.57398269265201</v>
      </c>
      <c r="C8" s="34"/>
      <c r="D8" s="38">
        <f>IF( ISERROR(IND_metaal_Gas_kWH/1000),0,IND_metaal_Gas_kWH/1000)*0.902</f>
        <v>31.729206048935801</v>
      </c>
      <c r="E8" s="34">
        <f>C30*'E Balans VL '!I18/100/3.6*1000000</f>
        <v>1.0980455314606774</v>
      </c>
      <c r="F8" s="34">
        <f>C30*'E Balans VL '!L18/100/3.6*1000000+C30*'E Balans VL '!N18/100/3.6*1000000</f>
        <v>15.90279266260937</v>
      </c>
      <c r="G8" s="35"/>
      <c r="H8" s="34"/>
      <c r="I8" s="34"/>
      <c r="J8" s="41">
        <f>C30*'E Balans VL '!D18/100/3.6*1000000+C30*'E Balans VL '!E18/100/3.6*1000000</f>
        <v>1.9772382490406013</v>
      </c>
      <c r="K8" s="34"/>
      <c r="L8" s="34"/>
      <c r="M8" s="34"/>
      <c r="N8" s="34">
        <f>C30*'E Balans VL '!Y18/100/3.6*1000000</f>
        <v>0.41436488062288757</v>
      </c>
      <c r="O8" s="34"/>
      <c r="P8" s="34"/>
      <c r="R8" s="33"/>
    </row>
    <row r="9" spans="1:18">
      <c r="A9" s="6" t="s">
        <v>33</v>
      </c>
      <c r="B9" s="38">
        <f t="shared" si="0"/>
        <v>1173.0528354668602</v>
      </c>
      <c r="C9" s="34"/>
      <c r="D9" s="38">
        <f>IF( ISERROR(IND_andere_gas_kWh/1000),0,IND_andere_gas_kWh/1000)*0.902</f>
        <v>1063.6077156749186</v>
      </c>
      <c r="E9" s="34">
        <f>C31*'E Balans VL '!I19/100/3.6*1000000</f>
        <v>6.7804206872452726</v>
      </c>
      <c r="F9" s="34">
        <f>C31*'E Balans VL '!L19/100/3.6*1000000+C31*'E Balans VL '!N19/100/3.6*1000000</f>
        <v>933.21997568271672</v>
      </c>
      <c r="G9" s="35"/>
      <c r="H9" s="34"/>
      <c r="I9" s="34"/>
      <c r="J9" s="41">
        <f>C31*'E Balans VL '!D19/100/3.6*1000000+C31*'E Balans VL '!E19/100/3.6*1000000</f>
        <v>0.11095776833332492</v>
      </c>
      <c r="K9" s="34"/>
      <c r="L9" s="34"/>
      <c r="M9" s="34"/>
      <c r="N9" s="34">
        <f>C31*'E Balans VL '!Y19/100/3.6*1000000</f>
        <v>88.876504455594826</v>
      </c>
      <c r="O9" s="34"/>
      <c r="P9" s="34"/>
      <c r="R9" s="33"/>
    </row>
    <row r="10" spans="1:18">
      <c r="A10" s="6" t="s">
        <v>41</v>
      </c>
      <c r="B10" s="38">
        <f t="shared" si="0"/>
        <v>358.53303540893</v>
      </c>
      <c r="C10" s="34"/>
      <c r="D10" s="38">
        <f>IF( ISERROR(IND_voed_gas_kWh/1000),0,IND_voed_gas_kWh/1000)*0.902</f>
        <v>962.55808454177759</v>
      </c>
      <c r="E10" s="34">
        <f>C32*'E Balans VL '!I20/100/3.6*1000000</f>
        <v>3.5253177147417341</v>
      </c>
      <c r="F10" s="34">
        <f>C32*'E Balans VL '!L20/100/3.6*1000000+C32*'E Balans VL '!N20/100/3.6*1000000</f>
        <v>39.819773386375502</v>
      </c>
      <c r="G10" s="35"/>
      <c r="H10" s="34"/>
      <c r="I10" s="34"/>
      <c r="J10" s="41">
        <f>C32*'E Balans VL '!D20/100/3.6*1000000+C32*'E Balans VL '!E20/100/3.6*1000000</f>
        <v>1.4131414567507717E-3</v>
      </c>
      <c r="K10" s="34"/>
      <c r="L10" s="34"/>
      <c r="M10" s="34"/>
      <c r="N10" s="34">
        <f>C32*'E Balans VL '!Y20/100/3.6*1000000</f>
        <v>5.3090308958104595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664.60397653364407</v>
      </c>
      <c r="C15" s="34"/>
      <c r="D15" s="38">
        <f>IF( ISERROR(IND_rest_gas_kWh/1000),0,IND_rest_gas_kWh/1000)*0.902</f>
        <v>511.26669377115934</v>
      </c>
      <c r="E15" s="34">
        <f>C37*'E Balans VL '!I15/100/3.6*1000000</f>
        <v>5.9719259344551432</v>
      </c>
      <c r="F15" s="34">
        <f>C37*'E Balans VL '!L15/100/3.6*1000000+C37*'E Balans VL '!N15/100/3.6*1000000</f>
        <v>130.87412771565812</v>
      </c>
      <c r="G15" s="35"/>
      <c r="H15" s="34"/>
      <c r="I15" s="34"/>
      <c r="J15" s="41">
        <f>C37*'E Balans VL '!D15/100/3.6*1000000+C37*'E Balans VL '!E15/100/3.6*1000000</f>
        <v>3.342140806979343</v>
      </c>
      <c r="K15" s="34"/>
      <c r="L15" s="34"/>
      <c r="M15" s="34"/>
      <c r="N15" s="34">
        <f>C37*'E Balans VL '!Y15/100/3.6*1000000</f>
        <v>20.401591205828094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2316.7638301020861</v>
      </c>
      <c r="C18" s="22">
        <f>C5+C16</f>
        <v>0</v>
      </c>
      <c r="D18" s="22">
        <f>MAX((D5+D16),0)</f>
        <v>2569.1617000367914</v>
      </c>
      <c r="E18" s="22">
        <f>MAX((E5+E16),0)</f>
        <v>17.375709867902827</v>
      </c>
      <c r="F18" s="22">
        <f>MAX((F5+F16),0)</f>
        <v>1119.8166694473598</v>
      </c>
      <c r="G18" s="22"/>
      <c r="H18" s="22"/>
      <c r="I18" s="22"/>
      <c r="J18" s="22">
        <f>MAX((J5+J16),0)</f>
        <v>5.4317499658100203</v>
      </c>
      <c r="K18" s="22"/>
      <c r="L18" s="22">
        <f>MAX((L5+L16),0)</f>
        <v>0</v>
      </c>
      <c r="M18" s="22"/>
      <c r="N18" s="22">
        <f>MAX((N5+N16),0)</f>
        <v>115.00149143785627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0.21678618085381074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502.24238266807811</v>
      </c>
      <c r="C22" s="24">
        <f ca="1">C18*C20</f>
        <v>0</v>
      </c>
      <c r="D22" s="24">
        <f>D18*D20</f>
        <v>518.97066340743186</v>
      </c>
      <c r="E22" s="24">
        <f>E18*E20</f>
        <v>3.9442861400139422</v>
      </c>
      <c r="F22" s="24">
        <f>F18*F20</f>
        <v>298.99105074244511</v>
      </c>
      <c r="G22" s="24"/>
      <c r="H22" s="24"/>
      <c r="I22" s="24"/>
      <c r="J22" s="24">
        <f>J18*J20</f>
        <v>1.9228394878967472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120.57398269265201</v>
      </c>
      <c r="C30" s="40">
        <f>IF(ISERROR(B30*3.6/1000000/'E Balans VL '!Z18*100),0,B30*3.6/1000000/'E Balans VL '!Z18*100)</f>
        <v>6.7091358655414161E-3</v>
      </c>
      <c r="D30" s="240" t="s">
        <v>707</v>
      </c>
    </row>
    <row r="31" spans="1:18">
      <c r="A31" s="6" t="s">
        <v>33</v>
      </c>
      <c r="B31" s="38">
        <f>IF( ISERROR(IND_ander_ele_kWh/1000),0,IND_ander_ele_kWh/1000)</f>
        <v>1173.0528354668602</v>
      </c>
      <c r="C31" s="40">
        <f>IF(ISERROR(B31*3.6/1000000/'E Balans VL '!Z19*100),0,B31*3.6/1000000/'E Balans VL '!Z19*100)</f>
        <v>5.4532145529006107E-2</v>
      </c>
      <c r="D31" s="240" t="s">
        <v>707</v>
      </c>
    </row>
    <row r="32" spans="1:18">
      <c r="A32" s="174" t="s">
        <v>41</v>
      </c>
      <c r="B32" s="38">
        <f>IF( ISERROR(IND_voed_ele_kWh/1000),0,IND_voed_ele_kWh/1000)</f>
        <v>358.53303540893</v>
      </c>
      <c r="C32" s="40">
        <f>IF(ISERROR(B32*3.6/1000000/'E Balans VL '!Z20*100),0,B32*3.6/1000000/'E Balans VL '!Z20*100)</f>
        <v>1.2673418713575219E-2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664.60397653364407</v>
      </c>
      <c r="C37" s="40">
        <f>IF(ISERROR(B37*3.6/1000000/'E Balans VL '!Z15*100),0,B37*3.6/1000000/'E Balans VL '!Z15*100)</f>
        <v>5.0187417913604504E-3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453.13965833165008</v>
      </c>
      <c r="C5" s="18">
        <f>'Eigen informatie GS &amp; warmtenet'!B60</f>
        <v>0</v>
      </c>
      <c r="D5" s="31">
        <f>IF(ISERROR(SUM(LB_lb_gas_kWh,LB_rest_gas_kWh)/1000),0,SUM(LB_lb_gas_kWh,LB_rest_gas_kWh)/1000)*0.902</f>
        <v>77.841970950462724</v>
      </c>
      <c r="E5" s="18">
        <f>B17*'E Balans VL '!I25/3.6*1000000/100</f>
        <v>4.2688791950146898</v>
      </c>
      <c r="F5" s="18">
        <f>B17*('E Balans VL '!L25/3.6*1000000+'E Balans VL '!N25/3.6*1000000)/100</f>
        <v>1478.7450889815746</v>
      </c>
      <c r="G5" s="19"/>
      <c r="H5" s="18"/>
      <c r="I5" s="18"/>
      <c r="J5" s="18">
        <f>('E Balans VL '!D25+'E Balans VL '!E25)/3.6*1000000*landbouw!B17/100</f>
        <v>56.055579806499864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453.13965833165008</v>
      </c>
      <c r="C8" s="22">
        <f>C5+C6</f>
        <v>0</v>
      </c>
      <c r="D8" s="22">
        <f>MAX((D5+D6),0)</f>
        <v>77.841970950462724</v>
      </c>
      <c r="E8" s="22">
        <f>MAX((E5+E6),0)</f>
        <v>4.2688791950146898</v>
      </c>
      <c r="F8" s="22">
        <f>MAX((F5+F6),0)</f>
        <v>1478.7450889815746</v>
      </c>
      <c r="G8" s="22"/>
      <c r="H8" s="22"/>
      <c r="I8" s="22"/>
      <c r="J8" s="22">
        <f>MAX((J5+J6),0)</f>
        <v>56.055579806499864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0.21678618085381074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98.234415923119101</v>
      </c>
      <c r="C12" s="24">
        <f ca="1">C8*C10</f>
        <v>0</v>
      </c>
      <c r="D12" s="24">
        <f>D8*D10</f>
        <v>15.724078131993471</v>
      </c>
      <c r="E12" s="24">
        <f>E8*E10</f>
        <v>0.96903557726833467</v>
      </c>
      <c r="F12" s="24">
        <f>F8*F10</f>
        <v>394.82493875808041</v>
      </c>
      <c r="G12" s="24"/>
      <c r="H12" s="24"/>
      <c r="I12" s="24"/>
      <c r="J12" s="24">
        <f>J8*J10</f>
        <v>19.843675251500951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6.13478687978362E-2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141.47989710881492</v>
      </c>
      <c r="C26" s="250">
        <f>B26*'GWP N2O_CH4'!B5</f>
        <v>2971.0778392851134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40.545733361520234</v>
      </c>
      <c r="C27" s="250">
        <f>B27*'GWP N2O_CH4'!B5</f>
        <v>851.46040059192489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1.6060602732512077</v>
      </c>
      <c r="C28" s="250">
        <f>B28*'GWP N2O_CH4'!B4</f>
        <v>497.87868470787441</v>
      </c>
      <c r="D28" s="51"/>
    </row>
    <row r="29" spans="1:4">
      <c r="A29" s="42" t="s">
        <v>277</v>
      </c>
      <c r="B29" s="250">
        <f>B34*'ha_N2O bodem landbouw'!B4</f>
        <v>7.4402271882354887</v>
      </c>
      <c r="C29" s="250">
        <f>B29*'GWP N2O_CH4'!B4</f>
        <v>2306.4704283530014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2.0086271204863585E-3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4.5079843042671996E-6</v>
      </c>
      <c r="C5" s="447" t="s">
        <v>211</v>
      </c>
      <c r="D5" s="432">
        <f>SUM(D6:D11)</f>
        <v>1.1645574721465684E-5</v>
      </c>
      <c r="E5" s="432">
        <f>SUM(E6:E11)</f>
        <v>7.6861399819115324E-4</v>
      </c>
      <c r="F5" s="445" t="s">
        <v>211</v>
      </c>
      <c r="G5" s="432">
        <f>SUM(G6:G11)</f>
        <v>0.24464928662471569</v>
      </c>
      <c r="H5" s="432">
        <f>SUM(H6:H11)</f>
        <v>2.6823036166435176E-2</v>
      </c>
      <c r="I5" s="447" t="s">
        <v>211</v>
      </c>
      <c r="J5" s="447" t="s">
        <v>211</v>
      </c>
      <c r="K5" s="447" t="s">
        <v>211</v>
      </c>
      <c r="L5" s="447" t="s">
        <v>211</v>
      </c>
      <c r="M5" s="432">
        <f>SUM(M6:M11)</f>
        <v>1.2121369753237639E-2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2.0642859329283308E-6</v>
      </c>
      <c r="C6" s="433"/>
      <c r="D6" s="433">
        <f>vkm_2011_GW_PW*SUMIFS(TableVerdeelsleutelVkm[CNG],TableVerdeelsleutelVkm[Voertuigtype],"Lichte voertuigen")*SUMIFS(TableECFTransport[EnergieConsumptieFactor (PJ per km)],TableECFTransport[Index],CONCATENATE($A6,"_CNG_CNG"))</f>
        <v>5.0410208190272413E-6</v>
      </c>
      <c r="E6" s="435">
        <f>vkm_2011_GW_PW*SUMIFS(TableVerdeelsleutelVkm[LPG],TableVerdeelsleutelVkm[Voertuigtype],"Lichte voertuigen")*SUMIFS(TableECFTransport[EnergieConsumptieFactor (PJ per km)],TableECFTransport[Index],CONCATENATE($A6,"_LPG_LPG"))</f>
        <v>2.9880566285693251E-4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4.3195873559329079E-2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1.132039746544092E-2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2.441339014360098E-3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2.2724695226738298E-2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9.1685285625907407E-6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1.0123781413797189E-3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2.3113457006969976E-7</v>
      </c>
      <c r="C8" s="433"/>
      <c r="D8" s="435">
        <f>vkm_2011_NGW_PW*SUMIFS(TableVerdeelsleutelVkm[CNG],TableVerdeelsleutelVkm[Voertuigtype],"Lichte voertuigen")*SUMIFS(TableECFTransport[EnergieConsumptieFactor (PJ per km)],TableECFTransport[Index],CONCATENATE($A8,"_CNG_CNG"))</f>
        <v>1.0126913747940283E-6</v>
      </c>
      <c r="E8" s="435">
        <f>vkm_2011_NGW_PW*SUMIFS(TableVerdeelsleutelVkm[LPG],TableVerdeelsleutelVkm[Voertuigtype],"Lichte voertuigen")*SUMIFS(TableECFTransport[EnergieConsumptieFactor (PJ per km)],TableECFTransport[Index],CONCATENATE($A8,"_LPG_LPG"))</f>
        <v>5.5068855030265904E-5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7.5204960004823049E-3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2.1777255433856396E-3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4.3450199147548961E-4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2.8065517452091596E-3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9.859184123988795E-7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1.2502431512944934E-4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2.2125638012691689E-6</v>
      </c>
      <c r="C10" s="433"/>
      <c r="D10" s="435">
        <f>vkm_2011_SW_PW*SUMIFS(TableVerdeelsleutelVkm[CNG],TableVerdeelsleutelVkm[Voertuigtype],"Lichte voertuigen")*SUMIFS(TableECFTransport[EnergieConsumptieFactor (PJ per km)],TableECFTransport[Index],CONCATENATE($A10,"_CNG_CNG"))</f>
        <v>5.5918625276444149E-6</v>
      </c>
      <c r="E10" s="435">
        <f>vkm_2011_SW_PW*SUMIFS(TableVerdeelsleutelVkm[LPG],TableVerdeelsleutelVkm[Voertuigtype],"Lichte voertuigen")*SUMIFS(TableECFTransport[EnergieConsumptieFactor (PJ per km)],TableECFTransport[Index],CONCATENATE($A10,"_LPG_LPG"))</f>
        <v>4.1473948030395483E-4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5.4639606878281725E-2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1.3266062700816235E-2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3.0399336222871652E-3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0.11376206321467509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4.8696009817395394E-5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5.0681926686057168E-3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1.2522178622964444</v>
      </c>
      <c r="C14" s="22"/>
      <c r="D14" s="22">
        <f t="shared" ref="D14:M14" si="0">((D5)*10^9/3600)+D12</f>
        <v>3.2348818670738013</v>
      </c>
      <c r="E14" s="22">
        <f t="shared" si="0"/>
        <v>213.50388838643147</v>
      </c>
      <c r="F14" s="22"/>
      <c r="G14" s="22">
        <f t="shared" si="0"/>
        <v>67958.135173532137</v>
      </c>
      <c r="H14" s="22">
        <f t="shared" si="0"/>
        <v>7450.8433795653264</v>
      </c>
      <c r="I14" s="22"/>
      <c r="J14" s="22"/>
      <c r="K14" s="22"/>
      <c r="L14" s="22"/>
      <c r="M14" s="22">
        <f t="shared" si="0"/>
        <v>3367.047153677122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0.21678618085381074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0.27146352796416928</v>
      </c>
      <c r="C18" s="24"/>
      <c r="D18" s="24">
        <f t="shared" ref="D18:M18" si="1">D14*D16</f>
        <v>0.65344613714890787</v>
      </c>
      <c r="E18" s="24">
        <f t="shared" si="1"/>
        <v>48.465382663719943</v>
      </c>
      <c r="F18" s="24"/>
      <c r="G18" s="24">
        <f t="shared" si="1"/>
        <v>18144.822091333081</v>
      </c>
      <c r="H18" s="24">
        <f t="shared" si="1"/>
        <v>1855.2600015117662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2.8194398342023413E-3</v>
      </c>
      <c r="C50" s="323">
        <f t="shared" ref="C50:P50" si="2">SUM(C51:C52)</f>
        <v>0</v>
      </c>
      <c r="D50" s="323">
        <f t="shared" si="2"/>
        <v>0</v>
      </c>
      <c r="E50" s="323">
        <f t="shared" si="2"/>
        <v>0</v>
      </c>
      <c r="F50" s="323">
        <f t="shared" si="2"/>
        <v>0</v>
      </c>
      <c r="G50" s="323">
        <f t="shared" si="2"/>
        <v>6.2304045948143277E-4</v>
      </c>
      <c r="H50" s="323">
        <f t="shared" si="2"/>
        <v>0</v>
      </c>
      <c r="I50" s="323">
        <f t="shared" si="2"/>
        <v>0</v>
      </c>
      <c r="J50" s="323">
        <f t="shared" si="2"/>
        <v>0</v>
      </c>
      <c r="K50" s="323">
        <f t="shared" si="2"/>
        <v>0</v>
      </c>
      <c r="L50" s="323">
        <f t="shared" si="2"/>
        <v>0</v>
      </c>
      <c r="M50" s="323">
        <f t="shared" si="2"/>
        <v>2.7358734345355735E-5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6.2304045948143277E-4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2.7358734345355735E-5</v>
      </c>
      <c r="N51" s="325"/>
      <c r="O51" s="325"/>
      <c r="P51" s="328"/>
    </row>
    <row r="52" spans="1:18">
      <c r="A52" s="4" t="s">
        <v>330</v>
      </c>
      <c r="B52" s="329">
        <f>vkm_2011_tram*SUMIFS(TableECFTransport[EnergieConsumptieFactor (PJ per km)],TableECFTransport[Index],"Tram_gemiddeld_Electric_Electric")</f>
        <v>2.8194398342023413E-3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783.17773172287252</v>
      </c>
      <c r="C54" s="22">
        <f t="shared" ref="C54:P54" si="3">(C50)*10^9/3600</f>
        <v>0</v>
      </c>
      <c r="D54" s="22">
        <f t="shared" si="3"/>
        <v>0</v>
      </c>
      <c r="E54" s="22">
        <f t="shared" si="3"/>
        <v>0</v>
      </c>
      <c r="F54" s="22">
        <f t="shared" si="3"/>
        <v>0</v>
      </c>
      <c r="G54" s="22">
        <f t="shared" si="3"/>
        <v>173.06679430039799</v>
      </c>
      <c r="H54" s="22">
        <f t="shared" si="3"/>
        <v>0</v>
      </c>
      <c r="I54" s="22">
        <f t="shared" si="3"/>
        <v>0</v>
      </c>
      <c r="J54" s="22">
        <f t="shared" si="3"/>
        <v>0</v>
      </c>
      <c r="K54" s="22">
        <f t="shared" si="3"/>
        <v>0</v>
      </c>
      <c r="L54" s="22">
        <f t="shared" si="3"/>
        <v>0</v>
      </c>
      <c r="M54" s="22">
        <f t="shared" si="3"/>
        <v>7.5996484292654829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0.21678618085381074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169.7821093899519</v>
      </c>
      <c r="C58" s="24">
        <f t="shared" ref="C58:P58" ca="1" si="4">C54*C56</f>
        <v>0</v>
      </c>
      <c r="D58" s="24">
        <f t="shared" si="4"/>
        <v>0</v>
      </c>
      <c r="E58" s="24">
        <f t="shared" si="4"/>
        <v>0</v>
      </c>
      <c r="F58" s="24">
        <f t="shared" si="4"/>
        <v>0</v>
      </c>
      <c r="G58" s="24">
        <f t="shared" si="4"/>
        <v>46.208834078206266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30245.730486620934</v>
      </c>
      <c r="D10" s="688">
        <f ca="1">tertiair!C16</f>
        <v>0</v>
      </c>
      <c r="E10" s="688">
        <f ca="1">tertiair!D16</f>
        <v>33833.649880773068</v>
      </c>
      <c r="F10" s="688">
        <f>tertiair!E16</f>
        <v>460.05308031377876</v>
      </c>
      <c r="G10" s="688">
        <f ca="1">tertiair!F16</f>
        <v>5573.4670343222315</v>
      </c>
      <c r="H10" s="688">
        <f>tertiair!G16</f>
        <v>0</v>
      </c>
      <c r="I10" s="688">
        <f>tertiair!H16</f>
        <v>0</v>
      </c>
      <c r="J10" s="688">
        <f>tertiair!I16</f>
        <v>0</v>
      </c>
      <c r="K10" s="688">
        <f>tertiair!J16</f>
        <v>0</v>
      </c>
      <c r="L10" s="688">
        <f>tertiair!K16</f>
        <v>0</v>
      </c>
      <c r="M10" s="688">
        <f ca="1">tertiair!L16</f>
        <v>0</v>
      </c>
      <c r="N10" s="688">
        <f>tertiair!M16</f>
        <v>0</v>
      </c>
      <c r="O10" s="688">
        <f ca="1">tertiair!N16</f>
        <v>1441.6965273845501</v>
      </c>
      <c r="P10" s="688">
        <f>tertiair!O16</f>
        <v>0</v>
      </c>
      <c r="Q10" s="689">
        <f>tertiair!P16</f>
        <v>0</v>
      </c>
      <c r="R10" s="691">
        <f ca="1">SUM(C10:Q10)</f>
        <v>71554.59700941456</v>
      </c>
      <c r="S10" s="68"/>
    </row>
    <row r="11" spans="1:19" s="457" customFormat="1">
      <c r="A11" s="803" t="s">
        <v>225</v>
      </c>
      <c r="B11" s="808"/>
      <c r="C11" s="688">
        <f>huishoudens!B8</f>
        <v>29576.142126895869</v>
      </c>
      <c r="D11" s="688">
        <f>huishoudens!C8</f>
        <v>0</v>
      </c>
      <c r="E11" s="688">
        <f>huishoudens!D8</f>
        <v>67690.682774835572</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46.9</v>
      </c>
      <c r="Q11" s="689">
        <f>huishoudens!P8</f>
        <v>57.2</v>
      </c>
      <c r="R11" s="691">
        <f>SUM(C11:Q11)</f>
        <v>97370.924901731429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2316.7638301020861</v>
      </c>
      <c r="D13" s="688">
        <f>industrie!C18</f>
        <v>0</v>
      </c>
      <c r="E13" s="688">
        <f>industrie!D18</f>
        <v>2569.1617000367914</v>
      </c>
      <c r="F13" s="688">
        <f>industrie!E18</f>
        <v>17.375709867902827</v>
      </c>
      <c r="G13" s="688">
        <f>industrie!F18</f>
        <v>1119.8166694473598</v>
      </c>
      <c r="H13" s="688">
        <f>industrie!G18</f>
        <v>0</v>
      </c>
      <c r="I13" s="688">
        <f>industrie!H18</f>
        <v>0</v>
      </c>
      <c r="J13" s="688">
        <f>industrie!I18</f>
        <v>0</v>
      </c>
      <c r="K13" s="688">
        <f>industrie!J18</f>
        <v>5.4317499658100203</v>
      </c>
      <c r="L13" s="688">
        <f>industrie!K18</f>
        <v>0</v>
      </c>
      <c r="M13" s="688">
        <f>industrie!L18</f>
        <v>0</v>
      </c>
      <c r="N13" s="688">
        <f>industrie!M18</f>
        <v>0</v>
      </c>
      <c r="O13" s="688">
        <f>industrie!N18</f>
        <v>115.00149143785627</v>
      </c>
      <c r="P13" s="688">
        <f>industrie!O18</f>
        <v>0</v>
      </c>
      <c r="Q13" s="689">
        <f>industrie!P18</f>
        <v>0</v>
      </c>
      <c r="R13" s="691">
        <f>SUM(C13:Q13)</f>
        <v>6143.5511508578065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62138.636443618889</v>
      </c>
      <c r="D16" s="721">
        <f t="shared" ref="D16:R16" ca="1" si="0">SUM(D9:D15)</f>
        <v>0</v>
      </c>
      <c r="E16" s="721">
        <f t="shared" ca="1" si="0"/>
        <v>104093.49435564544</v>
      </c>
      <c r="F16" s="721">
        <f t="shared" si="0"/>
        <v>477.42879018168162</v>
      </c>
      <c r="G16" s="721">
        <f t="shared" ca="1" si="0"/>
        <v>6693.2837037695917</v>
      </c>
      <c r="H16" s="721">
        <f t="shared" si="0"/>
        <v>0</v>
      </c>
      <c r="I16" s="721">
        <f t="shared" si="0"/>
        <v>0</v>
      </c>
      <c r="J16" s="721">
        <f t="shared" si="0"/>
        <v>0</v>
      </c>
      <c r="K16" s="721">
        <f t="shared" si="0"/>
        <v>5.4317499658100203</v>
      </c>
      <c r="L16" s="721">
        <f t="shared" si="0"/>
        <v>0</v>
      </c>
      <c r="M16" s="721">
        <f t="shared" ca="1" si="0"/>
        <v>0</v>
      </c>
      <c r="N16" s="721">
        <f t="shared" si="0"/>
        <v>0</v>
      </c>
      <c r="O16" s="721">
        <f t="shared" ca="1" si="0"/>
        <v>1556.6980188224063</v>
      </c>
      <c r="P16" s="721">
        <f t="shared" si="0"/>
        <v>46.9</v>
      </c>
      <c r="Q16" s="721">
        <f t="shared" si="0"/>
        <v>57.2</v>
      </c>
      <c r="R16" s="721">
        <f t="shared" ca="1" si="0"/>
        <v>175069.07306200382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783.17773172287252</v>
      </c>
      <c r="D19" s="688">
        <f>transport!C54</f>
        <v>0</v>
      </c>
      <c r="E19" s="688">
        <f>transport!D54</f>
        <v>0</v>
      </c>
      <c r="F19" s="688">
        <f>transport!E54</f>
        <v>0</v>
      </c>
      <c r="G19" s="688">
        <f>transport!F54</f>
        <v>0</v>
      </c>
      <c r="H19" s="688">
        <f>transport!G54</f>
        <v>173.06679430039799</v>
      </c>
      <c r="I19" s="688">
        <f>transport!H54</f>
        <v>0</v>
      </c>
      <c r="J19" s="688">
        <f>transport!I54</f>
        <v>0</v>
      </c>
      <c r="K19" s="688">
        <f>transport!J54</f>
        <v>0</v>
      </c>
      <c r="L19" s="688">
        <f>transport!K54</f>
        <v>0</v>
      </c>
      <c r="M19" s="688">
        <f>transport!L54</f>
        <v>0</v>
      </c>
      <c r="N19" s="688">
        <f>transport!M54</f>
        <v>7.5996484292654829</v>
      </c>
      <c r="O19" s="688">
        <f>transport!N54</f>
        <v>0</v>
      </c>
      <c r="P19" s="688">
        <f>transport!O54</f>
        <v>0</v>
      </c>
      <c r="Q19" s="689">
        <f>transport!P54</f>
        <v>0</v>
      </c>
      <c r="R19" s="691">
        <f>SUM(C19:Q19)</f>
        <v>963.84417445253598</v>
      </c>
      <c r="S19" s="68"/>
    </row>
    <row r="20" spans="1:19" s="457" customFormat="1">
      <c r="A20" s="803" t="s">
        <v>307</v>
      </c>
      <c r="B20" s="808"/>
      <c r="C20" s="688">
        <f>transport!B14</f>
        <v>1.2522178622964444</v>
      </c>
      <c r="D20" s="688">
        <f>transport!C14</f>
        <v>0</v>
      </c>
      <c r="E20" s="688">
        <f>transport!D14</f>
        <v>3.2348818670738013</v>
      </c>
      <c r="F20" s="688">
        <f>transport!E14</f>
        <v>213.50388838643147</v>
      </c>
      <c r="G20" s="688">
        <f>transport!F14</f>
        <v>0</v>
      </c>
      <c r="H20" s="688">
        <f>transport!G14</f>
        <v>67958.135173532137</v>
      </c>
      <c r="I20" s="688">
        <f>transport!H14</f>
        <v>7450.8433795653264</v>
      </c>
      <c r="J20" s="688">
        <f>transport!I14</f>
        <v>0</v>
      </c>
      <c r="K20" s="688">
        <f>transport!J14</f>
        <v>0</v>
      </c>
      <c r="L20" s="688">
        <f>transport!K14</f>
        <v>0</v>
      </c>
      <c r="M20" s="688">
        <f>transport!L14</f>
        <v>0</v>
      </c>
      <c r="N20" s="688">
        <f>transport!M14</f>
        <v>3367.047153677122</v>
      </c>
      <c r="O20" s="688">
        <f>transport!N14</f>
        <v>0</v>
      </c>
      <c r="P20" s="688">
        <f>transport!O14</f>
        <v>0</v>
      </c>
      <c r="Q20" s="689">
        <f>transport!P14</f>
        <v>0</v>
      </c>
      <c r="R20" s="691">
        <f>SUM(C20:Q20)</f>
        <v>78994.016694890379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784.42994958516897</v>
      </c>
      <c r="D22" s="806">
        <f t="shared" ref="D22:R22" si="1">SUM(D18:D21)</f>
        <v>0</v>
      </c>
      <c r="E22" s="806">
        <f t="shared" si="1"/>
        <v>3.2348818670738013</v>
      </c>
      <c r="F22" s="806">
        <f t="shared" si="1"/>
        <v>213.50388838643147</v>
      </c>
      <c r="G22" s="806">
        <f t="shared" si="1"/>
        <v>0</v>
      </c>
      <c r="H22" s="806">
        <f t="shared" si="1"/>
        <v>68131.20196783253</v>
      </c>
      <c r="I22" s="806">
        <f t="shared" si="1"/>
        <v>7450.8433795653264</v>
      </c>
      <c r="J22" s="806">
        <f t="shared" si="1"/>
        <v>0</v>
      </c>
      <c r="K22" s="806">
        <f t="shared" si="1"/>
        <v>0</v>
      </c>
      <c r="L22" s="806">
        <f t="shared" si="1"/>
        <v>0</v>
      </c>
      <c r="M22" s="806">
        <f t="shared" si="1"/>
        <v>0</v>
      </c>
      <c r="N22" s="806">
        <f t="shared" si="1"/>
        <v>3374.6468021063874</v>
      </c>
      <c r="O22" s="806">
        <f t="shared" si="1"/>
        <v>0</v>
      </c>
      <c r="P22" s="806">
        <f t="shared" si="1"/>
        <v>0</v>
      </c>
      <c r="Q22" s="806">
        <f t="shared" si="1"/>
        <v>0</v>
      </c>
      <c r="R22" s="806">
        <f t="shared" si="1"/>
        <v>79957.860869342912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453.13965833165008</v>
      </c>
      <c r="D24" s="688">
        <f>+landbouw!C8</f>
        <v>0</v>
      </c>
      <c r="E24" s="688">
        <f>+landbouw!D8</f>
        <v>77.841970950462724</v>
      </c>
      <c r="F24" s="688">
        <f>+landbouw!E8</f>
        <v>4.2688791950146898</v>
      </c>
      <c r="G24" s="688">
        <f>+landbouw!F8</f>
        <v>1478.7450889815746</v>
      </c>
      <c r="H24" s="688">
        <f>+landbouw!G8</f>
        <v>0</v>
      </c>
      <c r="I24" s="688">
        <f>+landbouw!H8</f>
        <v>0</v>
      </c>
      <c r="J24" s="688">
        <f>+landbouw!I8</f>
        <v>0</v>
      </c>
      <c r="K24" s="688">
        <f>+landbouw!J8</f>
        <v>56.055579806499864</v>
      </c>
      <c r="L24" s="688">
        <f>+landbouw!K8</f>
        <v>0</v>
      </c>
      <c r="M24" s="688">
        <f>+landbouw!L8</f>
        <v>0</v>
      </c>
      <c r="N24" s="688">
        <f>+landbouw!M8</f>
        <v>0</v>
      </c>
      <c r="O24" s="688">
        <f>+landbouw!N8</f>
        <v>0</v>
      </c>
      <c r="P24" s="688">
        <f>+landbouw!O8</f>
        <v>0</v>
      </c>
      <c r="Q24" s="689">
        <f>+landbouw!P8</f>
        <v>0</v>
      </c>
      <c r="R24" s="691">
        <f>SUM(C24:Q24)</f>
        <v>2070.0511772652021</v>
      </c>
      <c r="S24" s="68"/>
    </row>
    <row r="25" spans="1:19" s="457" customFormat="1" ht="15" thickBot="1">
      <c r="A25" s="825" t="s">
        <v>912</v>
      </c>
      <c r="B25" s="1001"/>
      <c r="C25" s="1002">
        <f>IF(Onbekend_ele_kWh="---",0,Onbekend_ele_kWh)/1000+IF(REST_rest_ele_kWh="---",0,REST_rest_ele_kWh)/1000</f>
        <v>2338.83094470882</v>
      </c>
      <c r="D25" s="1002"/>
      <c r="E25" s="1002">
        <f>IF(onbekend_gas_kWh="---",0,onbekend_gas_kWh)/1000+IF(REST_rest_gas_kWh="---",0,REST_rest_gas_kWh)/1000</f>
        <v>3285.1985704403401</v>
      </c>
      <c r="F25" s="1002"/>
      <c r="G25" s="1002"/>
      <c r="H25" s="1002"/>
      <c r="I25" s="1002"/>
      <c r="J25" s="1002"/>
      <c r="K25" s="1002"/>
      <c r="L25" s="1002"/>
      <c r="M25" s="1002"/>
      <c r="N25" s="1002"/>
      <c r="O25" s="1002"/>
      <c r="P25" s="1002"/>
      <c r="Q25" s="1003"/>
      <c r="R25" s="691">
        <f>SUM(C25:Q25)</f>
        <v>5624.02951514916</v>
      </c>
      <c r="S25" s="68"/>
    </row>
    <row r="26" spans="1:19" s="457" customFormat="1" ht="15.75" thickBot="1">
      <c r="A26" s="694" t="s">
        <v>913</v>
      </c>
      <c r="B26" s="811"/>
      <c r="C26" s="806">
        <f>SUM(C24:C25)</f>
        <v>2791.97060304047</v>
      </c>
      <c r="D26" s="806">
        <f t="shared" ref="D26:R26" si="2">SUM(D24:D25)</f>
        <v>0</v>
      </c>
      <c r="E26" s="806">
        <f t="shared" si="2"/>
        <v>3363.0405413908029</v>
      </c>
      <c r="F26" s="806">
        <f t="shared" si="2"/>
        <v>4.2688791950146898</v>
      </c>
      <c r="G26" s="806">
        <f t="shared" si="2"/>
        <v>1478.7450889815746</v>
      </c>
      <c r="H26" s="806">
        <f t="shared" si="2"/>
        <v>0</v>
      </c>
      <c r="I26" s="806">
        <f t="shared" si="2"/>
        <v>0</v>
      </c>
      <c r="J26" s="806">
        <f t="shared" si="2"/>
        <v>0</v>
      </c>
      <c r="K26" s="806">
        <f t="shared" si="2"/>
        <v>56.055579806499864</v>
      </c>
      <c r="L26" s="806">
        <f t="shared" si="2"/>
        <v>0</v>
      </c>
      <c r="M26" s="806">
        <f t="shared" si="2"/>
        <v>0</v>
      </c>
      <c r="N26" s="806">
        <f t="shared" si="2"/>
        <v>0</v>
      </c>
      <c r="O26" s="806">
        <f t="shared" si="2"/>
        <v>0</v>
      </c>
      <c r="P26" s="806">
        <f t="shared" si="2"/>
        <v>0</v>
      </c>
      <c r="Q26" s="806">
        <f t="shared" si="2"/>
        <v>0</v>
      </c>
      <c r="R26" s="806">
        <f t="shared" si="2"/>
        <v>7694.0806924143617</v>
      </c>
      <c r="S26" s="68"/>
    </row>
    <row r="27" spans="1:19" s="457" customFormat="1" ht="17.25" thickTop="1" thickBot="1">
      <c r="A27" s="695" t="s">
        <v>116</v>
      </c>
      <c r="B27" s="798"/>
      <c r="C27" s="696">
        <f ca="1">C22+C16+C26</f>
        <v>65715.036996244526</v>
      </c>
      <c r="D27" s="696">
        <f t="shared" ref="D27:R27" ca="1" si="3">D22+D16+D26</f>
        <v>0</v>
      </c>
      <c r="E27" s="696">
        <f t="shared" ca="1" si="3"/>
        <v>107459.76977890331</v>
      </c>
      <c r="F27" s="696">
        <f t="shared" si="3"/>
        <v>695.20155776312777</v>
      </c>
      <c r="G27" s="696">
        <f t="shared" ca="1" si="3"/>
        <v>8172.0287927511663</v>
      </c>
      <c r="H27" s="696">
        <f t="shared" si="3"/>
        <v>68131.20196783253</v>
      </c>
      <c r="I27" s="696">
        <f t="shared" si="3"/>
        <v>7450.8433795653264</v>
      </c>
      <c r="J27" s="696">
        <f t="shared" si="3"/>
        <v>0</v>
      </c>
      <c r="K27" s="696">
        <f t="shared" si="3"/>
        <v>61.487329772309884</v>
      </c>
      <c r="L27" s="696">
        <f t="shared" si="3"/>
        <v>0</v>
      </c>
      <c r="M27" s="696">
        <f t="shared" ca="1" si="3"/>
        <v>0</v>
      </c>
      <c r="N27" s="696">
        <f t="shared" si="3"/>
        <v>3374.6468021063874</v>
      </c>
      <c r="O27" s="696">
        <f t="shared" ca="1" si="3"/>
        <v>1556.6980188224063</v>
      </c>
      <c r="P27" s="696">
        <f t="shared" si="3"/>
        <v>46.9</v>
      </c>
      <c r="Q27" s="696">
        <f t="shared" si="3"/>
        <v>57.2</v>
      </c>
      <c r="R27" s="696">
        <f t="shared" ca="1" si="3"/>
        <v>262721.01462376112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6556.8563993282232</v>
      </c>
      <c r="D40" s="688">
        <f ca="1">tertiair!C20</f>
        <v>0</v>
      </c>
      <c r="E40" s="688">
        <f ca="1">tertiair!D20</f>
        <v>6834.3972759161597</v>
      </c>
      <c r="F40" s="688">
        <f>tertiair!E20</f>
        <v>104.43204923122778</v>
      </c>
      <c r="G40" s="688">
        <f ca="1">tertiair!F20</f>
        <v>1488.1156981640358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14983.801422639646</v>
      </c>
    </row>
    <row r="41" spans="1:18">
      <c r="A41" s="816" t="s">
        <v>225</v>
      </c>
      <c r="B41" s="823"/>
      <c r="C41" s="688">
        <f ca="1">huishoudens!B12</f>
        <v>6411.6988960792587</v>
      </c>
      <c r="D41" s="688">
        <f ca="1">huishoudens!C12</f>
        <v>0</v>
      </c>
      <c r="E41" s="688">
        <f>huishoudens!D12</f>
        <v>13673.517920516786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20085.216816596047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502.24238266807811</v>
      </c>
      <c r="D43" s="688">
        <f ca="1">industrie!C22</f>
        <v>0</v>
      </c>
      <c r="E43" s="688">
        <f>industrie!D22</f>
        <v>518.97066340743186</v>
      </c>
      <c r="F43" s="688">
        <f>industrie!E22</f>
        <v>3.9442861400139422</v>
      </c>
      <c r="G43" s="688">
        <f>industrie!F22</f>
        <v>298.99105074244511</v>
      </c>
      <c r="H43" s="688">
        <f>industrie!G22</f>
        <v>0</v>
      </c>
      <c r="I43" s="688">
        <f>industrie!H22</f>
        <v>0</v>
      </c>
      <c r="J43" s="688">
        <f>industrie!I22</f>
        <v>0</v>
      </c>
      <c r="K43" s="688">
        <f>industrie!J22</f>
        <v>1.9228394878967472</v>
      </c>
      <c r="L43" s="688">
        <f>industrie!K22</f>
        <v>0</v>
      </c>
      <c r="M43" s="688">
        <f>industrie!L22</f>
        <v>0</v>
      </c>
      <c r="N43" s="688">
        <f>industrie!M22</f>
        <v>0</v>
      </c>
      <c r="O43" s="688">
        <f>industrie!N22</f>
        <v>0</v>
      </c>
      <c r="P43" s="688">
        <f>industrie!O22</f>
        <v>0</v>
      </c>
      <c r="Q43" s="763">
        <f>industrie!P22</f>
        <v>0</v>
      </c>
      <c r="R43" s="843">
        <f t="shared" ca="1" si="4"/>
        <v>1326.0712224458657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13470.79767807556</v>
      </c>
      <c r="D46" s="721">
        <f t="shared" ref="D46:Q46" ca="1" si="5">SUM(D39:D45)</f>
        <v>0</v>
      </c>
      <c r="E46" s="721">
        <f t="shared" ca="1" si="5"/>
        <v>21026.885859840379</v>
      </c>
      <c r="F46" s="721">
        <f t="shared" si="5"/>
        <v>108.37633537124172</v>
      </c>
      <c r="G46" s="721">
        <f t="shared" ca="1" si="5"/>
        <v>1787.106748906481</v>
      </c>
      <c r="H46" s="721">
        <f t="shared" si="5"/>
        <v>0</v>
      </c>
      <c r="I46" s="721">
        <f t="shared" si="5"/>
        <v>0</v>
      </c>
      <c r="J46" s="721">
        <f t="shared" si="5"/>
        <v>0</v>
      </c>
      <c r="K46" s="721">
        <f t="shared" si="5"/>
        <v>1.9228394878967472</v>
      </c>
      <c r="L46" s="721">
        <f t="shared" si="5"/>
        <v>0</v>
      </c>
      <c r="M46" s="721">
        <f t="shared" ca="1" si="5"/>
        <v>0</v>
      </c>
      <c r="N46" s="721">
        <f t="shared" si="5"/>
        <v>0</v>
      </c>
      <c r="O46" s="721">
        <f t="shared" ca="1" si="5"/>
        <v>0</v>
      </c>
      <c r="P46" s="721">
        <f t="shared" si="5"/>
        <v>0</v>
      </c>
      <c r="Q46" s="721">
        <f t="shared" si="5"/>
        <v>0</v>
      </c>
      <c r="R46" s="721">
        <f ca="1">SUM(R39:R45)</f>
        <v>36395.089461681564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169.7821093899519</v>
      </c>
      <c r="D49" s="688">
        <f ca="1">transport!C58</f>
        <v>0</v>
      </c>
      <c r="E49" s="688">
        <f>transport!D58</f>
        <v>0</v>
      </c>
      <c r="F49" s="688">
        <f>transport!E58</f>
        <v>0</v>
      </c>
      <c r="G49" s="688">
        <f>transport!F58</f>
        <v>0</v>
      </c>
      <c r="H49" s="688">
        <f>transport!G58</f>
        <v>46.208834078206266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215.99094346815815</v>
      </c>
    </row>
    <row r="50" spans="1:18">
      <c r="A50" s="819" t="s">
        <v>307</v>
      </c>
      <c r="B50" s="829"/>
      <c r="C50" s="1008">
        <f ca="1">transport!B18</f>
        <v>0.27146352796416928</v>
      </c>
      <c r="D50" s="1008">
        <f>transport!C18</f>
        <v>0</v>
      </c>
      <c r="E50" s="1008">
        <f>transport!D18</f>
        <v>0.65344613714890787</v>
      </c>
      <c r="F50" s="1008">
        <f>transport!E18</f>
        <v>48.465382663719943</v>
      </c>
      <c r="G50" s="1008">
        <f>transport!F18</f>
        <v>0</v>
      </c>
      <c r="H50" s="1008">
        <f>transport!G18</f>
        <v>18144.822091333081</v>
      </c>
      <c r="I50" s="1008">
        <f>transport!H18</f>
        <v>1855.2600015117662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20049.472385173682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170.05357291791606</v>
      </c>
      <c r="D52" s="721">
        <f t="shared" ref="D52:Q52" ca="1" si="6">SUM(D48:D51)</f>
        <v>0</v>
      </c>
      <c r="E52" s="721">
        <f t="shared" si="6"/>
        <v>0.65344613714890787</v>
      </c>
      <c r="F52" s="721">
        <f t="shared" si="6"/>
        <v>48.465382663719943</v>
      </c>
      <c r="G52" s="721">
        <f t="shared" si="6"/>
        <v>0</v>
      </c>
      <c r="H52" s="721">
        <f t="shared" si="6"/>
        <v>18191.030925411287</v>
      </c>
      <c r="I52" s="721">
        <f t="shared" si="6"/>
        <v>1855.2600015117662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20265.463328641839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98.234415923119101</v>
      </c>
      <c r="D54" s="1008">
        <f ca="1">+landbouw!C12</f>
        <v>0</v>
      </c>
      <c r="E54" s="1008">
        <f>+landbouw!D12</f>
        <v>15.724078131993471</v>
      </c>
      <c r="F54" s="1008">
        <f>+landbouw!E12</f>
        <v>0.96903557726833467</v>
      </c>
      <c r="G54" s="1008">
        <f>+landbouw!F12</f>
        <v>394.82493875808041</v>
      </c>
      <c r="H54" s="1008">
        <f>+landbouw!G12</f>
        <v>0</v>
      </c>
      <c r="I54" s="1008">
        <f>+landbouw!H12</f>
        <v>0</v>
      </c>
      <c r="J54" s="1008">
        <f>+landbouw!I12</f>
        <v>0</v>
      </c>
      <c r="K54" s="1008">
        <f>+landbouw!J12</f>
        <v>19.843675251500951</v>
      </c>
      <c r="L54" s="1008">
        <f>+landbouw!K12</f>
        <v>0</v>
      </c>
      <c r="M54" s="1008">
        <f>+landbouw!L12</f>
        <v>0</v>
      </c>
      <c r="N54" s="1008">
        <f>+landbouw!M12</f>
        <v>0</v>
      </c>
      <c r="O54" s="1008">
        <f>+landbouw!N12</f>
        <v>0</v>
      </c>
      <c r="P54" s="1008">
        <f>+landbouw!O12</f>
        <v>0</v>
      </c>
      <c r="Q54" s="1009">
        <f>+landbouw!P12</f>
        <v>0</v>
      </c>
      <c r="R54" s="720">
        <f ca="1">SUM(C54:Q54)</f>
        <v>529.59614364196227</v>
      </c>
    </row>
    <row r="55" spans="1:18" ht="15" thickBot="1">
      <c r="A55" s="819" t="s">
        <v>912</v>
      </c>
      <c r="B55" s="829"/>
      <c r="C55" s="1008">
        <f ca="1">C25*'EF ele_warmte'!B12</f>
        <v>507.0262281661353</v>
      </c>
      <c r="D55" s="1008"/>
      <c r="E55" s="1008">
        <f>E25*EF_CO2_aardgas</f>
        <v>663.61011122894877</v>
      </c>
      <c r="F55" s="1008"/>
      <c r="G55" s="1008"/>
      <c r="H55" s="1008"/>
      <c r="I55" s="1008"/>
      <c r="J55" s="1008"/>
      <c r="K55" s="1008"/>
      <c r="L55" s="1008"/>
      <c r="M55" s="1008"/>
      <c r="N55" s="1008"/>
      <c r="O55" s="1008"/>
      <c r="P55" s="1008"/>
      <c r="Q55" s="1009"/>
      <c r="R55" s="720">
        <f ca="1">SUM(C55:Q55)</f>
        <v>1170.6363393950842</v>
      </c>
    </row>
    <row r="56" spans="1:18" ht="15.75" thickBot="1">
      <c r="A56" s="817" t="s">
        <v>913</v>
      </c>
      <c r="B56" s="830"/>
      <c r="C56" s="721">
        <f ca="1">SUM(C54:C55)</f>
        <v>605.26064408925436</v>
      </c>
      <c r="D56" s="721">
        <f t="shared" ref="D56:Q56" ca="1" si="7">SUM(D54:D55)</f>
        <v>0</v>
      </c>
      <c r="E56" s="721">
        <f t="shared" si="7"/>
        <v>679.33418936094222</v>
      </c>
      <c r="F56" s="721">
        <f t="shared" si="7"/>
        <v>0.96903557726833467</v>
      </c>
      <c r="G56" s="721">
        <f t="shared" si="7"/>
        <v>394.82493875808041</v>
      </c>
      <c r="H56" s="721">
        <f t="shared" si="7"/>
        <v>0</v>
      </c>
      <c r="I56" s="721">
        <f t="shared" si="7"/>
        <v>0</v>
      </c>
      <c r="J56" s="721">
        <f t="shared" si="7"/>
        <v>0</v>
      </c>
      <c r="K56" s="721">
        <f t="shared" si="7"/>
        <v>19.843675251500951</v>
      </c>
      <c r="L56" s="721">
        <f t="shared" si="7"/>
        <v>0</v>
      </c>
      <c r="M56" s="721">
        <f t="shared" si="7"/>
        <v>0</v>
      </c>
      <c r="N56" s="721">
        <f t="shared" si="7"/>
        <v>0</v>
      </c>
      <c r="O56" s="721">
        <f t="shared" si="7"/>
        <v>0</v>
      </c>
      <c r="P56" s="721">
        <f t="shared" si="7"/>
        <v>0</v>
      </c>
      <c r="Q56" s="722">
        <f t="shared" si="7"/>
        <v>0</v>
      </c>
      <c r="R56" s="723">
        <f ca="1">SUM(R54:R55)</f>
        <v>1700.2324830370464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14246.111895082729</v>
      </c>
      <c r="D61" s="729">
        <f t="shared" ref="D61:Q61" ca="1" si="8">D46+D52+D56</f>
        <v>0</v>
      </c>
      <c r="E61" s="729">
        <f t="shared" ca="1" si="8"/>
        <v>21706.87349533847</v>
      </c>
      <c r="F61" s="729">
        <f t="shared" si="8"/>
        <v>157.81075361223</v>
      </c>
      <c r="G61" s="729">
        <f t="shared" ca="1" si="8"/>
        <v>2181.9316876645617</v>
      </c>
      <c r="H61" s="729">
        <f t="shared" si="8"/>
        <v>18191.030925411287</v>
      </c>
      <c r="I61" s="729">
        <f t="shared" si="8"/>
        <v>1855.2600015117662</v>
      </c>
      <c r="J61" s="729">
        <f t="shared" si="8"/>
        <v>0</v>
      </c>
      <c r="K61" s="729">
        <f t="shared" si="8"/>
        <v>21.766514739397699</v>
      </c>
      <c r="L61" s="729">
        <f t="shared" si="8"/>
        <v>0</v>
      </c>
      <c r="M61" s="729">
        <f t="shared" ca="1" si="8"/>
        <v>0</v>
      </c>
      <c r="N61" s="729">
        <f t="shared" si="8"/>
        <v>0</v>
      </c>
      <c r="O61" s="729">
        <f t="shared" ca="1" si="8"/>
        <v>0</v>
      </c>
      <c r="P61" s="729">
        <f t="shared" si="8"/>
        <v>0</v>
      </c>
      <c r="Q61" s="729">
        <f t="shared" si="8"/>
        <v>0</v>
      </c>
      <c r="R61" s="729">
        <f ca="1">R46+R52+R56</f>
        <v>58360.785273360452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0.21678618085381074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1252.9922221145348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1252.9922221145348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1252.9922221145348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1252.9922221145348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29576.142126895869</v>
      </c>
      <c r="C4" s="461">
        <f>huishoudens!C8</f>
        <v>0</v>
      </c>
      <c r="D4" s="461">
        <f>huishoudens!D8</f>
        <v>67690.682774835572</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46.9</v>
      </c>
      <c r="P4" s="462">
        <f>huishoudens!P8</f>
        <v>57.2</v>
      </c>
      <c r="Q4" s="463">
        <f>SUM(B4:P4)</f>
        <v>97370.924901731429</v>
      </c>
    </row>
    <row r="5" spans="1:17">
      <c r="A5" s="460" t="s">
        <v>156</v>
      </c>
      <c r="B5" s="461">
        <f ca="1">tertiair!B16</f>
        <v>28696.805486620935</v>
      </c>
      <c r="C5" s="461">
        <f ca="1">tertiair!C16</f>
        <v>0</v>
      </c>
      <c r="D5" s="461">
        <f ca="1">tertiair!D16</f>
        <v>33833.649880773068</v>
      </c>
      <c r="E5" s="461">
        <f>tertiair!E16</f>
        <v>460.05308031377876</v>
      </c>
      <c r="F5" s="461">
        <f ca="1">tertiair!F16</f>
        <v>5573.4670343222315</v>
      </c>
      <c r="G5" s="461">
        <f>tertiair!G16</f>
        <v>0</v>
      </c>
      <c r="H5" s="461">
        <f>tertiair!H16</f>
        <v>0</v>
      </c>
      <c r="I5" s="461">
        <f>tertiair!I16</f>
        <v>0</v>
      </c>
      <c r="J5" s="461">
        <f>tertiair!J16</f>
        <v>0</v>
      </c>
      <c r="K5" s="461">
        <f>tertiair!K16</f>
        <v>0</v>
      </c>
      <c r="L5" s="461">
        <f ca="1">tertiair!L16</f>
        <v>0</v>
      </c>
      <c r="M5" s="461">
        <f>tertiair!M16</f>
        <v>0</v>
      </c>
      <c r="N5" s="461">
        <f ca="1">tertiair!N16</f>
        <v>1441.6965273845501</v>
      </c>
      <c r="O5" s="461">
        <f>tertiair!O16</f>
        <v>0</v>
      </c>
      <c r="P5" s="462">
        <f>tertiair!P16</f>
        <v>0</v>
      </c>
      <c r="Q5" s="460">
        <f t="shared" ref="Q5:Q14" ca="1" si="0">SUM(B5:P5)</f>
        <v>70005.672009414571</v>
      </c>
    </row>
    <row r="6" spans="1:17">
      <c r="A6" s="460" t="s">
        <v>194</v>
      </c>
      <c r="B6" s="461">
        <f>'openbare verlichting'!B8</f>
        <v>1548.925</v>
      </c>
      <c r="C6" s="461"/>
      <c r="D6" s="461"/>
      <c r="E6" s="461"/>
      <c r="F6" s="461"/>
      <c r="G6" s="461"/>
      <c r="H6" s="461"/>
      <c r="I6" s="461"/>
      <c r="J6" s="461"/>
      <c r="K6" s="461"/>
      <c r="L6" s="461"/>
      <c r="M6" s="461"/>
      <c r="N6" s="461"/>
      <c r="O6" s="461"/>
      <c r="P6" s="462"/>
      <c r="Q6" s="460">
        <f t="shared" si="0"/>
        <v>1548.925</v>
      </c>
    </row>
    <row r="7" spans="1:17">
      <c r="A7" s="460" t="s">
        <v>112</v>
      </c>
      <c r="B7" s="461">
        <f>landbouw!B8</f>
        <v>453.13965833165008</v>
      </c>
      <c r="C7" s="461">
        <f>landbouw!C8</f>
        <v>0</v>
      </c>
      <c r="D7" s="461">
        <f>landbouw!D8</f>
        <v>77.841970950462724</v>
      </c>
      <c r="E7" s="461">
        <f>landbouw!E8</f>
        <v>4.2688791950146898</v>
      </c>
      <c r="F7" s="461">
        <f>landbouw!F8</f>
        <v>1478.7450889815746</v>
      </c>
      <c r="G7" s="461">
        <f>landbouw!G8</f>
        <v>0</v>
      </c>
      <c r="H7" s="461">
        <f>landbouw!H8</f>
        <v>0</v>
      </c>
      <c r="I7" s="461">
        <f>landbouw!I8</f>
        <v>0</v>
      </c>
      <c r="J7" s="461">
        <f>landbouw!J8</f>
        <v>56.055579806499864</v>
      </c>
      <c r="K7" s="461">
        <f>landbouw!K8</f>
        <v>0</v>
      </c>
      <c r="L7" s="461">
        <f>landbouw!L8</f>
        <v>0</v>
      </c>
      <c r="M7" s="461">
        <f>landbouw!M8</f>
        <v>0</v>
      </c>
      <c r="N7" s="461">
        <f>landbouw!N8</f>
        <v>0</v>
      </c>
      <c r="O7" s="461">
        <f>landbouw!O8</f>
        <v>0</v>
      </c>
      <c r="P7" s="462">
        <f>landbouw!P8</f>
        <v>0</v>
      </c>
      <c r="Q7" s="460">
        <f t="shared" si="0"/>
        <v>2070.0511772652021</v>
      </c>
    </row>
    <row r="8" spans="1:17">
      <c r="A8" s="460" t="s">
        <v>685</v>
      </c>
      <c r="B8" s="461">
        <f>industrie!B18</f>
        <v>2316.7638301020861</v>
      </c>
      <c r="C8" s="461">
        <f>industrie!C18</f>
        <v>0</v>
      </c>
      <c r="D8" s="461">
        <f>industrie!D18</f>
        <v>2569.1617000367914</v>
      </c>
      <c r="E8" s="461">
        <f>industrie!E18</f>
        <v>17.375709867902827</v>
      </c>
      <c r="F8" s="461">
        <f>industrie!F18</f>
        <v>1119.8166694473598</v>
      </c>
      <c r="G8" s="461">
        <f>industrie!G18</f>
        <v>0</v>
      </c>
      <c r="H8" s="461">
        <f>industrie!H18</f>
        <v>0</v>
      </c>
      <c r="I8" s="461">
        <f>industrie!I18</f>
        <v>0</v>
      </c>
      <c r="J8" s="461">
        <f>industrie!J18</f>
        <v>5.4317499658100203</v>
      </c>
      <c r="K8" s="461">
        <f>industrie!K18</f>
        <v>0</v>
      </c>
      <c r="L8" s="461">
        <f>industrie!L18</f>
        <v>0</v>
      </c>
      <c r="M8" s="461">
        <f>industrie!M18</f>
        <v>0</v>
      </c>
      <c r="N8" s="461">
        <f>industrie!N18</f>
        <v>115.00149143785627</v>
      </c>
      <c r="O8" s="461">
        <f>industrie!O18</f>
        <v>0</v>
      </c>
      <c r="P8" s="462">
        <f>industrie!P18</f>
        <v>0</v>
      </c>
      <c r="Q8" s="460">
        <f t="shared" si="0"/>
        <v>6143.5511508578065</v>
      </c>
    </row>
    <row r="9" spans="1:17" s="466" customFormat="1">
      <c r="A9" s="464" t="s">
        <v>579</v>
      </c>
      <c r="B9" s="465">
        <f>transport!B14</f>
        <v>1.2522178622964444</v>
      </c>
      <c r="C9" s="465">
        <f>transport!C14</f>
        <v>0</v>
      </c>
      <c r="D9" s="465">
        <f>transport!D14</f>
        <v>3.2348818670738013</v>
      </c>
      <c r="E9" s="465">
        <f>transport!E14</f>
        <v>213.50388838643147</v>
      </c>
      <c r="F9" s="465">
        <f>transport!F14</f>
        <v>0</v>
      </c>
      <c r="G9" s="465">
        <f>transport!G14</f>
        <v>67958.135173532137</v>
      </c>
      <c r="H9" s="465">
        <f>transport!H14</f>
        <v>7450.8433795653264</v>
      </c>
      <c r="I9" s="465">
        <f>transport!I14</f>
        <v>0</v>
      </c>
      <c r="J9" s="465">
        <f>transport!J14</f>
        <v>0</v>
      </c>
      <c r="K9" s="465">
        <f>transport!K14</f>
        <v>0</v>
      </c>
      <c r="L9" s="465">
        <f>transport!L14</f>
        <v>0</v>
      </c>
      <c r="M9" s="465">
        <f>transport!M14</f>
        <v>3367.047153677122</v>
      </c>
      <c r="N9" s="465">
        <f>transport!N14</f>
        <v>0</v>
      </c>
      <c r="O9" s="465">
        <f>transport!O14</f>
        <v>0</v>
      </c>
      <c r="P9" s="465">
        <f>transport!P14</f>
        <v>0</v>
      </c>
      <c r="Q9" s="464">
        <f>SUM(B9:P9)</f>
        <v>78994.016694890379</v>
      </c>
    </row>
    <row r="10" spans="1:17">
      <c r="A10" s="460" t="s">
        <v>569</v>
      </c>
      <c r="B10" s="461">
        <f>transport!B54</f>
        <v>783.17773172287252</v>
      </c>
      <c r="C10" s="461">
        <f>transport!C54</f>
        <v>0</v>
      </c>
      <c r="D10" s="461">
        <f>transport!D54</f>
        <v>0</v>
      </c>
      <c r="E10" s="461">
        <f>transport!E54</f>
        <v>0</v>
      </c>
      <c r="F10" s="461">
        <f>transport!F54</f>
        <v>0</v>
      </c>
      <c r="G10" s="461">
        <f>transport!G54</f>
        <v>173.06679430039799</v>
      </c>
      <c r="H10" s="461">
        <f>transport!H54</f>
        <v>0</v>
      </c>
      <c r="I10" s="461">
        <f>transport!I54</f>
        <v>0</v>
      </c>
      <c r="J10" s="461">
        <f>transport!J54</f>
        <v>0</v>
      </c>
      <c r="K10" s="461">
        <f>transport!K54</f>
        <v>0</v>
      </c>
      <c r="L10" s="461">
        <f>transport!L54</f>
        <v>0</v>
      </c>
      <c r="M10" s="461">
        <f>transport!M54</f>
        <v>7.5996484292654829</v>
      </c>
      <c r="N10" s="461">
        <f>transport!N54</f>
        <v>0</v>
      </c>
      <c r="O10" s="461">
        <f>transport!O54</f>
        <v>0</v>
      </c>
      <c r="P10" s="462">
        <f>transport!P54</f>
        <v>0</v>
      </c>
      <c r="Q10" s="460">
        <f t="shared" si="0"/>
        <v>963.84417445253598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2338.83094470882</v>
      </c>
      <c r="C14" s="468"/>
      <c r="D14" s="468">
        <f>'SEAP template'!E25</f>
        <v>3285.1985704403401</v>
      </c>
      <c r="E14" s="468"/>
      <c r="F14" s="468"/>
      <c r="G14" s="468"/>
      <c r="H14" s="468"/>
      <c r="I14" s="468"/>
      <c r="J14" s="468"/>
      <c r="K14" s="468"/>
      <c r="L14" s="468"/>
      <c r="M14" s="468"/>
      <c r="N14" s="468"/>
      <c r="O14" s="468"/>
      <c r="P14" s="469"/>
      <c r="Q14" s="460">
        <f t="shared" si="0"/>
        <v>5624.02951514916</v>
      </c>
    </row>
    <row r="15" spans="1:17" s="473" customFormat="1">
      <c r="A15" s="470" t="s">
        <v>573</v>
      </c>
      <c r="B15" s="471">
        <f ca="1">SUM(B4:B14)</f>
        <v>65715.03699624454</v>
      </c>
      <c r="C15" s="471">
        <f t="shared" ref="C15:Q15" ca="1" si="1">SUM(C4:C14)</f>
        <v>0</v>
      </c>
      <c r="D15" s="471">
        <f t="shared" ca="1" si="1"/>
        <v>107459.7697789033</v>
      </c>
      <c r="E15" s="471">
        <f t="shared" si="1"/>
        <v>695.20155776312777</v>
      </c>
      <c r="F15" s="471">
        <f t="shared" ca="1" si="1"/>
        <v>8172.0287927511654</v>
      </c>
      <c r="G15" s="471">
        <f t="shared" si="1"/>
        <v>68131.20196783253</v>
      </c>
      <c r="H15" s="471">
        <f t="shared" si="1"/>
        <v>7450.8433795653264</v>
      </c>
      <c r="I15" s="471">
        <f t="shared" si="1"/>
        <v>0</v>
      </c>
      <c r="J15" s="471">
        <f t="shared" si="1"/>
        <v>61.487329772309884</v>
      </c>
      <c r="K15" s="471">
        <f t="shared" si="1"/>
        <v>0</v>
      </c>
      <c r="L15" s="471">
        <f t="shared" ca="1" si="1"/>
        <v>0</v>
      </c>
      <c r="M15" s="471">
        <f t="shared" si="1"/>
        <v>3374.6468021063874</v>
      </c>
      <c r="N15" s="471">
        <f t="shared" ca="1" si="1"/>
        <v>1556.6980188224063</v>
      </c>
      <c r="O15" s="471">
        <f t="shared" si="1"/>
        <v>46.9</v>
      </c>
      <c r="P15" s="471">
        <f t="shared" si="1"/>
        <v>57.2</v>
      </c>
      <c r="Q15" s="471">
        <f t="shared" ca="1" si="1"/>
        <v>262721.01462376112</v>
      </c>
    </row>
    <row r="17" spans="1:17">
      <c r="A17" s="474" t="s">
        <v>574</v>
      </c>
      <c r="B17" s="778">
        <f ca="1">huishoudens!B10</f>
        <v>0.21678618085381074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6411.6988960792587</v>
      </c>
      <c r="C22" s="461">
        <f t="shared" ref="C22:C32" ca="1" si="3">C4*$C$17</f>
        <v>0</v>
      </c>
      <c r="D22" s="461">
        <f t="shared" ref="D22:D32" si="4">D4*$D$17</f>
        <v>13673.517920516786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20085.216816596047</v>
      </c>
    </row>
    <row r="23" spans="1:17">
      <c r="A23" s="460" t="s">
        <v>156</v>
      </c>
      <c r="B23" s="461">
        <f t="shared" ca="1" si="2"/>
        <v>6221.0708641492347</v>
      </c>
      <c r="C23" s="461">
        <f t="shared" ca="1" si="3"/>
        <v>0</v>
      </c>
      <c r="D23" s="461">
        <f t="shared" ca="1" si="4"/>
        <v>6834.3972759161597</v>
      </c>
      <c r="E23" s="461">
        <f t="shared" si="5"/>
        <v>104.43204923122778</v>
      </c>
      <c r="F23" s="461">
        <f t="shared" ca="1" si="6"/>
        <v>1488.1156981640358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14648.015887460657</v>
      </c>
    </row>
    <row r="24" spans="1:17">
      <c r="A24" s="460" t="s">
        <v>194</v>
      </c>
      <c r="B24" s="461">
        <f t="shared" ca="1" si="2"/>
        <v>335.78553517898877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335.78553517898877</v>
      </c>
    </row>
    <row r="25" spans="1:17">
      <c r="A25" s="460" t="s">
        <v>112</v>
      </c>
      <c r="B25" s="461">
        <f t="shared" ca="1" si="2"/>
        <v>98.234415923119101</v>
      </c>
      <c r="C25" s="461">
        <f t="shared" ca="1" si="3"/>
        <v>0</v>
      </c>
      <c r="D25" s="461">
        <f t="shared" si="4"/>
        <v>15.724078131993471</v>
      </c>
      <c r="E25" s="461">
        <f t="shared" si="5"/>
        <v>0.96903557726833467</v>
      </c>
      <c r="F25" s="461">
        <f t="shared" si="6"/>
        <v>394.82493875808041</v>
      </c>
      <c r="G25" s="461">
        <f t="shared" si="7"/>
        <v>0</v>
      </c>
      <c r="H25" s="461">
        <f t="shared" si="8"/>
        <v>0</v>
      </c>
      <c r="I25" s="461">
        <f t="shared" si="9"/>
        <v>0</v>
      </c>
      <c r="J25" s="461">
        <f t="shared" si="10"/>
        <v>19.843675251500951</v>
      </c>
      <c r="K25" s="461">
        <f t="shared" si="11"/>
        <v>0</v>
      </c>
      <c r="L25" s="461">
        <f t="shared" si="12"/>
        <v>0</v>
      </c>
      <c r="M25" s="461">
        <f t="shared" si="13"/>
        <v>0</v>
      </c>
      <c r="N25" s="461">
        <f t="shared" si="14"/>
        <v>0</v>
      </c>
      <c r="O25" s="461">
        <f t="shared" si="15"/>
        <v>0</v>
      </c>
      <c r="P25" s="462">
        <f t="shared" si="16"/>
        <v>0</v>
      </c>
      <c r="Q25" s="460">
        <f t="shared" ca="1" si="17"/>
        <v>529.59614364196227</v>
      </c>
    </row>
    <row r="26" spans="1:17">
      <c r="A26" s="460" t="s">
        <v>685</v>
      </c>
      <c r="B26" s="461">
        <f t="shared" ca="1" si="2"/>
        <v>502.24238266807811</v>
      </c>
      <c r="C26" s="461">
        <f t="shared" ca="1" si="3"/>
        <v>0</v>
      </c>
      <c r="D26" s="461">
        <f t="shared" si="4"/>
        <v>518.97066340743186</v>
      </c>
      <c r="E26" s="461">
        <f t="shared" si="5"/>
        <v>3.9442861400139422</v>
      </c>
      <c r="F26" s="461">
        <f t="shared" si="6"/>
        <v>298.99105074244511</v>
      </c>
      <c r="G26" s="461">
        <f t="shared" si="7"/>
        <v>0</v>
      </c>
      <c r="H26" s="461">
        <f t="shared" si="8"/>
        <v>0</v>
      </c>
      <c r="I26" s="461">
        <f t="shared" si="9"/>
        <v>0</v>
      </c>
      <c r="J26" s="461">
        <f t="shared" si="10"/>
        <v>1.9228394878967472</v>
      </c>
      <c r="K26" s="461">
        <f t="shared" si="11"/>
        <v>0</v>
      </c>
      <c r="L26" s="461">
        <f t="shared" si="12"/>
        <v>0</v>
      </c>
      <c r="M26" s="461">
        <f t="shared" si="13"/>
        <v>0</v>
      </c>
      <c r="N26" s="461">
        <f t="shared" si="14"/>
        <v>0</v>
      </c>
      <c r="O26" s="461">
        <f t="shared" si="15"/>
        <v>0</v>
      </c>
      <c r="P26" s="462">
        <f t="shared" si="16"/>
        <v>0</v>
      </c>
      <c r="Q26" s="460">
        <f t="shared" ca="1" si="17"/>
        <v>1326.0712224458657</v>
      </c>
    </row>
    <row r="27" spans="1:17" s="466" customFormat="1">
      <c r="A27" s="464" t="s">
        <v>579</v>
      </c>
      <c r="B27" s="772">
        <f t="shared" ca="1" si="2"/>
        <v>0.27146352796416928</v>
      </c>
      <c r="C27" s="465">
        <f t="shared" ca="1" si="3"/>
        <v>0</v>
      </c>
      <c r="D27" s="465">
        <f t="shared" si="4"/>
        <v>0.65344613714890787</v>
      </c>
      <c r="E27" s="465">
        <f t="shared" si="5"/>
        <v>48.465382663719943</v>
      </c>
      <c r="F27" s="465">
        <f t="shared" si="6"/>
        <v>0</v>
      </c>
      <c r="G27" s="465">
        <f t="shared" si="7"/>
        <v>18144.822091333081</v>
      </c>
      <c r="H27" s="465">
        <f t="shared" si="8"/>
        <v>1855.2600015117662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20049.472385173682</v>
      </c>
    </row>
    <row r="28" spans="1:17">
      <c r="A28" s="460" t="s">
        <v>569</v>
      </c>
      <c r="B28" s="461">
        <f t="shared" ca="1" si="2"/>
        <v>169.7821093899519</v>
      </c>
      <c r="C28" s="461">
        <f t="shared" ca="1" si="3"/>
        <v>0</v>
      </c>
      <c r="D28" s="461">
        <f t="shared" si="4"/>
        <v>0</v>
      </c>
      <c r="E28" s="461">
        <f t="shared" si="5"/>
        <v>0</v>
      </c>
      <c r="F28" s="461">
        <f t="shared" si="6"/>
        <v>0</v>
      </c>
      <c r="G28" s="461">
        <f t="shared" si="7"/>
        <v>46.208834078206266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215.99094346815815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507.0262281661353</v>
      </c>
      <c r="C32" s="461">
        <f t="shared" ca="1" si="3"/>
        <v>0</v>
      </c>
      <c r="D32" s="461">
        <f t="shared" si="4"/>
        <v>663.61011122894877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1170.6363393950842</v>
      </c>
    </row>
    <row r="33" spans="1:17" s="473" customFormat="1">
      <c r="A33" s="470" t="s">
        <v>573</v>
      </c>
      <c r="B33" s="471">
        <f ca="1">SUM(B22:B32)</f>
        <v>14246.111895082733</v>
      </c>
      <c r="C33" s="471">
        <f t="shared" ref="C33:Q33" ca="1" si="18">SUM(C22:C32)</f>
        <v>0</v>
      </c>
      <c r="D33" s="471">
        <f t="shared" ca="1" si="18"/>
        <v>21706.873495338466</v>
      </c>
      <c r="E33" s="471">
        <f t="shared" si="18"/>
        <v>157.81075361223</v>
      </c>
      <c r="F33" s="471">
        <f t="shared" ca="1" si="18"/>
        <v>2181.9316876645612</v>
      </c>
      <c r="G33" s="471">
        <f t="shared" si="18"/>
        <v>18191.030925411287</v>
      </c>
      <c r="H33" s="471">
        <f t="shared" si="18"/>
        <v>1855.2600015117662</v>
      </c>
      <c r="I33" s="471">
        <f t="shared" si="18"/>
        <v>0</v>
      </c>
      <c r="J33" s="471">
        <f t="shared" si="18"/>
        <v>21.766514739397699</v>
      </c>
      <c r="K33" s="471">
        <f t="shared" si="18"/>
        <v>0</v>
      </c>
      <c r="L33" s="471">
        <f t="shared" ca="1" si="18"/>
        <v>0</v>
      </c>
      <c r="M33" s="471">
        <f t="shared" si="18"/>
        <v>0</v>
      </c>
      <c r="N33" s="471">
        <f t="shared" ca="1" si="18"/>
        <v>0</v>
      </c>
      <c r="O33" s="471">
        <f t="shared" si="18"/>
        <v>0</v>
      </c>
      <c r="P33" s="471">
        <f t="shared" si="18"/>
        <v>0</v>
      </c>
      <c r="Q33" s="471">
        <f t="shared" ca="1" si="18"/>
        <v>58360.785273360445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1252.9922221145348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1252.9922221145348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0.21678618085381074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0.21678618085381074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2019-06-29T16:13:31Z</dcterms:modified>
</cp:coreProperties>
</file>