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<sst xmlns="http://schemas.openxmlformats.org/spreadsheetml/2006/main" count="2492" uniqueCount="953">
  <si>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</si>
  <si>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</si>
  <si>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</si>
  <si>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</si>
  <si>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</si>
  <si>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</si>
  <si>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</si>
  <si>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</si>
  <si>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</si>
  <si>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</si>
  <si>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</si>
  <si>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</si>
  <si>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</si>
  <si>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</si>
  <si>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</si>
  <si>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</si>
  <si>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</si>
  <si>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</si>
  <si>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</si>
  <si>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</si>
  <si>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</si>
  <si>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</si>
  <si>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</si>
  <si>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</si>
  <si>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</si>
  <si>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</si>
  <si>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</si>
  <si>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</si>
  <si>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</si>
  <si>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</si>
  <si>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</si>
  <si>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</si>
  <si>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</si>
  <si>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</si>
  <si>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</si>
  <si>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</si>
  <si>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</si>
  <si>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</si>
  <si>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</si>
  <si>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</si>
  <si>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</si>
  <si>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</si>
  <si>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</si>
  <si>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</si>
  <si>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</si>
  <si>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</si>
  <si>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</si>
  <si>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</si>
  <si>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</si>
  <si>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</si>
  <si>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</si>
  <si>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</si>
  <si>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</si>
  <si>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</si>
  <si>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</si>
  <si>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</si>
  <si>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</si>
  <si>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</si>
  <si>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</si>
  <si>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</si>
  <si>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</si>
  <si>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</si>
  <si>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</si>
  <si>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</si>
  <si>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</si>
  <si>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</si>
  <si>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</si>
  <si>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</si>
  <si>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</si>
  <si>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</si>
  <si>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</si>
  <si>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</si>
  <si>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</si>
  <si>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</si>
  <si>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</si>
  <si>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</si>
  <si>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</si>
  <si>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</si>
  <si>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</si>
  <si>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</si>
  <si>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</si>
  <si>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</si>
  <si>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</si>
  <si>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</si>
  <si>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</si>
  <si>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</si>
  <si>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</si>
  <si>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</si>
  <si>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</si>
  <si>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</si>
  <si>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</si>
  <si>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</si>
  <si>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</si>
  <si>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</si>
  <si>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</si>
  <si>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</si>
  <si>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</si>
  <si>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</si>
  <si>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</si>
  <si>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</si>
  <si>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</si>
  <si>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</si>
  <si>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</si>
  <si>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</si>
  <si>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</si>
  <si>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</si>
  <si>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</si>
  <si>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</si>
  <si>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</si>
  <si>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</si>
  <si>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</si>
  <si>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</si>
  <si>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</si>
  <si>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</si>
  <si>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</si>
  <si>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</si>
  <si>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</si>
  <si>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</si>
  <si>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</si>
  <si>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</si>
  <si>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</si>
  <si>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</si>
  <si>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</si>
  <si>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</si>
  <si>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</si>
  <si>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</si>
  <si>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</si>
  <si>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</si>
  <si>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</si>
  <si>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</si>
  <si>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</si>
  <si>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</si>
  <si>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</si>
  <si>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</si>
  <si>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</si>
  <si>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</si>
  <si>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</si>
  <si>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</si>
  <si>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</si>
  <si>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</si>
  <si>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</si>
  <si>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</si>
  <si>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</si>
  <si>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</si>
  <si>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</si>
  <si>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</si>
  <si>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</si>
  <si>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</si>
  <si>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</si>
  <si>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</si>
  <si>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</si>
  <si>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</si>
  <si>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</si>
  <si>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</si>
  <si>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</si>
  <si>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</si>
  <si>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</si>
  <si>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</si>
  <si>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</si>
  <si>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</si>
  <si>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</si>
  <si>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</si>
  <si>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</si>
  <si>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</si>
  <si>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</si>
  <si>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</si>
  <si>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</si>
  <si>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</si>
  <si>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</si>
  <si>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</si>
  <si>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</si>
  <si>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</si>
  <si>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</si>
  <si>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</si>
  <si>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</si>
  <si>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</si>
  <si>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</si>
  <si>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</si>
  <si>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</si>
  <si>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</si>
  <si>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</si>
  <si>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</si>
  <si>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</si>
  <si>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</si>
  <si>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</si>
  <si>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</si>
  <si>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</si>
  <si>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</si>
  <si>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</si>
  <si>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</si>
  <si>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</si>
  <si>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</si>
  <si>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</si>
  <si>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</si>
  <si>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</si>
  <si>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</si>
  <si>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</si>
  <si>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</si>
  <si>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</si>
  <si>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</si>
  <si>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</si>
  <si>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</si>
  <si>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</si>
  <si>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</si>
  <si>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</si>
  <si>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</si>
  <si>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</si>
  <si>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</si>
  <si>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</si>
  <si>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</si>
  <si>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</si>
  <si>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</si>
  <si>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</si>
  <si>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</si>
  <si>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</si>
  <si>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</si>
  <si>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</si>
  <si>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</si>
  <si>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</si>
  <si>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</si>
  <si>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</si>
  <si>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</si>
  <si>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</si>
  <si>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</si>
  <si>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</si>
  <si>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</si>
  <si>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</si>
  <si>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</si>
  <si>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</si>
  <si>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</si>
  <si>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</si>
  <si>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</si>
  <si>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</si>
  <si>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</si>
  <si>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</si>
  <si>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</si>
  <si>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</si>
  <si>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</si>
  <si>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</si>
  <si>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</si>
  <si>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</si>
  <si>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</si>
  <si>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</si>
  <si>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</si>
  <si>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</si>
  <si>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</si>
  <si>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</si>
  <si>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</si>
  <si>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</si>
  <si>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</si>
  <si>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</si>
  <si>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</si>
  <si>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</si>
  <si>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</si>
  <si>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</si>
  <si>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</si>
  <si>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</si>
  <si>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</si>
  <si>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</si>
  <si>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</si>
  <si>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</si>
  <si>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</si>
  <si>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</si>
  <si>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</si>
  <si>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</si>
  <si>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</si>
  <si>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</si>
  <si>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</si>
  <si>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</si>
  <si>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</si>
  <si>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</si>
  <si>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</si>
  <si>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</si>
  <si>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</si>
  <si>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</si>
  <si>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</si>
  <si>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</si>
  <si>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</si>
  <si>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</si>
  <si>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</si>
  <si>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</si>
  <si>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</si>
  <si>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</si>
  <si>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</si>
  <si>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</si>
  <si>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</si>
  <si>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</si>
  <si>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</si>
  <si>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</si>
  <si>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</si>
  <si>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</si>
  <si>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</si>
  <si>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</si>
  <si>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</si>
  <si>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</si>
  <si>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</si>
  <si>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</si>
  <si>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</si>
  <si>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</si>
  <si>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</si>
  <si>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</si>
  <si>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</si>
  <si>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</si>
  <si>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</si>
  <si>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</si>
  <si>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</si>
  <si>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</si>
  <si>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</si>
  <si>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</si>
  <si>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</si>
  <si>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</si>
  <si>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</si>
  <si>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</si>
  <si>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</si>
  <si>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</si>
  <si>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</si>
  <si>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</si>
  <si>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</si>
  <si>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</si>
  <si>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</si>
  <si>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</si>
  <si>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</si>
  <si>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</si>
  <si>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</si>
  <si>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</si>
  <si>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</si>
  <si>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</si>
  <si>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</si>
  <si>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</si>
  <si>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</si>
  <si>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</si>
  <si>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</si>
  <si>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</si>
  <si>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</si>
  <si>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</si>
  <si>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</si>
  <si>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</si>
  <si>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</si>
  <si>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</si>
  <si>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</si>
  <si>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</si>
  <si>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</si>
  <si>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</si>
  <si>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</si>
  <si>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</si>
  <si>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</si>
  <si>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</si>
  <si>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</si>
  <si>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</si>
  <si>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</si>
  <si>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</si>
  <si>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</si>
  <si>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</si>
  <si>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</si>
  <si>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</si>
  <si>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</si>
  <si>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</si>
  <si>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</si>
  <si>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</si>
  <si>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</si>
  <si>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</si>
  <si>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</si>
  <si>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</si>
  <si>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</si>
  <si>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</si>
  <si>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</si>
  <si>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</si>
  <si>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</si>
  <si>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</si>
  <si>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</si>
  <si>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</si>
  <si>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</si>
  <si>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</si>
  <si>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</si>
  <si>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</si>
  <si>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</si>
  <si>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</si>
  <si>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</si>
  <si>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</si>
  <si>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</si>
  <si>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</si>
  <si>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</si>
  <si>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</si>
  <si>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</si>
  <si>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</si>
  <si>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</si>
  <si>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</si>
  <si>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</si>
  <si>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</si>
  <si>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</si>
  <si>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</si>
  <si>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</si>
  <si>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</si>
  <si>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</si>
  <si>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</si>
  <si>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</si>
  <si>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</si>
  <si>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</si>
  <si>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</si>
  <si>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</si>
  <si>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</si>
  <si>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</si>
  <si>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</si>
  <si>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</si>
  <si>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</si>
  <si>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</si>
  <si>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</si>
  <si>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</si>
  <si>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</si>
  <si>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</si>
  <si>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</si>
  <si>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</si>
  <si>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</si>
  <si>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</si>
  <si>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</si>
  <si>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</si>
  <si>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</si>
  <si>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</si>
  <si>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</si>
  <si>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</si>
  <si>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</si>
  <si>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</si>
  <si>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</si>
  <si>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</si>
  <si>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</si>
  <si>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</si>
  <si>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</si>
  <si>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</si>
  <si>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</si>
  <si>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</si>
  <si>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</si>
  <si>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</si>
  <si>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</si>
  <si>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</si>
  <si>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</si>
  <si>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</si>
  <si>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</si>
  <si>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</si>
  <si>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</si>
  <si>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</si>
  <si>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</si>
  <si>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</si>
  <si>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</si>
  <si>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</si>
  <si>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</si>
  <si>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</si>
  <si>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</si>
  <si>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</si>
  <si>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</si>
  <si>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</si>
  <si>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</si>
  <si>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</si>
  <si>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</si>
  <si>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</si>
  <si>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</si>
  <si>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</si>
  <si>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</si>
  <si>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</si>
  <si>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</si>
  <si>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</si>
  <si>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</si>
  <si>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</si>
  <si>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</si>
  <si>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</si>
  <si>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</si>
  <si>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</si>
  <si>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</si>
  <si>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</si>
  <si>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</si>
  <si>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</si>
  <si>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</si>
  <si>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</si>
  <si>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</si>
  <si>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</si>
  <si>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</si>
  <si>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</si>
  <si>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</si>
  <si>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</si>
  <si>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</si>
  <si>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</si>
  <si>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</si>
  <si>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</si>
  <si>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</si>
  <si>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</si>
  <si>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</si>
  <si>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</si>
  <si>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</si>
  <si>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</si>
  <si>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</si>
  <si>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</si>
  <si>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</si>
  <si>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</si>
  <si>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</si>
  <si>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</si>
  <si>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</si>
  <si>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</si>
  <si>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</si>
  <si>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</si>
  <si>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</si>
  <si>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</si>
  <si>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</si>
  <si>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</si>
  <si>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</si>
  <si>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</si>
  <si>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</si>
  <si>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</si>
  <si>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</si>
  <si>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</si>
  <si>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</si>
  <si>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</si>
  <si>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</si>
  <si>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</si>
  <si>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</si>
  <si>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</si>
  <si>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</si>
  <si>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</si>
  <si>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</si>
  <si>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</si>
  <si>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</si>
  <si>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</si>
  <si>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</si>
  <si>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</si>
  <si>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</si>
  <si>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</si>
  <si>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</si>
  <si>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</si>
  <si>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</si>
  <si>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</si>
  <si>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</si>
  <si>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</si>
  <si>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</si>
  <si>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</si>
  <si>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</si>
  <si>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</si>
  <si>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</si>
  <si>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</si>
  <si>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</si>
  <si>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</si>
  <si>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</si>
  <si>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</si>
  <si>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</si>
  <si>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</si>
  <si>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</si>
  <si>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</si>
  <si>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</si>
  <si>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</si>
  <si>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</si>
  <si>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</si>
  <si>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</si>
  <si>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</si>
  <si>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</si>
  <si>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</si>
  <si>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</si>
  <si>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</si>
  <si>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</si>
  <si>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</si>
  <si>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</si>
  <si>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</si>
  <si>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</si>
  <si>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</si>
  <si>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</si>
  <si>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</si>
  <si>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</si>
  <si>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</si>
  <si>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</si>
  <si>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</si>
  <si>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</si>
  <si>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</si>
  <si>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</si>
  <si>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</si>
  <si>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</si>
  <si>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</si>
  <si>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</si>
  <si>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</si>
  <si>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</si>
  <si>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</si>
  <si>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</si>
  <si>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</si>
  <si>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</si>
  <si>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</si>
  <si>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</si>
  <si>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</si>
  <si>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</si>
  <si>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</si>
  <si>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</si>
  <si>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</si>
  <si>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</si>
  <si>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</si>
  <si>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</si>
  <si>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</si>
  <si>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</si>
  <si>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</si>
  <si>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</si>
  <si>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</si>
  <si>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</si>
  <si>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</si>
  <si>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</si>
  <si>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</si>
  <si>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</si>
  <si>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</si>
  <si>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</si>
  <si>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</si>
  <si>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</si>
  <si>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</si>
  <si>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</si>
  <si>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</si>
  <si>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</si>
  <si>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</si>
  <si>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</si>
  <si>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</si>
  <si>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</si>
  <si>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</si>
  <si>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</si>
  <si>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</si>
  <si>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</si>
  <si>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</si>
  <si>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</si>
  <si>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</si>
  <si>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</si>
  <si>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</si>
  <si>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</si>
  <si>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</si>
  <si>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</si>
  <si>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</si>
  <si>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</si>
  <si>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</si>
  <si>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</si>
  <si>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</si>
  <si>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</si>
  <si>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</si>
  <si>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</si>
  <si>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</si>
  <si>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</si>
  <si>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</si>
  <si>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</si>
  <si>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</si>
  <si>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</si>
  <si>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</si>
  <si>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</si>
  <si>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</si>
  <si>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</si>
  <si>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</si>
  <si>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</si>
  <si>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</si>
  <si>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</si>
  <si>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</si>
  <si>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</si>
  <si>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</si>
  <si>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</si>
  <si>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</si>
  <si>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</si>
  <si>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</si>
  <si>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</si>
  <si>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</si>
  <si>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</si>
  <si>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</si>
  <si>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</si>
  <si>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</si>
  <si>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</si>
  <si>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</si>
  <si>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</si>
  <si>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</si>
  <si>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</si>
  <si>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</si>
  <si>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</si>
  <si>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</si>
  <si>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</si>
  <si>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</si>
  <si>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</si>
  <si>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</si>
  <si>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</si>
  <si>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</si>
  <si>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</si>
  <si>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</si>
  <si>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</si>
  <si>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</si>
  <si>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</si>
  <si>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</si>
  <si>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</si>
  <si>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</si>
  <si>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</si>
  <si>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</si>
  <si>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</si>
  <si>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</si>
  <si>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</si>
  <si>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</si>
  <si>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</si>
  <si>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</si>
  <si>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</si>
  <si>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</si>
  <si>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</si>
  <si>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</si>
  <si>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</si>
  <si>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</si>
  <si>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</si>
  <si>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</si>
  <si>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</si>
  <si>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</si>
  <si>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</si>
  <si>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</si>
  <si>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</si>
  <si>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</si>
  <si>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</si>
  <si>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</si>
  <si>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</si>
  <si>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</si>
  <si>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</si>
  <si>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</si>
  <si>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</si>
  <si>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</si>
  <si>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</si>
  <si>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</si>
  <si>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</si>
  <si>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</si>
  <si>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</si>
  <si>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</si>
  <si>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</si>
  <si>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</si>
  <si>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</si>
  <si>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</si>
  <si>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</si>
  <si>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</si>
  <si>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</si>
  <si>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</si>
  <si>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</si>
  <si>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</si>
  <si>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</si>
  <si>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</si>
  <si>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</si>
  <si>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</si>
  <si>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</si>
  <si>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</si>
  <si>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</si>
  <si>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</si>
  <si>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</si>
  <si>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</si>
  <si>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</si>
  <si>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</si>
  <si>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</si>
  <si>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</si>
  <si>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</si>
  <si>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</si>
  <si>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</si>
  <si>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</si>
  <si>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</si>
  <si>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</si>
  <si>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</si>
  <si>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</si>
  <si>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</si>
  <si>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</si>
  <si>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</si>
  <si>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</si>
  <si>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</si>
  <si>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</si>
  <si>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</si>
  <si>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</si>
  <si>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</si>
  <si>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</si>
  <si>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</si>
  <si>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</si>
  <si>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</si>
  <si>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</si>
  <si>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</si>
  <si>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</si>
  <si>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</si>
  <si>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</si>
  <si>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</si>
  <si>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</si>
  <si>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</si>
  <si>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</si>
  <si>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</si>
  <si>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</si>
  <si>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</si>
  <si>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</si>
  <si>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</si>
  <si>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</si>
  <si>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</si>
  <si>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</si>
  <si>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</si>
  <si>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</si>
  <si>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</si>
  <si>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</si>
  <si>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</si>
  <si>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</si>
  <si>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</si>
  <si>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</si>
  <si>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</si>
  <si>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</si>
  <si>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</si>
  <si>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</si>
  <si>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</si>
  <si>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</si>
  <si>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</si>
  <si>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</si>
  <si>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</si>
  <si>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</si>
  <si>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</si>
  <si>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</si>
  <si>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</si>
  <si>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</si>
  <si>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</si>
  <si>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</si>
  <si>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</si>
  <si>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</si>
  <si>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</si>
  <si>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</si>
  <si>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</si>
  <si>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</si>
  <si>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</si>
  <si>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</si>
  <si>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</si>
  <si>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</si>
  <si>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</si>
  <si>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</si>
  <si>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</si>
  <si>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</si>
  <si>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</si>
  <si>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</si>
  <si>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</si>
  <si>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</si>
  <si>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</si>
  <si>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</si>
  <si>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</si>
  <si>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</si>
  <si>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</si>
  <si>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</si>
  <si>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</si>
  <si>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</si>
  <si>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</si>
  <si>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</si>
  <si>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</si>
  <si>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</si>
  <si>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</si>
  <si>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</si>
  <si>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</si>
  <si>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</si>
  <si>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</si>
  <si>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</si>
  <si>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</si>
  <si>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</si>
  <si>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</si>
  <si>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</si>
  <si>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</si>
  <si>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</si>
  <si>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</si>
  <si>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</si>
  <si>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</si>
  <si>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</si>
  <si>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</si>
  <si>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</si>
  <si>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</si>
  <si>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</si>
  <si>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</si>
  <si>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</si>
  <si>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</si>
  <si>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</si>
  <si>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</si>
  <si>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</si>
  <si>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</si>
  <si>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</si>
  <si>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</si>
  <si>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</si>
  <si>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</si>
  <si>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</si>
  <si>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</si>
  <si>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</si>
  <si>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</si>
  <si>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</si>
  <si>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</si>
  <si>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</si>
  <si>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</si>
  <si>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</si>
  <si>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</si>
  <si>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</si>
  <si>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</si>
  <si>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</si>
  <si>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</si>
  <si>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</si>
  <si>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</si>
  <si>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</si>
  <si>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</si>
  <si>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</si>
  <si>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</si>
  <si>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</si>
  <si>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</si>
  <si>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</si>
  <si>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</si>
  <si>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</si>
  <si>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</si>
  <si>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</si>
  <si>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</si>
  <si>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</si>
  <si>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</si>
  <si>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</si>
  <si>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</si>
  <si>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</si>
  <si>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</si>
  <si>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</si>
  <si>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</si>
  <si>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</si>
  <si>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</si>
  <si>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</si>
  <si>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</si>
  <si>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</si>
  <si>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</si>
  <si>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</si>
  <si>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</si>
  <si>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</si>
  <si>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</si>
  <si>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</si>
  <si>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</si>
  <si>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</si>
  <si>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</si>
  <si>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</si>
  <si>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</si>
  <si>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</si>
  <si>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</si>
  <si>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</si>
  <si>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</si>
  <si>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</si>
  <si>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</si>
  <si>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</si>
  <si>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</si>
  <si>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</si>
  <si>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</si>
  <si>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</si>
  <si>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</si>
  <si>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</si>
  <si>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</si>
  <si>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</si>
  <si>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</si>
  <si>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</si>
  <si>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</si>
  <si>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</si>
  <si>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</si>
  <si>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</si>
  <si>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</si>
  <si>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</si>
  <si>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</si>
  <si>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</si>
  <si>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36012</t>
  </si>
  <si>
    <t>MOORSLEDE</t>
  </si>
  <si>
    <t>Paarden&amp;pony's 200 - 600 kg</t>
  </si>
  <si>
    <t>Paarden&amp;pony's &lt; 200 kg</t>
  </si>
  <si>
    <t>op basis van VEA (maart 2018) en Inventaris Hernieuwbare Energiebronnen (juni 2018)</t>
  </si>
  <si>
    <t>VEA (juni 2018)</t>
  </si>
  <si>
    <t>Agrikracht nv</t>
  </si>
  <si>
    <t>Dulle-Grietlaan 17/9, 9050 Gentbrugge</t>
  </si>
  <si>
    <t>WKK-0324 Agrikracht</t>
  </si>
  <si>
    <t>interne verbrandingsmotor</t>
  </si>
  <si>
    <t>WKK interne verbrandinsgmotor (gas)</t>
  </si>
  <si>
    <t>Breulstraat 122 A, 8890 Moorslede</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</si>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</sst>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36012</v>
      </c>
      <c r="B6" s="397"/>
      <c r="C6" s="398"/>
    </row>
    <row r="7" spans="1:7" s="395" customFormat="1" ht="15.75" customHeight="1">
      <c r="A7" s="399" t="str">
        <f>txtMunicipality</f>
        <v>MOORSLEDE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0.18546080273091883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0.18546080273091883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36012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4447</v>
      </c>
      <c r="C9" s="338">
        <v>4751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2533</v>
      </c>
    </row>
    <row r="15" spans="1:6">
      <c r="A15" s="1286" t="s">
        <v>184</v>
      </c>
      <c r="B15" s="335">
        <v>22</v>
      </c>
    </row>
    <row r="16" spans="1:6">
      <c r="A16" s="1286" t="s">
        <v>6</v>
      </c>
      <c r="B16" s="335">
        <v>581</v>
      </c>
    </row>
    <row r="17" spans="1:6">
      <c r="A17" s="1286" t="s">
        <v>7</v>
      </c>
      <c r="B17" s="335">
        <v>652</v>
      </c>
    </row>
    <row r="18" spans="1:6">
      <c r="A18" s="1286" t="s">
        <v>8</v>
      </c>
      <c r="B18" s="335">
        <v>880</v>
      </c>
    </row>
    <row r="19" spans="1:6">
      <c r="A19" s="1286" t="s">
        <v>9</v>
      </c>
      <c r="B19" s="335">
        <v>904</v>
      </c>
    </row>
    <row r="20" spans="1:6">
      <c r="A20" s="1286" t="s">
        <v>10</v>
      </c>
      <c r="B20" s="335">
        <v>557</v>
      </c>
    </row>
    <row r="21" spans="1:6">
      <c r="A21" s="1286" t="s">
        <v>11</v>
      </c>
      <c r="B21" s="335">
        <v>8826</v>
      </c>
    </row>
    <row r="22" spans="1:6">
      <c r="A22" s="1286" t="s">
        <v>12</v>
      </c>
      <c r="B22" s="335">
        <v>27008</v>
      </c>
    </row>
    <row r="23" spans="1:6">
      <c r="A23" s="1286" t="s">
        <v>13</v>
      </c>
      <c r="B23" s="335">
        <v>512</v>
      </c>
    </row>
    <row r="24" spans="1:6">
      <c r="A24" s="1286" t="s">
        <v>14</v>
      </c>
      <c r="B24" s="335">
        <v>19</v>
      </c>
    </row>
    <row r="25" spans="1:6">
      <c r="A25" s="1286" t="s">
        <v>15</v>
      </c>
      <c r="B25" s="335">
        <v>2638</v>
      </c>
    </row>
    <row r="26" spans="1:6">
      <c r="A26" s="1286" t="s">
        <v>16</v>
      </c>
      <c r="B26" s="335">
        <v>143</v>
      </c>
    </row>
    <row r="27" spans="1:6">
      <c r="A27" s="1286" t="s">
        <v>17</v>
      </c>
      <c r="B27" s="335">
        <v>9</v>
      </c>
    </row>
    <row r="28" spans="1:6" s="341" customFormat="1">
      <c r="A28" s="1287" t="s">
        <v>18</v>
      </c>
      <c r="B28" s="1287">
        <v>80205</v>
      </c>
    </row>
    <row r="29" spans="1:6">
      <c r="A29" s="1287" t="s">
        <v>942</v>
      </c>
      <c r="B29" s="1287">
        <v>177</v>
      </c>
      <c r="C29" s="341"/>
      <c r="D29" s="341"/>
      <c r="E29" s="341"/>
      <c r="F29" s="341"/>
    </row>
    <row r="30" spans="1:6">
      <c r="A30" s="1282" t="s">
        <v>943</v>
      </c>
      <c r="B30" s="1282">
        <v>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56723.3099005279</v>
      </c>
    </row>
    <row r="39" spans="1:6">
      <c r="A39" s="1286" t="s">
        <v>30</v>
      </c>
      <c r="B39" s="1286" t="s">
        <v>31</v>
      </c>
      <c r="C39" s="335">
        <v>2781</v>
      </c>
      <c r="D39" s="335">
        <v>46809431.179958902</v>
      </c>
      <c r="E39" s="335">
        <v>4118</v>
      </c>
      <c r="F39" s="335">
        <v>16614779.5661384</v>
      </c>
    </row>
    <row r="40" spans="1:6">
      <c r="A40" s="1286" t="s">
        <v>30</v>
      </c>
      <c r="B40" s="1286" t="s">
        <v>29</v>
      </c>
      <c r="C40" s="335">
        <v>0</v>
      </c>
      <c r="D40" s="335">
        <v>0</v>
      </c>
      <c r="E40" s="335">
        <v>0</v>
      </c>
      <c r="F40" s="335">
        <v>0</v>
      </c>
    </row>
    <row r="41" spans="1:6">
      <c r="A41" s="1286" t="s">
        <v>32</v>
      </c>
      <c r="B41" s="1286" t="s">
        <v>33</v>
      </c>
      <c r="C41" s="335">
        <v>59</v>
      </c>
      <c r="D41" s="335">
        <v>1246951.74980447</v>
      </c>
      <c r="E41" s="335">
        <v>107</v>
      </c>
      <c r="F41" s="335">
        <v>2276631.8900213302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7</v>
      </c>
      <c r="D44" s="335">
        <v>545747.248188389</v>
      </c>
      <c r="E44" s="335">
        <v>23</v>
      </c>
      <c r="F44" s="335">
        <v>1395846.38790501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121311.949484667</v>
      </c>
      <c r="E47" s="335">
        <v>3</v>
      </c>
      <c r="F47" s="335">
        <v>57649.4365319832</v>
      </c>
    </row>
    <row r="48" spans="1:6">
      <c r="A48" s="1286" t="s">
        <v>32</v>
      </c>
      <c r="B48" s="1286" t="s">
        <v>29</v>
      </c>
      <c r="C48" s="335">
        <v>21</v>
      </c>
      <c r="D48" s="335">
        <v>14163879.102565801</v>
      </c>
      <c r="E48" s="335">
        <v>32</v>
      </c>
      <c r="F48" s="335">
        <v>14574065.454321301</v>
      </c>
    </row>
    <row r="49" spans="1:6">
      <c r="A49" s="1286" t="s">
        <v>32</v>
      </c>
      <c r="B49" s="1286" t="s">
        <v>40</v>
      </c>
      <c r="C49" s="335">
        <v>0</v>
      </c>
      <c r="D49" s="335">
        <v>0</v>
      </c>
      <c r="E49" s="335">
        <v>4</v>
      </c>
      <c r="F49" s="335">
        <v>279589.77084922302</v>
      </c>
    </row>
    <row r="50" spans="1:6">
      <c r="A50" s="1286" t="s">
        <v>32</v>
      </c>
      <c r="B50" s="1286" t="s">
        <v>41</v>
      </c>
      <c r="C50" s="335">
        <v>4</v>
      </c>
      <c r="D50" s="335">
        <v>279015.568728021</v>
      </c>
      <c r="E50" s="335">
        <v>6</v>
      </c>
      <c r="F50" s="335">
        <v>158287.690465305</v>
      </c>
    </row>
    <row r="51" spans="1:6">
      <c r="A51" s="1286" t="s">
        <v>42</v>
      </c>
      <c r="B51" s="1286" t="s">
        <v>43</v>
      </c>
      <c r="C51" s="335">
        <v>7</v>
      </c>
      <c r="D51" s="335">
        <v>157627.944535182</v>
      </c>
      <c r="E51" s="335">
        <v>133</v>
      </c>
      <c r="F51" s="335">
        <v>2319874.35278296</v>
      </c>
    </row>
    <row r="52" spans="1:6">
      <c r="A52" s="1286" t="s">
        <v>42</v>
      </c>
      <c r="B52" s="1286" t="s">
        <v>29</v>
      </c>
      <c r="C52" s="335">
        <v>3</v>
      </c>
      <c r="D52" s="335">
        <v>52764.135161113998</v>
      </c>
      <c r="E52" s="335">
        <v>7</v>
      </c>
      <c r="F52" s="335">
        <v>177594.744725414</v>
      </c>
    </row>
    <row r="53" spans="1:6">
      <c r="A53" s="1286" t="s">
        <v>44</v>
      </c>
      <c r="B53" s="1286" t="s">
        <v>45</v>
      </c>
      <c r="C53" s="335">
        <v>86</v>
      </c>
      <c r="D53" s="335">
        <v>2052770.7851335299</v>
      </c>
      <c r="E53" s="335">
        <v>122</v>
      </c>
      <c r="F53" s="335">
        <v>635925.31075278902</v>
      </c>
    </row>
    <row r="54" spans="1:6">
      <c r="A54" s="1286" t="s">
        <v>46</v>
      </c>
      <c r="B54" s="1286" t="s">
        <v>47</v>
      </c>
      <c r="C54" s="335">
        <v>0</v>
      </c>
      <c r="D54" s="335">
        <v>0</v>
      </c>
      <c r="E54" s="335">
        <v>1</v>
      </c>
      <c r="F54" s="335">
        <v>1054136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23</v>
      </c>
      <c r="D57" s="335">
        <v>729271.35203422199</v>
      </c>
      <c r="E57" s="335">
        <v>62</v>
      </c>
      <c r="F57" s="335">
        <v>1080803.2879214899</v>
      </c>
    </row>
    <row r="58" spans="1:6">
      <c r="A58" s="1286" t="s">
        <v>49</v>
      </c>
      <c r="B58" s="1286" t="s">
        <v>51</v>
      </c>
      <c r="C58" s="335">
        <v>8</v>
      </c>
      <c r="D58" s="335">
        <v>545233.90649859398</v>
      </c>
      <c r="E58" s="335">
        <v>14</v>
      </c>
      <c r="F58" s="335">
        <v>696578.88842124003</v>
      </c>
    </row>
    <row r="59" spans="1:6">
      <c r="A59" s="1286" t="s">
        <v>49</v>
      </c>
      <c r="B59" s="1286" t="s">
        <v>52</v>
      </c>
      <c r="C59" s="335">
        <v>59</v>
      </c>
      <c r="D59" s="335">
        <v>2211174.6577160498</v>
      </c>
      <c r="E59" s="335">
        <v>139</v>
      </c>
      <c r="F59" s="335">
        <v>3497389.5286445301</v>
      </c>
    </row>
    <row r="60" spans="1:6">
      <c r="A60" s="1286" t="s">
        <v>49</v>
      </c>
      <c r="B60" s="1286" t="s">
        <v>53</v>
      </c>
      <c r="C60" s="335">
        <v>37</v>
      </c>
      <c r="D60" s="335">
        <v>1639261.2881833501</v>
      </c>
      <c r="E60" s="335">
        <v>53</v>
      </c>
      <c r="F60" s="335">
        <v>1029930.39865011</v>
      </c>
    </row>
    <row r="61" spans="1:6">
      <c r="A61" s="1286" t="s">
        <v>49</v>
      </c>
      <c r="B61" s="1286" t="s">
        <v>54</v>
      </c>
      <c r="C61" s="335">
        <v>68</v>
      </c>
      <c r="D61" s="335">
        <v>2999399.3339703698</v>
      </c>
      <c r="E61" s="335">
        <v>106</v>
      </c>
      <c r="F61" s="335">
        <v>1179966.4067549501</v>
      </c>
    </row>
    <row r="62" spans="1:6">
      <c r="A62" s="1286" t="s">
        <v>49</v>
      </c>
      <c r="B62" s="1286" t="s">
        <v>55</v>
      </c>
      <c r="C62" s="335">
        <v>4</v>
      </c>
      <c r="D62" s="335">
        <v>127036.552453329</v>
      </c>
      <c r="E62" s="335">
        <v>5</v>
      </c>
      <c r="F62" s="335">
        <v>84114.923619848807</v>
      </c>
    </row>
    <row r="63" spans="1:6">
      <c r="A63" s="1286" t="s">
        <v>49</v>
      </c>
      <c r="B63" s="1286" t="s">
        <v>29</v>
      </c>
      <c r="C63" s="335">
        <v>83</v>
      </c>
      <c r="D63" s="335">
        <v>7674969.32821541</v>
      </c>
      <c r="E63" s="335">
        <v>98</v>
      </c>
      <c r="F63" s="335">
        <v>7440571.7322280603</v>
      </c>
    </row>
    <row r="64" spans="1:6">
      <c r="A64" s="1286" t="s">
        <v>56</v>
      </c>
      <c r="B64" s="1286" t="s">
        <v>57</v>
      </c>
      <c r="C64" s="335">
        <v>0</v>
      </c>
      <c r="D64" s="335">
        <v>0</v>
      </c>
      <c r="E64" s="335">
        <v>0</v>
      </c>
      <c r="F64" s="335">
        <v>0</v>
      </c>
    </row>
    <row r="65" spans="1:6">
      <c r="A65" s="1286" t="s">
        <v>56</v>
      </c>
      <c r="B65" s="1286" t="s">
        <v>29</v>
      </c>
      <c r="C65" s="335">
        <v>2</v>
      </c>
      <c r="D65" s="335">
        <v>20599.992558268001</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9</v>
      </c>
      <c r="D68" s="335">
        <v>422490.125657439</v>
      </c>
      <c r="E68" s="335">
        <v>23</v>
      </c>
      <c r="F68" s="335">
        <v>337081.26656671101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7784126</v>
      </c>
      <c r="E73" s="335">
        <v>7331429.4879234172</v>
      </c>
    </row>
    <row r="74" spans="1:6">
      <c r="A74" s="1286" t="s">
        <v>64</v>
      </c>
      <c r="B74" s="1286" t="s">
        <v>772</v>
      </c>
      <c r="C74" s="1297" t="s">
        <v>766</v>
      </c>
      <c r="D74" s="335">
        <v>582758.44511757931</v>
      </c>
      <c r="E74" s="335">
        <v>574898.83952039108</v>
      </c>
    </row>
    <row r="75" spans="1:6">
      <c r="A75" s="1286" t="s">
        <v>65</v>
      </c>
      <c r="B75" s="1286" t="s">
        <v>771</v>
      </c>
      <c r="C75" s="1297" t="s">
        <v>767</v>
      </c>
      <c r="D75" s="335">
        <v>28604675</v>
      </c>
      <c r="E75" s="335">
        <v>27261487.205510322</v>
      </c>
    </row>
    <row r="76" spans="1:6">
      <c r="A76" s="1286" t="s">
        <v>65</v>
      </c>
      <c r="B76" s="1286" t="s">
        <v>772</v>
      </c>
      <c r="C76" s="1297" t="s">
        <v>768</v>
      </c>
      <c r="D76" s="335">
        <v>1669902.4451175793</v>
      </c>
      <c r="E76" s="335">
        <v>1686733.164862527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357567.1097648415</v>
      </c>
      <c r="C83" s="335">
        <v>337489.12159926997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2492.2603634560151</v>
      </c>
    </row>
    <row r="92" spans="1:6">
      <c r="A92" s="1282" t="s">
        <v>69</v>
      </c>
      <c r="B92" s="338">
        <v>1069.8198706304493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1963</v>
      </c>
    </row>
    <row r="98" spans="1:6">
      <c r="A98" s="1286" t="s">
        <v>72</v>
      </c>
      <c r="B98" s="335">
        <v>1</v>
      </c>
    </row>
    <row r="99" spans="1:6">
      <c r="A99" s="1286" t="s">
        <v>73</v>
      </c>
      <c r="B99" s="335">
        <v>148</v>
      </c>
    </row>
    <row r="100" spans="1:6">
      <c r="A100" s="1286" t="s">
        <v>74</v>
      </c>
      <c r="B100" s="335">
        <v>286</v>
      </c>
    </row>
    <row r="101" spans="1:6">
      <c r="A101" s="1286" t="s">
        <v>75</v>
      </c>
      <c r="B101" s="335">
        <v>126</v>
      </c>
    </row>
    <row r="102" spans="1:6">
      <c r="A102" s="1286" t="s">
        <v>76</v>
      </c>
      <c r="B102" s="335">
        <v>69</v>
      </c>
    </row>
    <row r="103" spans="1:6">
      <c r="A103" s="1286" t="s">
        <v>77</v>
      </c>
      <c r="B103" s="335">
        <v>139</v>
      </c>
    </row>
    <row r="104" spans="1:6">
      <c r="A104" s="1286" t="s">
        <v>78</v>
      </c>
      <c r="B104" s="335">
        <v>1292</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48</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63733.761755606196</v>
      </c>
      <c r="C3" s="44" t="s">
        <v>170</v>
      </c>
      <c r="D3" s="44"/>
      <c r="E3" s="157"/>
      <c r="F3" s="44"/>
      <c r="G3" s="44"/>
      <c r="H3" s="44"/>
      <c r="I3" s="44"/>
      <c r="J3" s="44"/>
      <c r="K3" s="97"/>
    </row>
    <row r="4" spans="1:11">
      <c r="A4" s="365" t="s">
        <v>171</v>
      </c>
      <c r="B4" s="50">
        <f>IF(ISERROR('SEAP template'!B78),0,'SEAP template'!B78)</f>
        <v>10249.080234086465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0.18546080273091883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9552.8571428571431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1054.136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1054.136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0.18546080273091883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195.50090874755986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16614.779566138401</v>
      </c>
      <c r="C5" s="18">
        <f>IF(ISERROR('Eigen informatie GS &amp; warmtenet'!B57),0,'Eigen informatie GS &amp; warmtenet'!B57)</f>
        <v>0</v>
      </c>
      <c r="D5" s="31">
        <f>(SUM(HH_hh_gas_kWh,HH_rest_gas_kWh)/1000)*0.902</f>
        <v>42222.106924322936</v>
      </c>
      <c r="E5" s="18">
        <f>B46*B57</f>
        <v>6097.6375857477624</v>
      </c>
      <c r="F5" s="18">
        <f>B51*B62</f>
        <v>10971.427688180289</v>
      </c>
      <c r="G5" s="19"/>
      <c r="H5" s="18"/>
      <c r="I5" s="18"/>
      <c r="J5" s="18">
        <f>B50*B61+C50*C61</f>
        <v>1805.0614765903765</v>
      </c>
      <c r="K5" s="18"/>
      <c r="L5" s="18"/>
      <c r="M5" s="18"/>
      <c r="N5" s="18">
        <f>B48*B59+C48*C59</f>
        <v>16858.746200976006</v>
      </c>
      <c r="O5" s="18">
        <f>B69*B70*B71</f>
        <v>76.603333333333339</v>
      </c>
      <c r="P5" s="18">
        <f>B77*B78*B79/1000-B77*B78*B79/1000/B80</f>
        <v>114.4</v>
      </c>
    </row>
    <row r="6" spans="1:16">
      <c r="A6" s="17" t="s">
        <v>639</v>
      </c>
      <c r="B6" s="780">
        <f>kWh_PV_kleiner_dan_10kW</f>
        <v>2492.2603634560151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19107.039929594415</v>
      </c>
      <c r="C8" s="22">
        <f>C5</f>
        <v>0</v>
      </c>
      <c r="D8" s="22">
        <f>D5</f>
        <v>42222.106924322936</v>
      </c>
      <c r="E8" s="22">
        <f>E5</f>
        <v>6097.6375857477624</v>
      </c>
      <c r="F8" s="22">
        <f>F5</f>
        <v>10971.427688180289</v>
      </c>
      <c r="G8" s="22"/>
      <c r="H8" s="22"/>
      <c r="I8" s="22"/>
      <c r="J8" s="22">
        <f>J5</f>
        <v>1805.0614765903765</v>
      </c>
      <c r="K8" s="22"/>
      <c r="L8" s="22">
        <f>L5</f>
        <v>0</v>
      </c>
      <c r="M8" s="22">
        <f>M5</f>
        <v>0</v>
      </c>
      <c r="N8" s="22">
        <f>N5</f>
        <v>16858.746200976006</v>
      </c>
      <c r="O8" s="22">
        <f>O5</f>
        <v>76.603333333333339</v>
      </c>
      <c r="P8" s="22">
        <f>P5</f>
        <v>114.4</v>
      </c>
    </row>
    <row r="9" spans="1:16">
      <c r="B9" s="20"/>
      <c r="C9" s="20"/>
      <c r="D9" s="262"/>
      <c r="E9" s="20"/>
      <c r="F9" s="20"/>
      <c r="G9" s="20"/>
      <c r="H9" s="20"/>
      <c r="I9" s="20"/>
      <c r="J9" s="20"/>
      <c r="K9" s="20"/>
      <c r="L9" s="20"/>
      <c r="M9" s="20"/>
      <c r="N9" s="20"/>
      <c r="O9" s="20"/>
      <c r="P9" s="20"/>
    </row>
    <row r="10" spans="1:16">
      <c r="A10" s="25" t="s">
        <v>214</v>
      </c>
      <c r="B10" s="26">
        <f ca="1">'EF ele_warmte'!B12</f>
        <v>0.18546080273091883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3543.6069631542991</v>
      </c>
      <c r="C12" s="24">
        <f ca="1">C10*C8</f>
        <v>0</v>
      </c>
      <c r="D12" s="24">
        <f>D8*D10</f>
        <v>8528.8655987132333</v>
      </c>
      <c r="E12" s="24">
        <f>E10*E8</f>
        <v>1384.1637319647421</v>
      </c>
      <c r="F12" s="24">
        <f>F10*F8</f>
        <v>2929.3711927441373</v>
      </c>
      <c r="G12" s="24"/>
      <c r="H12" s="24"/>
      <c r="I12" s="24"/>
      <c r="J12" s="24">
        <f>J10*J8</f>
        <v>638.99176271299325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1963</v>
      </c>
      <c r="C18" s="169" t="s">
        <v>111</v>
      </c>
      <c r="D18" s="231"/>
      <c r="E18" s="16"/>
    </row>
    <row r="19" spans="1:7">
      <c r="A19" s="174" t="s">
        <v>72</v>
      </c>
      <c r="B19" s="38">
        <f>aantalw2001_ander</f>
        <v>1</v>
      </c>
      <c r="C19" s="169" t="s">
        <v>111</v>
      </c>
      <c r="D19" s="232"/>
      <c r="E19" s="16"/>
    </row>
    <row r="20" spans="1:7">
      <c r="A20" s="174" t="s">
        <v>73</v>
      </c>
      <c r="B20" s="38">
        <f>aantalw2001_propaan</f>
        <v>148</v>
      </c>
      <c r="C20" s="170">
        <f>IF(ISERROR(B20/SUM($B$20,$B$21,$B$22)*100),0,B20/SUM($B$20,$B$21,$B$22)*100)</f>
        <v>26.428571428571431</v>
      </c>
      <c r="D20" s="232"/>
      <c r="E20" s="16"/>
    </row>
    <row r="21" spans="1:7">
      <c r="A21" s="174" t="s">
        <v>74</v>
      </c>
      <c r="B21" s="38">
        <f>aantalw2001_elektriciteit</f>
        <v>286</v>
      </c>
      <c r="C21" s="170">
        <f>IF(ISERROR(B21/SUM($B$20,$B$21,$B$22)*100),0,B21/SUM($B$20,$B$21,$B$22)*100)</f>
        <v>51.071428571428569</v>
      </c>
      <c r="D21" s="232"/>
      <c r="E21" s="16"/>
    </row>
    <row r="22" spans="1:7">
      <c r="A22" s="174" t="s">
        <v>75</v>
      </c>
      <c r="B22" s="38">
        <f>aantalw2001_hout</f>
        <v>126</v>
      </c>
      <c r="C22" s="170">
        <f>IF(ISERROR(B22/SUM($B$20,$B$21,$B$22)*100),0,B22/SUM($B$20,$B$21,$B$22)*100)</f>
        <v>22.5</v>
      </c>
      <c r="D22" s="232"/>
      <c r="E22" s="16"/>
    </row>
    <row r="23" spans="1:7">
      <c r="A23" s="174" t="s">
        <v>76</v>
      </c>
      <c r="B23" s="38">
        <f>aantalw2001_niet_gespec</f>
        <v>69</v>
      </c>
      <c r="C23" s="169" t="s">
        <v>111</v>
      </c>
      <c r="D23" s="231"/>
      <c r="E23" s="16"/>
    </row>
    <row r="24" spans="1:7">
      <c r="A24" s="174" t="s">
        <v>77</v>
      </c>
      <c r="B24" s="38">
        <f>aantalw2001_steenkool</f>
        <v>139</v>
      </c>
      <c r="C24" s="169" t="s">
        <v>111</v>
      </c>
      <c r="D24" s="232"/>
      <c r="E24" s="16"/>
    </row>
    <row r="25" spans="1:7">
      <c r="A25" s="174" t="s">
        <v>78</v>
      </c>
      <c r="B25" s="38">
        <f>aantalw2001_stookolie</f>
        <v>1292</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4447</v>
      </c>
      <c r="C28" s="37"/>
      <c r="D28" s="231"/>
    </row>
    <row r="29" spans="1:7" s="16" customFormat="1">
      <c r="A29" s="233" t="s">
        <v>666</v>
      </c>
      <c r="B29" s="38">
        <f>SUM(HH_hh_gas_aantal,HH_rest_gas_aantal)</f>
        <v>2781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2781</v>
      </c>
      <c r="C32" s="170">
        <f>IF(ISERROR(B32/SUM($B$32,$B$34,$B$35,$B$36,$B$38,$B$39)*100),0,B32/SUM($B$32,$B$34,$B$35,$B$36,$B$38,$B$39)*100)</f>
        <v>62.621031299256927</v>
      </c>
      <c r="D32" s="236"/>
      <c r="G32" s="16"/>
    </row>
    <row r="33" spans="1:7">
      <c r="A33" s="174" t="s">
        <v>72</v>
      </c>
      <c r="B33" s="35" t="s">
        <v>111</v>
      </c>
      <c r="C33" s="170"/>
      <c r="D33" s="236"/>
      <c r="G33" s="16"/>
    </row>
    <row r="34" spans="1:7">
      <c r="A34" s="174" t="s">
        <v>73</v>
      </c>
      <c r="B34" s="34">
        <f>IF((($B$28-$B$32-$B$39-$B$77-$B$38)*C20/100)&lt;0,0,($B$28-$B$32-$B$39-$B$77-$B$38)*C20/100)</f>
        <v>276.70714285714286</v>
      </c>
      <c r="C34" s="170">
        <f>IF(ISERROR(B34/SUM($B$32,$B$34,$B$35,$B$36,$B$38,$B$39)*100),0,B34/SUM($B$32,$B$34,$B$35,$B$36,$B$38,$B$39)*100)</f>
        <v>6.2307395374272208</v>
      </c>
      <c r="D34" s="236"/>
      <c r="G34" s="16"/>
    </row>
    <row r="35" spans="1:7">
      <c r="A35" s="174" t="s">
        <v>74</v>
      </c>
      <c r="B35" s="34">
        <f>IF((($B$28-$B$32-$B$39-$B$77-$B$38)*C21/100)&lt;0,0,($B$28-$B$32-$B$39-$B$77-$B$38)*C21/100)</f>
        <v>534.71785714285716</v>
      </c>
      <c r="C35" s="170">
        <f>IF(ISERROR(B35/SUM($B$32,$B$34,$B$35,$B$36,$B$38,$B$39)*100),0,B35/SUM($B$32,$B$34,$B$35,$B$36,$B$38,$B$39)*100)</f>
        <v>12.040483160163411</v>
      </c>
      <c r="D35" s="236"/>
      <c r="G35" s="16"/>
    </row>
    <row r="36" spans="1:7">
      <c r="A36" s="174" t="s">
        <v>75</v>
      </c>
      <c r="B36" s="34">
        <f>IF((($B$28-$B$32-$B$39-$B$77-$B$38)*C22/100)&lt;0,0,($B$28-$B$32-$B$39-$B$77-$B$38)*C22/100)</f>
        <v>235.57499999999999</v>
      </c>
      <c r="C36" s="170">
        <f>IF(ISERROR(B36/SUM($B$32,$B$34,$B$35,$B$36,$B$38,$B$39)*100),0,B36/SUM($B$32,$B$34,$B$35,$B$36,$B$38,$B$39)*100)</f>
        <v>5.3045485251069575</v>
      </c>
      <c r="D36" s="236"/>
      <c r="G36" s="16"/>
    </row>
    <row r="37" spans="1:7">
      <c r="A37" s="174" t="s">
        <v>76</v>
      </c>
      <c r="B37" s="35" t="s">
        <v>111</v>
      </c>
      <c r="C37" s="170"/>
      <c r="D37" s="176"/>
      <c r="G37" s="16"/>
    </row>
    <row r="38" spans="1:7">
      <c r="A38" s="174" t="s">
        <v>77</v>
      </c>
      <c r="B38" s="34">
        <f>IF((B24-(B29-B18)*0.1)&lt;0,0,B24-(B29-B18)*0.1)</f>
        <v>57.199999999999989</v>
      </c>
      <c r="C38" s="170">
        <f>IF(ISERROR(B38/SUM($B$32,$B$34,$B$35,$B$36,$B$38,$B$39)*100),0,B38/SUM($B$32,$B$34,$B$35,$B$36,$B$38,$B$39)*100)</f>
        <v>1.2879981986039177</v>
      </c>
      <c r="D38" s="237"/>
      <c r="G38" s="16"/>
    </row>
    <row r="39" spans="1:7">
      <c r="A39" s="174" t="s">
        <v>78</v>
      </c>
      <c r="B39" s="34">
        <f>IF((B25-(B29-B18))&lt;0,0,B25-(B29-B18)*0.9)</f>
        <v>555.79999999999995</v>
      </c>
      <c r="C39" s="170">
        <f>IF(ISERROR(B39/SUM($B$32,$B$34,$B$35,$B$36,$B$38,$B$39)*100),0,B39/SUM($B$32,$B$34,$B$35,$B$36,$B$38,$B$39)*100)</f>
        <v>12.515199279441566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2781</v>
      </c>
      <c r="C44" s="35" t="s">
        <v>111</v>
      </c>
      <c r="D44" s="177"/>
    </row>
    <row r="45" spans="1:7">
      <c r="A45" s="174" t="s">
        <v>72</v>
      </c>
      <c r="B45" s="34" t="str">
        <f t="shared" si="0"/>
        <v>-</v>
      </c>
      <c r="C45" s="35" t="s">
        <v>111</v>
      </c>
      <c r="D45" s="177"/>
    </row>
    <row r="46" spans="1:7">
      <c r="A46" s="174" t="s">
        <v>73</v>
      </c>
      <c r="B46" s="34">
        <f t="shared" si="0"/>
        <v>276.70714285714286</v>
      </c>
      <c r="C46" s="35" t="s">
        <v>111</v>
      </c>
      <c r="D46" s="177"/>
    </row>
    <row r="47" spans="1:7">
      <c r="A47" s="174" t="s">
        <v>74</v>
      </c>
      <c r="B47" s="34">
        <f t="shared" si="0"/>
        <v>534.71785714285716</v>
      </c>
      <c r="C47" s="35" t="s">
        <v>111</v>
      </c>
      <c r="D47" s="177"/>
    </row>
    <row r="48" spans="1:7">
      <c r="A48" s="174" t="s">
        <v>75</v>
      </c>
      <c r="B48" s="34">
        <f t="shared" si="0"/>
        <v>235.57499999999999</v>
      </c>
      <c r="C48" s="34">
        <f>B48*10</f>
        <v>2355.75</v>
      </c>
      <c r="D48" s="237"/>
    </row>
    <row r="49" spans="1:6">
      <c r="A49" s="174" t="s">
        <v>76</v>
      </c>
      <c r="B49" s="34" t="str">
        <f t="shared" si="0"/>
        <v>-</v>
      </c>
      <c r="C49" s="35" t="s">
        <v>111</v>
      </c>
      <c r="D49" s="237"/>
    </row>
    <row r="50" spans="1:6">
      <c r="A50" s="174" t="s">
        <v>77</v>
      </c>
      <c r="B50" s="34">
        <f t="shared" si="0"/>
        <v>57.199999999999989</v>
      </c>
      <c r="C50" s="34">
        <f>B50*2</f>
        <v>114.39999999999998</v>
      </c>
      <c r="D50" s="237"/>
    </row>
    <row r="51" spans="1:6">
      <c r="A51" s="174" t="s">
        <v>78</v>
      </c>
      <c r="B51" s="34">
        <f t="shared" si="0"/>
        <v>555.79999999999995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15009.355166240228</v>
      </c>
      <c r="C5" s="18">
        <f>IF(ISERROR('Eigen informatie GS &amp; warmtenet'!B58),0,'Eigen informatie GS &amp; warmtenet'!B58)</f>
        <v>0</v>
      </c>
      <c r="D5" s="31">
        <f>SUM(D6:D12)</f>
        <v>14365.564470002337</v>
      </c>
      <c r="E5" s="18">
        <f>SUM(E6:E12)</f>
        <v>148.08965964021618</v>
      </c>
      <c r="F5" s="18">
        <f>SUM(F6:F12)</f>
        <v>3159.6065481666465</v>
      </c>
      <c r="G5" s="19"/>
      <c r="H5" s="18"/>
      <c r="I5" s="18"/>
      <c r="J5" s="18">
        <f>SUM(J6:J12)</f>
        <v>0</v>
      </c>
      <c r="K5" s="18"/>
      <c r="L5" s="18"/>
      <c r="M5" s="18"/>
      <c r="N5" s="18">
        <f>SUM(N6:N12)</f>
        <v>1136.8834392835793</v>
      </c>
      <c r="O5" s="18">
        <f>B38*B39*B40</f>
        <v>0</v>
      </c>
      <c r="P5" s="18">
        <f>B46*B47*B48/1000-B46*B47*B48/1000/B49</f>
        <v>0</v>
      </c>
      <c r="R5" s="33"/>
    </row>
    <row r="6" spans="1:18">
      <c r="A6" s="33" t="s">
        <v>54</v>
      </c>
      <c r="B6" s="38">
        <f>B26</f>
        <v>1179.96640675495</v>
      </c>
      <c r="C6" s="34"/>
      <c r="D6" s="38">
        <f>IF(ISERROR(TER_kantoor_gas_kWh/1000),0,TER_kantoor_gas_kWh/1000)*0.902</f>
        <v>2705.4581992412736</v>
      </c>
      <c r="E6" s="34">
        <f>$C$26*'E Balans VL '!I12/100/3.6*1000000</f>
        <v>1.936564024178129</v>
      </c>
      <c r="F6" s="34">
        <f>$C$26*('E Balans VL '!L12+'E Balans VL '!N12)/100/3.6*1000000</f>
        <v>139.09027625452023</v>
      </c>
      <c r="G6" s="35"/>
      <c r="H6" s="34"/>
      <c r="I6" s="34"/>
      <c r="J6" s="34">
        <f>$C$26*('E Balans VL '!D12+'E Balans VL '!E12)/100/3.6*1000000</f>
        <v>0</v>
      </c>
      <c r="K6" s="34"/>
      <c r="L6" s="34"/>
      <c r="M6" s="34"/>
      <c r="N6" s="34">
        <f>$C$26*'E Balans VL '!Y12/100/3.6*1000000</f>
        <v>0.2384066248864595</v>
      </c>
      <c r="O6" s="34"/>
      <c r="P6" s="34"/>
      <c r="R6" s="33"/>
    </row>
    <row r="7" spans="1:18">
      <c r="A7" s="33" t="s">
        <v>53</v>
      </c>
      <c r="B7" s="38">
        <f t="shared" ref="B7:B12" si="0">B27</f>
        <v>1029.93039865011</v>
      </c>
      <c r="C7" s="34"/>
      <c r="D7" s="38">
        <f>IF(ISERROR(TER_horeca_gas_kWh/1000),0,TER_horeca_gas_kWh/1000)*0.902</f>
        <v>1478.6136819413819</v>
      </c>
      <c r="E7" s="34">
        <f>$C$27*'E Balans VL '!I9/100/3.6*1000000</f>
        <v>53.445934954093474</v>
      </c>
      <c r="F7" s="34">
        <f>$C$27*('E Balans VL '!L9+'E Balans VL '!N9)/100/3.6*1000000</f>
        <v>235.03086429315621</v>
      </c>
      <c r="G7" s="35"/>
      <c r="H7" s="34"/>
      <c r="I7" s="34"/>
      <c r="J7" s="34">
        <f>$C$27*('E Balans VL '!D9+'E Balans VL '!E9)/100/3.6*1000000</f>
        <v>0</v>
      </c>
      <c r="K7" s="34"/>
      <c r="L7" s="34"/>
      <c r="M7" s="34"/>
      <c r="N7" s="34">
        <f>$C$27*'E Balans VL '!Y9/100/3.6*1000000</f>
        <v>0.10876017811125492</v>
      </c>
      <c r="O7" s="34"/>
      <c r="P7" s="34"/>
      <c r="R7" s="33"/>
    </row>
    <row r="8" spans="1:18">
      <c r="A8" s="6" t="s">
        <v>52</v>
      </c>
      <c r="B8" s="38">
        <f t="shared" si="0"/>
        <v>3497.3895286445299</v>
      </c>
      <c r="C8" s="34"/>
      <c r="D8" s="38">
        <f>IF(ISERROR(TER_handel_gas_kWh/1000),0,TER_handel_gas_kWh/1000)*0.902</f>
        <v>1994.4795412598769</v>
      </c>
      <c r="E8" s="34">
        <f>$C$28*'E Balans VL '!I13/100/3.6*1000000</f>
        <v>18.833872383802539</v>
      </c>
      <c r="F8" s="34">
        <f>$C$28*('E Balans VL '!L13+'E Balans VL '!N13)/100/3.6*1000000</f>
        <v>713.22165794649709</v>
      </c>
      <c r="G8" s="35"/>
      <c r="H8" s="34"/>
      <c r="I8" s="34"/>
      <c r="J8" s="34">
        <f>$C$28*('E Balans VL '!D13+'E Balans VL '!E13)/100/3.6*1000000</f>
        <v>0</v>
      </c>
      <c r="K8" s="34"/>
      <c r="L8" s="34"/>
      <c r="M8" s="34"/>
      <c r="N8" s="34">
        <f>$C$28*'E Balans VL '!Y13/100/3.6*1000000</f>
        <v>17.390671207454464</v>
      </c>
      <c r="O8" s="34"/>
      <c r="P8" s="34"/>
      <c r="R8" s="33"/>
    </row>
    <row r="9" spans="1:18">
      <c r="A9" s="33" t="s">
        <v>51</v>
      </c>
      <c r="B9" s="38">
        <f t="shared" si="0"/>
        <v>696.57888842123998</v>
      </c>
      <c r="C9" s="34"/>
      <c r="D9" s="38">
        <f>IF(ISERROR(TER_gezond_gas_kWh/1000),0,TER_gezond_gas_kWh/1000)*0.902</f>
        <v>491.80098366173183</v>
      </c>
      <c r="E9" s="34">
        <f>$C$29*'E Balans VL '!I10/100/3.6*1000000</f>
        <v>0.69031759988778407</v>
      </c>
      <c r="F9" s="34">
        <f>$C$29*('E Balans VL '!L10+'E Balans VL '!N10)/100/3.6*1000000</f>
        <v>241.69279616599556</v>
      </c>
      <c r="G9" s="35"/>
      <c r="H9" s="34"/>
      <c r="I9" s="34"/>
      <c r="J9" s="34">
        <f>$C$29*('E Balans VL '!D10+'E Balans VL '!E10)/100/3.6*1000000</f>
        <v>0</v>
      </c>
      <c r="K9" s="34"/>
      <c r="L9" s="34"/>
      <c r="M9" s="34"/>
      <c r="N9" s="34">
        <f>$C$29*'E Balans VL '!Y10/100/3.6*1000000</f>
        <v>6.0023599371860294</v>
      </c>
      <c r="O9" s="34"/>
      <c r="P9" s="34"/>
      <c r="R9" s="33"/>
    </row>
    <row r="10" spans="1:18">
      <c r="A10" s="33" t="s">
        <v>50</v>
      </c>
      <c r="B10" s="38">
        <f t="shared" si="0"/>
        <v>1080.80328792149</v>
      </c>
      <c r="C10" s="34"/>
      <c r="D10" s="38">
        <f>IF(ISERROR(TER_ander_gas_kWh/1000),0,TER_ander_gas_kWh/1000)*0.902</f>
        <v>657.8027595348683</v>
      </c>
      <c r="E10" s="34">
        <f>$C$30*'E Balans VL '!I14/100/3.6*1000000</f>
        <v>8.8420510811555584</v>
      </c>
      <c r="F10" s="34">
        <f>$C$30*('E Balans VL '!L14+'E Balans VL '!N14)/100/3.6*1000000</f>
        <v>315.98288006401162</v>
      </c>
      <c r="G10" s="35"/>
      <c r="H10" s="34"/>
      <c r="I10" s="34"/>
      <c r="J10" s="34">
        <f>$C$30*('E Balans VL '!D14+'E Balans VL '!E14)/100/3.6*1000000</f>
        <v>0</v>
      </c>
      <c r="K10" s="34"/>
      <c r="L10" s="34"/>
      <c r="M10" s="34"/>
      <c r="N10" s="34">
        <f>$C$30*'E Balans VL '!Y14/100/3.6*1000000</f>
        <v>623.48168375688431</v>
      </c>
      <c r="O10" s="34"/>
      <c r="P10" s="34"/>
      <c r="R10" s="33"/>
    </row>
    <row r="11" spans="1:18">
      <c r="A11" s="33" t="s">
        <v>55</v>
      </c>
      <c r="B11" s="38">
        <f t="shared" si="0"/>
        <v>84.11492361984881</v>
      </c>
      <c r="C11" s="34"/>
      <c r="D11" s="38">
        <f>IF(ISERROR(TER_onderwijs_gas_kWh/1000),0,TER_onderwijs_gas_kWh/1000)*0.902</f>
        <v>114.58697031290275</v>
      </c>
      <c r="E11" s="34">
        <f>$C$31*'E Balans VL '!I11/100/3.6*1000000</f>
        <v>5.1844889758280124E-2</v>
      </c>
      <c r="F11" s="34">
        <f>$C$31*('E Balans VL '!L11+'E Balans VL '!N11)/100/3.6*1000000</f>
        <v>32.520191684806008</v>
      </c>
      <c r="G11" s="35"/>
      <c r="H11" s="34"/>
      <c r="I11" s="34"/>
      <c r="J11" s="34">
        <f>$C$31*('E Balans VL '!D11+'E Balans VL '!E11)/100/3.6*1000000</f>
        <v>0</v>
      </c>
      <c r="K11" s="34"/>
      <c r="L11" s="34"/>
      <c r="M11" s="34"/>
      <c r="N11" s="34">
        <f>$C$31*'E Balans VL '!Y11/100/3.6*1000000</f>
        <v>0.27360782109210557</v>
      </c>
      <c r="O11" s="34"/>
      <c r="P11" s="34"/>
      <c r="R11" s="33"/>
    </row>
    <row r="12" spans="1:18">
      <c r="A12" s="33" t="s">
        <v>260</v>
      </c>
      <c r="B12" s="38">
        <f t="shared" si="0"/>
        <v>7440.5717322280607</v>
      </c>
      <c r="C12" s="34"/>
      <c r="D12" s="38">
        <f>IF(ISERROR(TER_rest_gas_kWh/1000),0,TER_rest_gas_kWh/1000)*0.902</f>
        <v>6922.8223340503</v>
      </c>
      <c r="E12" s="34">
        <f>$C$32*'E Balans VL '!I8/100/3.6*1000000</f>
        <v>64.289074707340419</v>
      </c>
      <c r="F12" s="34">
        <f>$C$32*('E Balans VL '!L8+'E Balans VL '!N8)/100/3.6*1000000</f>
        <v>1482.0678817576595</v>
      </c>
      <c r="G12" s="35"/>
      <c r="H12" s="34"/>
      <c r="I12" s="34"/>
      <c r="J12" s="34">
        <f>$C$32*('E Balans VL '!D8+'E Balans VL '!E8)/100/3.6*1000000</f>
        <v>0</v>
      </c>
      <c r="K12" s="34"/>
      <c r="L12" s="34"/>
      <c r="M12" s="34"/>
      <c r="N12" s="34">
        <f>$C$32*'E Balans VL '!Y8/100/3.6*1000000</f>
        <v>489.38794975796475</v>
      </c>
      <c r="O12" s="34"/>
      <c r="P12" s="34"/>
      <c r="R12" s="33"/>
    </row>
    <row r="13" spans="1:18">
      <c r="A13" s="17" t="s">
        <v>502</v>
      </c>
      <c r="B13" s="250">
        <f ca="1">'lokale energieproductie'!N91+'lokale energieproductie'!N60</f>
        <v>6687</v>
      </c>
      <c r="C13" s="250">
        <f ca="1">'lokale energieproductie'!O91+'lokale energieproductie'!O60</f>
        <v>9552.8571428571431</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-19105.714285714286</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21696.355166240228</v>
      </c>
      <c r="C16" s="22">
        <f t="shared" ca="1" si="1"/>
        <v>9552.8571428571431</v>
      </c>
      <c r="D16" s="22">
        <f t="shared" ca="1" si="1"/>
        <v>14365.564470002337</v>
      </c>
      <c r="E16" s="22">
        <f t="shared" si="1"/>
        <v>148.08965964021618</v>
      </c>
      <c r="F16" s="22">
        <f t="shared" ca="1" si="1"/>
        <v>3159.6065481666465</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0.18546080273091883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4023.8234454660305</v>
      </c>
      <c r="C20" s="24">
        <f t="shared" ref="C20:P20" ca="1" si="2">C16*C18</f>
        <v>0</v>
      </c>
      <c r="D20" s="24">
        <f t="shared" ca="1" si="2"/>
        <v>2901.8440229404723</v>
      </c>
      <c r="E20" s="24">
        <f t="shared" si="2"/>
        <v>33.616352738329077</v>
      </c>
      <c r="F20" s="24">
        <f t="shared" ca="1" si="2"/>
        <v>843.61494836049462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1179.96640675495</v>
      </c>
      <c r="C26" s="40">
        <f>IF(ISERROR(B26*3.6/1000000/'E Balans VL '!Z12*100),0,B26*3.6/1000000/'E Balans VL '!Z12*100)</f>
        <v>2.5073439953001878E-2</v>
      </c>
      <c r="D26" s="240" t="s">
        <v>707</v>
      </c>
      <c r="F26" s="6"/>
    </row>
    <row r="27" spans="1:18">
      <c r="A27" s="234" t="s">
        <v>53</v>
      </c>
      <c r="B27" s="34">
        <f>IF(ISERROR(TER_horeca_ele_kWh/1000),0,TER_horeca_ele_kWh/1000)</f>
        <v>1029.93039865011</v>
      </c>
      <c r="C27" s="40">
        <f>IF(ISERROR(B27*3.6/1000000/'E Balans VL '!Z9*100),0,B27*3.6/1000000/'E Balans VL '!Z9*100)</f>
        <v>8.1063486790997452E-2</v>
      </c>
      <c r="D27" s="240" t="s">
        <v>707</v>
      </c>
      <c r="F27" s="6"/>
    </row>
    <row r="28" spans="1:18">
      <c r="A28" s="174" t="s">
        <v>52</v>
      </c>
      <c r="B28" s="34">
        <f>IF(ISERROR(TER_handel_ele_kWh/1000),0,TER_handel_ele_kWh/1000)</f>
        <v>3497.3895286445299</v>
      </c>
      <c r="C28" s="40">
        <f>IF(ISERROR(B28*3.6/1000000/'E Balans VL '!Z13*100),0,B28*3.6/1000000/'E Balans VL '!Z13*100)</f>
        <v>9.7963752426313708E-2</v>
      </c>
      <c r="D28" s="240" t="s">
        <v>707</v>
      </c>
      <c r="F28" s="6"/>
    </row>
    <row r="29" spans="1:18">
      <c r="A29" s="234" t="s">
        <v>51</v>
      </c>
      <c r="B29" s="34">
        <f>IF(ISERROR(TER_gezond_ele_kWh/1000),0,TER_gezond_ele_kWh/1000)</f>
        <v>696.57888842123998</v>
      </c>
      <c r="C29" s="40">
        <f>IF(ISERROR(B29*3.6/1000000/'E Balans VL '!Z10*100),0,B29*3.6/1000000/'E Balans VL '!Z10*100)</f>
        <v>8.9113503526334861E-2</v>
      </c>
      <c r="D29" s="240" t="s">
        <v>707</v>
      </c>
      <c r="F29" s="6"/>
    </row>
    <row r="30" spans="1:18">
      <c r="A30" s="234" t="s">
        <v>50</v>
      </c>
      <c r="B30" s="34">
        <f>IF(ISERROR(TER_ander_ele_kWh/1000),0,TER_ander_ele_kWh/1000)</f>
        <v>1080.80328792149</v>
      </c>
      <c r="C30" s="40">
        <f>IF(ISERROR(B30*3.6/1000000/'E Balans VL '!Z14*100),0,B30*3.6/1000000/'E Balans VL '!Z14*100)</f>
        <v>8.0834978928934015E-2</v>
      </c>
      <c r="D30" s="240" t="s">
        <v>707</v>
      </c>
      <c r="F30" s="6"/>
    </row>
    <row r="31" spans="1:18">
      <c r="A31" s="234" t="s">
        <v>55</v>
      </c>
      <c r="B31" s="34">
        <f>IF(ISERROR(TER_onderwijs_ele_kWh/1000),0,TER_onderwijs_ele_kWh/1000)</f>
        <v>84.11492361984881</v>
      </c>
      <c r="C31" s="40">
        <f>IF(ISERROR(B31*3.6/1000000/'E Balans VL '!Z11*100),0,B31*3.6/1000000/'E Balans VL '!Z11*100)</f>
        <v>1.7760975079007181E-2</v>
      </c>
      <c r="D31" s="240" t="s">
        <v>707</v>
      </c>
    </row>
    <row r="32" spans="1:18">
      <c r="A32" s="234" t="s">
        <v>260</v>
      </c>
      <c r="B32" s="34">
        <f>IF(ISERROR(TER_rest_ele_kWh/1000),0,TER_rest_ele_kWh/1000)</f>
        <v>7440.5717322280607</v>
      </c>
      <c r="C32" s="40">
        <f>IF(ISERROR(B32*3.6/1000000/'E Balans VL '!Z8*100),0,B32*3.6/1000000/'E Balans VL '!Z8*100)</f>
        <v>6.129492445812549E-2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18742.070630094153</v>
      </c>
      <c r="C5" s="18">
        <f>IF(ISERROR('Eigen informatie GS &amp; warmtenet'!B59),0,'Eigen informatie GS &amp; warmtenet'!B59)</f>
        <v>0</v>
      </c>
      <c r="D5" s="31">
        <f>SUM(D6:D15)</f>
        <v>14753.928868131756</v>
      </c>
      <c r="E5" s="18">
        <f>SUM(E6:E15)</f>
        <v>160.89347374341361</v>
      </c>
      <c r="F5" s="18">
        <f>SUM(F6:F15)</f>
        <v>4901.5276156533491</v>
      </c>
      <c r="G5" s="19"/>
      <c r="H5" s="18"/>
      <c r="I5" s="18"/>
      <c r="J5" s="18">
        <f>SUM(J6:J15)</f>
        <v>96.395451047627006</v>
      </c>
      <c r="K5" s="18"/>
      <c r="L5" s="18"/>
      <c r="M5" s="18"/>
      <c r="N5" s="18">
        <f>SUM(N6:N15)</f>
        <v>651.12909906936773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1395.84638790501</v>
      </c>
      <c r="C8" s="34"/>
      <c r="D8" s="38">
        <f>IF( ISERROR(IND_metaal_Gas_kWH/1000),0,IND_metaal_Gas_kWH/1000)*0.902</f>
        <v>492.26401786592686</v>
      </c>
      <c r="E8" s="34">
        <f>C30*'E Balans VL '!I18/100/3.6*1000000</f>
        <v>12.711721505886933</v>
      </c>
      <c r="F8" s="34">
        <f>C30*'E Balans VL '!L18/100/3.6*1000000+C30*'E Balans VL '!N18/100/3.6*1000000</f>
        <v>184.1015383251362</v>
      </c>
      <c r="G8" s="35"/>
      <c r="H8" s="34"/>
      <c r="I8" s="34"/>
      <c r="J8" s="41">
        <f>C30*'E Balans VL '!D18/100/3.6*1000000+C30*'E Balans VL '!E18/100/3.6*1000000</f>
        <v>22.889854065666064</v>
      </c>
      <c r="K8" s="34"/>
      <c r="L8" s="34"/>
      <c r="M8" s="34"/>
      <c r="N8" s="34">
        <f>C30*'E Balans VL '!Y18/100/3.6*1000000</f>
        <v>4.7969695366743199</v>
      </c>
      <c r="O8" s="34"/>
      <c r="P8" s="34"/>
      <c r="R8" s="33"/>
    </row>
    <row r="9" spans="1:18">
      <c r="A9" s="6" t="s">
        <v>33</v>
      </c>
      <c r="B9" s="38">
        <f t="shared" si="0"/>
        <v>2276.63189002133</v>
      </c>
      <c r="C9" s="34"/>
      <c r="D9" s="38">
        <f>IF( ISERROR(IND_andere_gas_kWh/1000),0,IND_andere_gas_kWh/1000)*0.902</f>
        <v>1124.750478323632</v>
      </c>
      <c r="E9" s="34">
        <f>C31*'E Balans VL '!I19/100/3.6*1000000</f>
        <v>13.159272538819096</v>
      </c>
      <c r="F9" s="34">
        <f>C31*'E Balans VL '!L19/100/3.6*1000000+C31*'E Balans VL '!N19/100/3.6*1000000</f>
        <v>1811.1702157035738</v>
      </c>
      <c r="G9" s="35"/>
      <c r="H9" s="34"/>
      <c r="I9" s="34"/>
      <c r="J9" s="41">
        <f>C31*'E Balans VL '!D19/100/3.6*1000000+C31*'E Balans VL '!E19/100/3.6*1000000</f>
        <v>0.2153440886852388</v>
      </c>
      <c r="K9" s="34"/>
      <c r="L9" s="34"/>
      <c r="M9" s="34"/>
      <c r="N9" s="34">
        <f>C31*'E Balans VL '!Y19/100/3.6*1000000</f>
        <v>172.4893186390037</v>
      </c>
      <c r="O9" s="34"/>
      <c r="P9" s="34"/>
      <c r="R9" s="33"/>
    </row>
    <row r="10" spans="1:18">
      <c r="A10" s="6" t="s">
        <v>41</v>
      </c>
      <c r="B10" s="38">
        <f t="shared" si="0"/>
        <v>158.28769046530499</v>
      </c>
      <c r="C10" s="34"/>
      <c r="D10" s="38">
        <f>IF( ISERROR(IND_voed_gas_kWh/1000),0,IND_voed_gas_kWh/1000)*0.902</f>
        <v>251.67204299267493</v>
      </c>
      <c r="E10" s="34">
        <f>C32*'E Balans VL '!I20/100/3.6*1000000</f>
        <v>1.5563821018234612</v>
      </c>
      <c r="F10" s="34">
        <f>C32*'E Balans VL '!L20/100/3.6*1000000+C32*'E Balans VL '!N20/100/3.6*1000000</f>
        <v>17.579914099107327</v>
      </c>
      <c r="G10" s="35"/>
      <c r="H10" s="34"/>
      <c r="I10" s="34"/>
      <c r="J10" s="41">
        <f>C32*'E Balans VL '!D20/100/3.6*1000000+C32*'E Balans VL '!E20/100/3.6*1000000</f>
        <v>6.2388364641135954E-4</v>
      </c>
      <c r="K10" s="34"/>
      <c r="L10" s="34"/>
      <c r="M10" s="34"/>
      <c r="N10" s="34">
        <f>C32*'E Balans VL '!Y20/100/3.6*1000000</f>
        <v>2.3438683638965343</v>
      </c>
      <c r="O10" s="34"/>
      <c r="P10" s="34"/>
      <c r="R10" s="33"/>
    </row>
    <row r="11" spans="1:18">
      <c r="A11" s="6" t="s">
        <v>40</v>
      </c>
      <c r="B11" s="38">
        <f t="shared" si="0"/>
        <v>279.58977084922304</v>
      </c>
      <c r="C11" s="34"/>
      <c r="D11" s="38">
        <f>IF( ISERROR(IND_textiel_gas_kWh/1000),0,IND_textiel_gas_kWh/1000)*0.902</f>
        <v>0</v>
      </c>
      <c r="E11" s="34">
        <f>C33*'E Balans VL '!I21/100/3.6*1000000</f>
        <v>0.54442620650230977</v>
      </c>
      <c r="F11" s="34">
        <f>C33*'E Balans VL '!L21/100/3.6*1000000+C33*'E Balans VL '!N21/100/3.6*1000000</f>
        <v>9.2217881174419976</v>
      </c>
      <c r="G11" s="35"/>
      <c r="H11" s="34"/>
      <c r="I11" s="34"/>
      <c r="J11" s="41">
        <f>C33*'E Balans VL '!D21/100/3.6*1000000+C33*'E Balans VL '!E21/100/3.6*1000000</f>
        <v>0</v>
      </c>
      <c r="K11" s="34"/>
      <c r="L11" s="34"/>
      <c r="M11" s="34"/>
      <c r="N11" s="34">
        <f>C33*'E Balans VL '!Y21/100/3.6*1000000</f>
        <v>2.9000812943732912</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57.649436531983199</v>
      </c>
      <c r="C13" s="34"/>
      <c r="D13" s="38">
        <f>IF( ISERROR(IND_papier_gas_kWh/1000),0,IND_papier_gas_kWh/1000)*0.902</f>
        <v>109.42337843516964</v>
      </c>
      <c r="E13" s="34">
        <f>C35*'E Balans VL '!I23/100/3.6*1000000</f>
        <v>1.9636233945582571</v>
      </c>
      <c r="F13" s="34">
        <f>C35*'E Balans VL '!L23/100/3.6*1000000+C35*'E Balans VL '!N23/100/3.6*1000000</f>
        <v>9.5223339119323835</v>
      </c>
      <c r="G13" s="35"/>
      <c r="H13" s="34"/>
      <c r="I13" s="34"/>
      <c r="J13" s="41">
        <f>C35*'E Balans VL '!D23/100/3.6*1000000+C35*'E Balans VL '!E23/100/3.6*1000000</f>
        <v>0</v>
      </c>
      <c r="K13" s="34"/>
      <c r="L13" s="34"/>
      <c r="M13" s="34"/>
      <c r="N13" s="34">
        <f>C35*'E Balans VL '!Y23/100/3.6*1000000</f>
        <v>21.213446605730983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14574.0654543213</v>
      </c>
      <c r="C15" s="34"/>
      <c r="D15" s="38">
        <f>IF( ISERROR(IND_rest_gas_kWh/1000),0,IND_rest_gas_kWh/1000)*0.902</f>
        <v>12775.818950514353</v>
      </c>
      <c r="E15" s="34">
        <f>C37*'E Balans VL '!I15/100/3.6*1000000</f>
        <v>130.95804799582353</v>
      </c>
      <c r="F15" s="34">
        <f>C37*'E Balans VL '!L15/100/3.6*1000000+C37*'E Balans VL '!N15/100/3.6*1000000</f>
        <v>2869.9318254961572</v>
      </c>
      <c r="G15" s="35"/>
      <c r="H15" s="34"/>
      <c r="I15" s="34"/>
      <c r="J15" s="41">
        <f>C37*'E Balans VL '!D15/100/3.6*1000000+C37*'E Balans VL '!E15/100/3.6*1000000</f>
        <v>73.289629009629294</v>
      </c>
      <c r="K15" s="34"/>
      <c r="L15" s="34"/>
      <c r="M15" s="34"/>
      <c r="N15" s="34">
        <f>C37*'E Balans VL '!Y15/100/3.6*1000000</f>
        <v>447.38541462968891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18742.070630094153</v>
      </c>
      <c r="C18" s="22">
        <f>C5+C16</f>
        <v>0</v>
      </c>
      <c r="D18" s="22">
        <f>MAX((D5+D16),0)</f>
        <v>14753.928868131756</v>
      </c>
      <c r="E18" s="22">
        <f>MAX((E5+E16),0)</f>
        <v>160.89347374341361</v>
      </c>
      <c r="F18" s="22">
        <f>MAX((F5+F16),0)</f>
        <v>4901.5276156533491</v>
      </c>
      <c r="G18" s="22"/>
      <c r="H18" s="22"/>
      <c r="I18" s="22"/>
      <c r="J18" s="22">
        <f>MAX((J5+J16),0)</f>
        <v>96.395451047627006</v>
      </c>
      <c r="K18" s="22"/>
      <c r="L18" s="22">
        <f>MAX((L5+L16),0)</f>
        <v>0</v>
      </c>
      <c r="M18" s="22"/>
      <c r="N18" s="22">
        <f>MAX((N5+N16),0)</f>
        <v>651.12909906936773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0.18546080273091883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3475.9194638968393</v>
      </c>
      <c r="C22" s="24">
        <f ca="1">C18*C20</f>
        <v>0</v>
      </c>
      <c r="D22" s="24">
        <f>D18*D20</f>
        <v>2980.2936313626146</v>
      </c>
      <c r="E22" s="24">
        <f>E18*E20</f>
        <v>36.522818539754887</v>
      </c>
      <c r="F22" s="24">
        <f>F18*F20</f>
        <v>1308.7078733794442</v>
      </c>
      <c r="G22" s="24"/>
      <c r="H22" s="24"/>
      <c r="I22" s="24"/>
      <c r="J22" s="24">
        <f>J18*J20</f>
        <v>34.123989670859956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1395.84638790501</v>
      </c>
      <c r="C30" s="40">
        <f>IF(ISERROR(B30*3.6/1000000/'E Balans VL '!Z18*100),0,B30*3.6/1000000/'E Balans VL '!Z18*100)</f>
        <v>7.7669517542200694E-2</v>
      </c>
      <c r="D30" s="240" t="s">
        <v>707</v>
      </c>
    </row>
    <row r="31" spans="1:18">
      <c r="A31" s="6" t="s">
        <v>33</v>
      </c>
      <c r="B31" s="38">
        <f>IF( ISERROR(IND_ander_ele_kWh/1000),0,IND_ander_ele_kWh/1000)</f>
        <v>2276.63189002133</v>
      </c>
      <c r="C31" s="40">
        <f>IF(ISERROR(B31*3.6/1000000/'E Balans VL '!Z19*100),0,B31*3.6/1000000/'E Balans VL '!Z19*100)</f>
        <v>0.10583463744257471</v>
      </c>
      <c r="D31" s="240" t="s">
        <v>707</v>
      </c>
    </row>
    <row r="32" spans="1:18">
      <c r="A32" s="174" t="s">
        <v>41</v>
      </c>
      <c r="B32" s="38">
        <f>IF( ISERROR(IND_voed_ele_kWh/1000),0,IND_voed_ele_kWh/1000)</f>
        <v>158.28769046530499</v>
      </c>
      <c r="C32" s="40">
        <f>IF(ISERROR(B32*3.6/1000000/'E Balans VL '!Z20*100),0,B32*3.6/1000000/'E Balans VL '!Z20*100)</f>
        <v>5.5951501824192387E-3</v>
      </c>
      <c r="D32" s="240" t="s">
        <v>707</v>
      </c>
    </row>
    <row r="33" spans="1:5">
      <c r="A33" s="174" t="s">
        <v>40</v>
      </c>
      <c r="B33" s="38">
        <f>IF( ISERROR(IND_textiel_ele_kWh/1000),0,IND_textiel_ele_kWh/1000)</f>
        <v>279.58977084922304</v>
      </c>
      <c r="C33" s="40">
        <f>IF(ISERROR(B33*3.6/1000000/'E Balans VL '!Z21*100),0,B33*3.6/1000000/'E Balans VL '!Z21*100)</f>
        <v>3.7762841030650161E-2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57.649436531983199</v>
      </c>
      <c r="C35" s="40">
        <f>IF(ISERROR(B35*3.6/1000000/'E Balans VL '!Z22*100),0,B35*3.6/1000000/'E Balans VL '!Z22*100)</f>
        <v>1.1585911083739856E-2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14574.0654543213</v>
      </c>
      <c r="C37" s="40">
        <f>IF(ISERROR(B37*3.6/1000000/'E Balans VL '!Z15*100),0,B37*3.6/1000000/'E Balans VL '!Z15*100)</f>
        <v>0.11005572333033159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2497.469097508374</v>
      </c>
      <c r="C5" s="18">
        <f>'Eigen informatie GS &amp; warmtenet'!B60</f>
        <v>0</v>
      </c>
      <c r="D5" s="31">
        <f>IF(ISERROR(SUM(LB_lb_gas_kWh,LB_rest_gas_kWh)/1000),0,SUM(LB_lb_gas_kWh,LB_rest_gas_kWh)/1000)*0.902</f>
        <v>189.773655886059</v>
      </c>
      <c r="E5" s="18">
        <f>B17*'E Balans VL '!I25/3.6*1000000/100</f>
        <v>23.527832257715581</v>
      </c>
      <c r="F5" s="18">
        <f>B17*('E Balans VL '!L25/3.6*1000000+'E Balans VL '!N25/3.6*1000000)/100</f>
        <v>8150.0705023721002</v>
      </c>
      <c r="G5" s="19"/>
      <c r="H5" s="18"/>
      <c r="I5" s="18"/>
      <c r="J5" s="18">
        <f>('E Balans VL '!D25+'E Balans VL '!E25)/3.6*1000000*landbouw!B17/100</f>
        <v>308.94907504914266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2497.469097508374</v>
      </c>
      <c r="C8" s="22">
        <f>C5+C6</f>
        <v>0</v>
      </c>
      <c r="D8" s="22">
        <f>MAX((D5+D6),0)</f>
        <v>189.773655886059</v>
      </c>
      <c r="E8" s="22">
        <f>MAX((E5+E6),0)</f>
        <v>23.527832257715581</v>
      </c>
      <c r="F8" s="22">
        <f>MAX((F5+F6),0)</f>
        <v>8150.0705023721002</v>
      </c>
      <c r="G8" s="22"/>
      <c r="H8" s="22"/>
      <c r="I8" s="22"/>
      <c r="J8" s="22">
        <f>MAX((J5+J6),0)</f>
        <v>308.94907504914266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0.18546080273091883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463.18262361956647</v>
      </c>
      <c r="C12" s="24">
        <f ca="1">C8*C10</f>
        <v>0</v>
      </c>
      <c r="D12" s="24">
        <f>D8*D10</f>
        <v>38.334278488983919</v>
      </c>
      <c r="E12" s="24">
        <f>E8*E10</f>
        <v>5.3408179225014374</v>
      </c>
      <c r="F12" s="24">
        <f>F8*F10</f>
        <v>2176.068824133351</v>
      </c>
      <c r="G12" s="24"/>
      <c r="H12" s="24"/>
      <c r="I12" s="24"/>
      <c r="J12" s="24">
        <f>J8*J10</f>
        <v>109.36797256739649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0.33811740752220243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304.11770990924583</v>
      </c>
      <c r="C26" s="250">
        <f>B26*'GWP N2O_CH4'!B5</f>
        <v>6386.4719080941622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217.45488316670651</v>
      </c>
      <c r="C27" s="250">
        <f>B27*'GWP N2O_CH4'!B5</f>
        <v>4566.5525465008368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4.6932655316049781</v>
      </c>
      <c r="C28" s="250">
        <f>B28*'GWP N2O_CH4'!B4</f>
        <v>1454.9123147975431</v>
      </c>
      <c r="D28" s="51"/>
    </row>
    <row r="29" spans="1:4">
      <c r="A29" s="42" t="s">
        <v>277</v>
      </c>
      <c r="B29" s="250">
        <f>B34*'ha_N2O bodem landbouw'!B4</f>
        <v>13.970419175537803</v>
      </c>
      <c r="C29" s="250">
        <f>B29*'GWP N2O_CH4'!B4</f>
        <v>4330.8299444167187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3.7715733848717172E-3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2.7562370984702571E-6</v>
      </c>
      <c r="C5" s="447" t="s">
        <v>211</v>
      </c>
      <c r="D5" s="432">
        <f>SUM(D6:D11)</f>
        <v>1.0932698386459879E-5</v>
      </c>
      <c r="E5" s="432">
        <f>SUM(E6:E11)</f>
        <v>6.0155559701657055E-4</v>
      </c>
      <c r="F5" s="445" t="s">
        <v>211</v>
      </c>
      <c r="G5" s="432">
        <f>SUM(G6:G11)</f>
        <v>0.10977734480679667</v>
      </c>
      <c r="H5" s="432">
        <f>SUM(H6:H11)</f>
        <v>2.3656891912360315E-2</v>
      </c>
      <c r="I5" s="447" t="s">
        <v>211</v>
      </c>
      <c r="J5" s="447" t="s">
        <v>211</v>
      </c>
      <c r="K5" s="447" t="s">
        <v>211</v>
      </c>
      <c r="L5" s="447" t="s">
        <v>211</v>
      </c>
      <c r="M5" s="432">
        <f>SUM(M6:M11)</f>
        <v>5.9705419558622255E-3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5.8960164310901289E-7</v>
      </c>
      <c r="C6" s="433"/>
      <c r="D6" s="433">
        <f>vkm_2011_GW_PW*SUMIFS(TableVerdeelsleutelVkm[CNG],TableVerdeelsleutelVkm[Voertuigtype],"Lichte voertuigen")*SUMIFS(TableECFTransport[EnergieConsumptieFactor (PJ per km)],TableECFTransport[Index],CONCATENATE($A6,"_CNG_CNG"))</f>
        <v>1.4398170865936883E-6</v>
      </c>
      <c r="E6" s="435">
        <f>vkm_2011_GW_PW*SUMIFS(TableVerdeelsleutelVkm[LPG],TableVerdeelsleutelVkm[Voertuigtype],"Lichte voertuigen")*SUMIFS(TableECFTransport[EnergieConsumptieFactor (PJ per km)],TableECFTransport[Index],CONCATENATE($A6,"_LPG_LPG"))</f>
        <v>8.5344916118673043E-5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1.2337611577859748E-2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3.2333335415422808E-3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6.972955981010535E-4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5.4182202186065613E-3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2.186040619556908E-6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2.4138003435332468E-4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2.1666354553612444E-6</v>
      </c>
      <c r="C8" s="433"/>
      <c r="D8" s="435">
        <f>vkm_2011_NGW_PW*SUMIFS(TableVerdeelsleutelVkm[CNG],TableVerdeelsleutelVkm[Voertuigtype],"Lichte voertuigen")*SUMIFS(TableECFTransport[EnergieConsumptieFactor (PJ per km)],TableECFTransport[Index],CONCATENATE($A8,"_CNG_CNG"))</f>
        <v>9.4928812998661905E-6</v>
      </c>
      <c r="E8" s="435">
        <f>vkm_2011_NGW_PW*SUMIFS(TableVerdeelsleutelVkm[LPG],TableVerdeelsleutelVkm[Voertuigtype],"Lichte voertuigen")*SUMIFS(TableECFTransport[EnergieConsumptieFactor (PJ per km)],TableECFTransport[Index],CONCATENATE($A8,"_LPG_LPG"))</f>
        <v>5.1621068089789755E-4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7.0496478616910524E-2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2.0413810763670364E-2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4.0729840623666934E-3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2.1525034393419833E-2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7.5615665281133748E-6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9.5888226104115439E-4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0.76562141624173807</v>
      </c>
      <c r="C14" s="22"/>
      <c r="D14" s="22">
        <f t="shared" ref="D14:M14" si="0">((D5)*10^9/3600)+D12</f>
        <v>3.0368606629055219</v>
      </c>
      <c r="E14" s="22">
        <f t="shared" si="0"/>
        <v>167.09877694904736</v>
      </c>
      <c r="F14" s="22"/>
      <c r="G14" s="22">
        <f t="shared" si="0"/>
        <v>30493.706890776852</v>
      </c>
      <c r="H14" s="22">
        <f t="shared" si="0"/>
        <v>6571.3588645445316</v>
      </c>
      <c r="I14" s="22"/>
      <c r="J14" s="22"/>
      <c r="K14" s="22"/>
      <c r="L14" s="22"/>
      <c r="M14" s="22">
        <f t="shared" si="0"/>
        <v>1658.483876628396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0.18546080273091883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0.14199276244417569</v>
      </c>
      <c r="C18" s="24"/>
      <c r="D18" s="24">
        <f t="shared" ref="D18:M18" si="1">D14*D16</f>
        <v>0.61344585390691542</v>
      </c>
      <c r="E18" s="24">
        <f t="shared" si="1"/>
        <v>37.931422367433754</v>
      </c>
      <c r="F18" s="24"/>
      <c r="G18" s="24">
        <f t="shared" si="1"/>
        <v>8141.8197398374195</v>
      </c>
      <c r="H18" s="24">
        <f t="shared" si="1"/>
        <v>1636.2683572715885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4.6867280752822885E-3</v>
      </c>
      <c r="H50" s="323">
        <f t="shared" si="2"/>
        <v>0</v>
      </c>
      <c r="I50" s="323">
        <f t="shared" si="2"/>
        <v>0</v>
      </c>
      <c r="J50" s="323">
        <f t="shared" si="2"/>
        <v>0</v>
      </c>
      <c r="K50" s="323">
        <f t="shared" si="2"/>
        <v>0</v>
      </c>
      <c r="L50" s="323">
        <f t="shared" si="2"/>
        <v>0</v>
      </c>
      <c r="M50" s="323">
        <f t="shared" si="2"/>
        <v>2.0580196102720308E-4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4.6867280752822885E-3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2.0580196102720308E-4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1301.8689098006357</v>
      </c>
      <c r="H54" s="22">
        <f t="shared" si="3"/>
        <v>0</v>
      </c>
      <c r="I54" s="22">
        <f t="shared" si="3"/>
        <v>0</v>
      </c>
      <c r="J54" s="22">
        <f t="shared" si="3"/>
        <v>0</v>
      </c>
      <c r="K54" s="22">
        <f t="shared" si="3"/>
        <v>0</v>
      </c>
      <c r="L54" s="22">
        <f t="shared" si="3"/>
        <v>0</v>
      </c>
      <c r="M54" s="22">
        <f t="shared" si="3"/>
        <v>57.167211396445296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0.18546080273091883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347.59899891676974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22750.491166240226</v>
      </c>
      <c r="D10" s="688">
        <f ca="1">tertiair!C16</f>
        <v>9552.8571428571431</v>
      </c>
      <c r="E10" s="688">
        <f ca="1">tertiair!D16</f>
        <v>14365.564470002337</v>
      </c>
      <c r="F10" s="688">
        <f>tertiair!E16</f>
        <v>148.08965964021618</v>
      </c>
      <c r="G10" s="688">
        <f ca="1">tertiair!F16</f>
        <v>3159.6065481666465</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49976.608986906562</v>
      </c>
      <c r="S10" s="68"/>
    </row>
    <row r="11" spans="1:19" s="457" customFormat="1">
      <c r="A11" s="803" t="s">
        <v>225</v>
      </c>
      <c r="B11" s="808"/>
      <c r="C11" s="688">
        <f>huishoudens!B8</f>
        <v>19107.039929594415</v>
      </c>
      <c r="D11" s="688">
        <f>huishoudens!C8</f>
        <v>0</v>
      </c>
      <c r="E11" s="688">
        <f>huishoudens!D8</f>
        <v>42222.106924322936</v>
      </c>
      <c r="F11" s="688">
        <f>huishoudens!E8</f>
        <v>6097.6375857477624</v>
      </c>
      <c r="G11" s="688">
        <f>huishoudens!F8</f>
        <v>10971.427688180289</v>
      </c>
      <c r="H11" s="688">
        <f>huishoudens!G8</f>
        <v>0</v>
      </c>
      <c r="I11" s="688">
        <f>huishoudens!H8</f>
        <v>0</v>
      </c>
      <c r="J11" s="688">
        <f>huishoudens!I8</f>
        <v>0</v>
      </c>
      <c r="K11" s="688">
        <f>huishoudens!J8</f>
        <v>1805.0614765903765</v>
      </c>
      <c r="L11" s="688">
        <f>huishoudens!K8</f>
        <v>0</v>
      </c>
      <c r="M11" s="688">
        <f>huishoudens!L8</f>
        <v>0</v>
      </c>
      <c r="N11" s="688">
        <f>huishoudens!M8</f>
        <v>0</v>
      </c>
      <c r="O11" s="688">
        <f>huishoudens!N8</f>
        <v>16858.746200976006</v>
      </c>
      <c r="P11" s="688">
        <f>huishoudens!O8</f>
        <v>76.603333333333339</v>
      </c>
      <c r="Q11" s="689">
        <f>huishoudens!P8</f>
        <v>114.4</v>
      </c>
      <c r="R11" s="691">
        <f>SUM(C11:Q11)</f>
        <v>97253.02313874512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18742.070630094153</v>
      </c>
      <c r="D13" s="688">
        <f>industrie!C18</f>
        <v>0</v>
      </c>
      <c r="E13" s="688">
        <f>industrie!D18</f>
        <v>14753.928868131756</v>
      </c>
      <c r="F13" s="688">
        <f>industrie!E18</f>
        <v>160.89347374341361</v>
      </c>
      <c r="G13" s="688">
        <f>industrie!F18</f>
        <v>4901.5276156533491</v>
      </c>
      <c r="H13" s="688">
        <f>industrie!G18</f>
        <v>0</v>
      </c>
      <c r="I13" s="688">
        <f>industrie!H18</f>
        <v>0</v>
      </c>
      <c r="J13" s="688">
        <f>industrie!I18</f>
        <v>0</v>
      </c>
      <c r="K13" s="688">
        <f>industrie!J18</f>
        <v>96.395451047627006</v>
      </c>
      <c r="L13" s="688">
        <f>industrie!K18</f>
        <v>0</v>
      </c>
      <c r="M13" s="688">
        <f>industrie!L18</f>
        <v>0</v>
      </c>
      <c r="N13" s="688">
        <f>industrie!M18</f>
        <v>0</v>
      </c>
      <c r="O13" s="688">
        <f>industrie!N18</f>
        <v>651.12909906936773</v>
      </c>
      <c r="P13" s="688">
        <f>industrie!O18</f>
        <v>0</v>
      </c>
      <c r="Q13" s="689">
        <f>industrie!P18</f>
        <v>0</v>
      </c>
      <c r="R13" s="691">
        <f>SUM(C13:Q13)</f>
        <v>39305.945137739662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60599.601725928791</v>
      </c>
      <c r="D16" s="721">
        <f t="shared" ref="D16:R16" ca="1" si="0">SUM(D9:D15)</f>
        <v>9552.8571428571431</v>
      </c>
      <c r="E16" s="721">
        <f t="shared" ca="1" si="0"/>
        <v>71341.600262457025</v>
      </c>
      <c r="F16" s="721">
        <f t="shared" si="0"/>
        <v>6406.6207191313924</v>
      </c>
      <c r="G16" s="721">
        <f t="shared" ca="1" si="0"/>
        <v>19032.561852000283</v>
      </c>
      <c r="H16" s="721">
        <f t="shared" si="0"/>
        <v>0</v>
      </c>
      <c r="I16" s="721">
        <f t="shared" si="0"/>
        <v>0</v>
      </c>
      <c r="J16" s="721">
        <f t="shared" si="0"/>
        <v>0</v>
      </c>
      <c r="K16" s="721">
        <f t="shared" si="0"/>
        <v>1901.4569276380034</v>
      </c>
      <c r="L16" s="721">
        <f t="shared" si="0"/>
        <v>0</v>
      </c>
      <c r="M16" s="721">
        <f t="shared" ca="1" si="0"/>
        <v>0</v>
      </c>
      <c r="N16" s="721">
        <f t="shared" si="0"/>
        <v>0</v>
      </c>
      <c r="O16" s="721">
        <f t="shared" ca="1" si="0"/>
        <v>17509.875300045373</v>
      </c>
      <c r="P16" s="721">
        <f t="shared" si="0"/>
        <v>76.603333333333339</v>
      </c>
      <c r="Q16" s="721">
        <f t="shared" si="0"/>
        <v>114.4</v>
      </c>
      <c r="R16" s="721">
        <f t="shared" ca="1" si="0"/>
        <v>186535.57726339134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1301.8689098006357</v>
      </c>
      <c r="I19" s="688">
        <f>transport!H54</f>
        <v>0</v>
      </c>
      <c r="J19" s="688">
        <f>transport!I54</f>
        <v>0</v>
      </c>
      <c r="K19" s="688">
        <f>transport!J54</f>
        <v>0</v>
      </c>
      <c r="L19" s="688">
        <f>transport!K54</f>
        <v>0</v>
      </c>
      <c r="M19" s="688">
        <f>transport!L54</f>
        <v>0</v>
      </c>
      <c r="N19" s="688">
        <f>transport!M54</f>
        <v>57.167211396445296</v>
      </c>
      <c r="O19" s="688">
        <f>transport!N54</f>
        <v>0</v>
      </c>
      <c r="P19" s="688">
        <f>transport!O54</f>
        <v>0</v>
      </c>
      <c r="Q19" s="689">
        <f>transport!P54</f>
        <v>0</v>
      </c>
      <c r="R19" s="691">
        <f>SUM(C19:Q19)</f>
        <v>1359.036121197081</v>
      </c>
      <c r="S19" s="68"/>
    </row>
    <row r="20" spans="1:19" s="457" customFormat="1">
      <c r="A20" s="803" t="s">
        <v>307</v>
      </c>
      <c r="B20" s="808"/>
      <c r="C20" s="688">
        <f>transport!B14</f>
        <v>0.76562141624173807</v>
      </c>
      <c r="D20" s="688">
        <f>transport!C14</f>
        <v>0</v>
      </c>
      <c r="E20" s="688">
        <f>transport!D14</f>
        <v>3.0368606629055219</v>
      </c>
      <c r="F20" s="688">
        <f>transport!E14</f>
        <v>167.09877694904736</v>
      </c>
      <c r="G20" s="688">
        <f>transport!F14</f>
        <v>0</v>
      </c>
      <c r="H20" s="688">
        <f>transport!G14</f>
        <v>30493.706890776852</v>
      </c>
      <c r="I20" s="688">
        <f>transport!H14</f>
        <v>6571.3588645445316</v>
      </c>
      <c r="J20" s="688">
        <f>transport!I14</f>
        <v>0</v>
      </c>
      <c r="K20" s="688">
        <f>transport!J14</f>
        <v>0</v>
      </c>
      <c r="L20" s="688">
        <f>transport!K14</f>
        <v>0</v>
      </c>
      <c r="M20" s="688">
        <f>transport!L14</f>
        <v>0</v>
      </c>
      <c r="N20" s="688">
        <f>transport!M14</f>
        <v>1658.483876628396</v>
      </c>
      <c r="O20" s="688">
        <f>transport!N14</f>
        <v>0</v>
      </c>
      <c r="P20" s="688">
        <f>transport!O14</f>
        <v>0</v>
      </c>
      <c r="Q20" s="689">
        <f>transport!P14</f>
        <v>0</v>
      </c>
      <c r="R20" s="691">
        <f>SUM(C20:Q20)</f>
        <v>38894.450890977976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0.76562141624173807</v>
      </c>
      <c r="D22" s="806">
        <f t="shared" ref="D22:R22" si="1">SUM(D18:D21)</f>
        <v>0</v>
      </c>
      <c r="E22" s="806">
        <f t="shared" si="1"/>
        <v>3.0368606629055219</v>
      </c>
      <c r="F22" s="806">
        <f t="shared" si="1"/>
        <v>167.09877694904736</v>
      </c>
      <c r="G22" s="806">
        <f t="shared" si="1"/>
        <v>0</v>
      </c>
      <c r="H22" s="806">
        <f t="shared" si="1"/>
        <v>31795.575800577488</v>
      </c>
      <c r="I22" s="806">
        <f t="shared" si="1"/>
        <v>6571.3588645445316</v>
      </c>
      <c r="J22" s="806">
        <f t="shared" si="1"/>
        <v>0</v>
      </c>
      <c r="K22" s="806">
        <f t="shared" si="1"/>
        <v>0</v>
      </c>
      <c r="L22" s="806">
        <f t="shared" si="1"/>
        <v>0</v>
      </c>
      <c r="M22" s="806">
        <f t="shared" si="1"/>
        <v>0</v>
      </c>
      <c r="N22" s="806">
        <f t="shared" si="1"/>
        <v>1715.6510880248413</v>
      </c>
      <c r="O22" s="806">
        <f t="shared" si="1"/>
        <v>0</v>
      </c>
      <c r="P22" s="806">
        <f t="shared" si="1"/>
        <v>0</v>
      </c>
      <c r="Q22" s="806">
        <f t="shared" si="1"/>
        <v>0</v>
      </c>
      <c r="R22" s="806">
        <f t="shared" si="1"/>
        <v>40253.487012175057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2497.469097508374</v>
      </c>
      <c r="D24" s="688">
        <f>+landbouw!C8</f>
        <v>0</v>
      </c>
      <c r="E24" s="688">
        <f>+landbouw!D8</f>
        <v>189.773655886059</v>
      </c>
      <c r="F24" s="688">
        <f>+landbouw!E8</f>
        <v>23.527832257715581</v>
      </c>
      <c r="G24" s="688">
        <f>+landbouw!F8</f>
        <v>8150.0705023721002</v>
      </c>
      <c r="H24" s="688">
        <f>+landbouw!G8</f>
        <v>0</v>
      </c>
      <c r="I24" s="688">
        <f>+landbouw!H8</f>
        <v>0</v>
      </c>
      <c r="J24" s="688">
        <f>+landbouw!I8</f>
        <v>0</v>
      </c>
      <c r="K24" s="688">
        <f>+landbouw!J8</f>
        <v>308.94907504914266</v>
      </c>
      <c r="L24" s="688">
        <f>+landbouw!K8</f>
        <v>0</v>
      </c>
      <c r="M24" s="688">
        <f>+landbouw!L8</f>
        <v>0</v>
      </c>
      <c r="N24" s="688">
        <f>+landbouw!M8</f>
        <v>0</v>
      </c>
      <c r="O24" s="688">
        <f>+landbouw!N8</f>
        <v>0</v>
      </c>
      <c r="P24" s="688">
        <f>+landbouw!O8</f>
        <v>0</v>
      </c>
      <c r="Q24" s="689">
        <f>+landbouw!P8</f>
        <v>0</v>
      </c>
      <c r="R24" s="691">
        <f>SUM(C24:Q24)</f>
        <v>11169.79016307339</v>
      </c>
      <c r="S24" s="68"/>
    </row>
    <row r="25" spans="1:19" s="457" customFormat="1" ht="15" thickBot="1">
      <c r="A25" s="825" t="s">
        <v>912</v>
      </c>
      <c r="B25" s="1001"/>
      <c r="C25" s="1002">
        <f>IF(Onbekend_ele_kWh="---",0,Onbekend_ele_kWh)/1000+IF(REST_rest_ele_kWh="---",0,REST_rest_ele_kWh)/1000</f>
        <v>635.92531075278907</v>
      </c>
      <c r="D25" s="1002"/>
      <c r="E25" s="1002">
        <f>IF(onbekend_gas_kWh="---",0,onbekend_gas_kWh)/1000+IF(REST_rest_gas_kWh="---",0,REST_rest_gas_kWh)/1000</f>
        <v>2052.7707851335299</v>
      </c>
      <c r="F25" s="1002"/>
      <c r="G25" s="1002"/>
      <c r="H25" s="1002"/>
      <c r="I25" s="1002"/>
      <c r="J25" s="1002"/>
      <c r="K25" s="1002"/>
      <c r="L25" s="1002"/>
      <c r="M25" s="1002"/>
      <c r="N25" s="1002"/>
      <c r="O25" s="1002"/>
      <c r="P25" s="1002"/>
      <c r="Q25" s="1003"/>
      <c r="R25" s="691">
        <f>SUM(C25:Q25)</f>
        <v>2688.6960958863192</v>
      </c>
      <c r="S25" s="68"/>
    </row>
    <row r="26" spans="1:19" s="457" customFormat="1" ht="15.75" thickBot="1">
      <c r="A26" s="694" t="s">
        <v>913</v>
      </c>
      <c r="B26" s="811"/>
      <c r="C26" s="806">
        <f>SUM(C24:C25)</f>
        <v>3133.3944082611633</v>
      </c>
      <c r="D26" s="806">
        <f t="shared" ref="D26:R26" si="2">SUM(D24:D25)</f>
        <v>0</v>
      </c>
      <c r="E26" s="806">
        <f t="shared" si="2"/>
        <v>2242.5444410195887</v>
      </c>
      <c r="F26" s="806">
        <f t="shared" si="2"/>
        <v>23.527832257715581</v>
      </c>
      <c r="G26" s="806">
        <f t="shared" si="2"/>
        <v>8150.0705023721002</v>
      </c>
      <c r="H26" s="806">
        <f t="shared" si="2"/>
        <v>0</v>
      </c>
      <c r="I26" s="806">
        <f t="shared" si="2"/>
        <v>0</v>
      </c>
      <c r="J26" s="806">
        <f t="shared" si="2"/>
        <v>0</v>
      </c>
      <c r="K26" s="806">
        <f t="shared" si="2"/>
        <v>308.94907504914266</v>
      </c>
      <c r="L26" s="806">
        <f t="shared" si="2"/>
        <v>0</v>
      </c>
      <c r="M26" s="806">
        <f t="shared" si="2"/>
        <v>0</v>
      </c>
      <c r="N26" s="806">
        <f t="shared" si="2"/>
        <v>0</v>
      </c>
      <c r="O26" s="806">
        <f t="shared" si="2"/>
        <v>0</v>
      </c>
      <c r="P26" s="806">
        <f t="shared" si="2"/>
        <v>0</v>
      </c>
      <c r="Q26" s="806">
        <f t="shared" si="2"/>
        <v>0</v>
      </c>
      <c r="R26" s="806">
        <f t="shared" si="2"/>
        <v>13858.486258959711</v>
      </c>
      <c r="S26" s="68"/>
    </row>
    <row r="27" spans="1:19" s="457" customFormat="1" ht="17.25" thickTop="1" thickBot="1">
      <c r="A27" s="695" t="s">
        <v>116</v>
      </c>
      <c r="B27" s="798"/>
      <c r="C27" s="696">
        <f ca="1">C22+C16+C26</f>
        <v>63733.761755606196</v>
      </c>
      <c r="D27" s="696">
        <f t="shared" ref="D27:R27" ca="1" si="3">D22+D16+D26</f>
        <v>9552.8571428571431</v>
      </c>
      <c r="E27" s="696">
        <f t="shared" ca="1" si="3"/>
        <v>73587.181564139522</v>
      </c>
      <c r="F27" s="696">
        <f t="shared" si="3"/>
        <v>6597.247328338156</v>
      </c>
      <c r="G27" s="696">
        <f t="shared" ca="1" si="3"/>
        <v>27182.632354372385</v>
      </c>
      <c r="H27" s="696">
        <f t="shared" si="3"/>
        <v>31795.575800577488</v>
      </c>
      <c r="I27" s="696">
        <f t="shared" si="3"/>
        <v>6571.3588645445316</v>
      </c>
      <c r="J27" s="696">
        <f t="shared" si="3"/>
        <v>0</v>
      </c>
      <c r="K27" s="696">
        <f t="shared" si="3"/>
        <v>2210.4060026871462</v>
      </c>
      <c r="L27" s="696">
        <f t="shared" si="3"/>
        <v>0</v>
      </c>
      <c r="M27" s="696">
        <f t="shared" ca="1" si="3"/>
        <v>0</v>
      </c>
      <c r="N27" s="696">
        <f t="shared" si="3"/>
        <v>1715.6510880248413</v>
      </c>
      <c r="O27" s="696">
        <f t="shared" ca="1" si="3"/>
        <v>17509.875300045373</v>
      </c>
      <c r="P27" s="696">
        <f t="shared" si="3"/>
        <v>76.603333333333339</v>
      </c>
      <c r="Q27" s="696">
        <f t="shared" si="3"/>
        <v>114.4</v>
      </c>
      <c r="R27" s="696">
        <f t="shared" ca="1" si="3"/>
        <v>240647.55053452612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4219.3243542135906</v>
      </c>
      <c r="D40" s="688">
        <f ca="1">tertiair!C20</f>
        <v>0</v>
      </c>
      <c r="E40" s="688">
        <f ca="1">tertiair!D20</f>
        <v>2901.8440229404723</v>
      </c>
      <c r="F40" s="688">
        <f>tertiair!E20</f>
        <v>33.616352738329077</v>
      </c>
      <c r="G40" s="688">
        <f ca="1">tertiair!F20</f>
        <v>843.61494836049462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7998.3996782528866</v>
      </c>
    </row>
    <row r="41" spans="1:18">
      <c r="A41" s="816" t="s">
        <v>225</v>
      </c>
      <c r="B41" s="823"/>
      <c r="C41" s="688">
        <f ca="1">huishoudens!B12</f>
        <v>3543.6069631542991</v>
      </c>
      <c r="D41" s="688">
        <f ca="1">huishoudens!C12</f>
        <v>0</v>
      </c>
      <c r="E41" s="688">
        <f>huishoudens!D12</f>
        <v>8528.8655987132333</v>
      </c>
      <c r="F41" s="688">
        <f>huishoudens!E12</f>
        <v>1384.1637319647421</v>
      </c>
      <c r="G41" s="688">
        <f>huishoudens!F12</f>
        <v>2929.3711927441373</v>
      </c>
      <c r="H41" s="688">
        <f>huishoudens!G12</f>
        <v>0</v>
      </c>
      <c r="I41" s="688">
        <f>huishoudens!H12</f>
        <v>0</v>
      </c>
      <c r="J41" s="688">
        <f>huishoudens!I12</f>
        <v>0</v>
      </c>
      <c r="K41" s="688">
        <f>huishoudens!J12</f>
        <v>638.99176271299325</v>
      </c>
      <c r="L41" s="688">
        <f>huishoudens!K12</f>
        <v>0</v>
      </c>
      <c r="M41" s="688">
        <f>huishoudens!L12</f>
        <v>0</v>
      </c>
      <c r="N41" s="688">
        <f>huishoudens!M12</f>
        <v>0</v>
      </c>
      <c r="O41" s="688">
        <f>huishoudens!N12</f>
        <v>0</v>
      </c>
      <c r="P41" s="688">
        <f>huishoudens!O12</f>
        <v>0</v>
      </c>
      <c r="Q41" s="763">
        <f>huishoudens!P12</f>
        <v>0</v>
      </c>
      <c r="R41" s="844">
        <f t="shared" ca="1" si="4"/>
        <v>17024.999249289405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3475.9194638968393</v>
      </c>
      <c r="D43" s="688">
        <f ca="1">industrie!C22</f>
        <v>0</v>
      </c>
      <c r="E43" s="688">
        <f>industrie!D22</f>
        <v>2980.2936313626146</v>
      </c>
      <c r="F43" s="688">
        <f>industrie!E22</f>
        <v>36.522818539754887</v>
      </c>
      <c r="G43" s="688">
        <f>industrie!F22</f>
        <v>1308.7078733794442</v>
      </c>
      <c r="H43" s="688">
        <f>industrie!G22</f>
        <v>0</v>
      </c>
      <c r="I43" s="688">
        <f>industrie!H22</f>
        <v>0</v>
      </c>
      <c r="J43" s="688">
        <f>industrie!I22</f>
        <v>0</v>
      </c>
      <c r="K43" s="688">
        <f>industrie!J22</f>
        <v>34.123989670859956</v>
      </c>
      <c r="L43" s="688">
        <f>industrie!K22</f>
        <v>0</v>
      </c>
      <c r="M43" s="688">
        <f>industrie!L22</f>
        <v>0</v>
      </c>
      <c r="N43" s="688">
        <f>industrie!M22</f>
        <v>0</v>
      </c>
      <c r="O43" s="688">
        <f>industrie!N22</f>
        <v>0</v>
      </c>
      <c r="P43" s="688">
        <f>industrie!O22</f>
        <v>0</v>
      </c>
      <c r="Q43" s="763">
        <f>industrie!P22</f>
        <v>0</v>
      </c>
      <c r="R43" s="843">
        <f t="shared" ca="1" si="4"/>
        <v>7835.5677768495134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11238.850781264729</v>
      </c>
      <c r="D46" s="721">
        <f t="shared" ref="D46:Q46" ca="1" si="5">SUM(D39:D45)</f>
        <v>0</v>
      </c>
      <c r="E46" s="721">
        <f t="shared" ca="1" si="5"/>
        <v>14411.003253016321</v>
      </c>
      <c r="F46" s="721">
        <f t="shared" si="5"/>
        <v>1454.302903242826</v>
      </c>
      <c r="G46" s="721">
        <f t="shared" ca="1" si="5"/>
        <v>5081.6940144840755</v>
      </c>
      <c r="H46" s="721">
        <f t="shared" si="5"/>
        <v>0</v>
      </c>
      <c r="I46" s="721">
        <f t="shared" si="5"/>
        <v>0</v>
      </c>
      <c r="J46" s="721">
        <f t="shared" si="5"/>
        <v>0</v>
      </c>
      <c r="K46" s="721">
        <f t="shared" si="5"/>
        <v>673.11575238385319</v>
      </c>
      <c r="L46" s="721">
        <f t="shared" si="5"/>
        <v>0</v>
      </c>
      <c r="M46" s="721">
        <f t="shared" ca="1" si="5"/>
        <v>0</v>
      </c>
      <c r="N46" s="721">
        <f t="shared" si="5"/>
        <v>0</v>
      </c>
      <c r="O46" s="721">
        <f t="shared" ca="1" si="5"/>
        <v>0</v>
      </c>
      <c r="P46" s="721">
        <f t="shared" si="5"/>
        <v>0</v>
      </c>
      <c r="Q46" s="721">
        <f t="shared" si="5"/>
        <v>0</v>
      </c>
      <c r="R46" s="721">
        <f ca="1">SUM(R39:R45)</f>
        <v>32858.966704391809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347.59899891676974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347.59899891676974</v>
      </c>
    </row>
    <row r="50" spans="1:18">
      <c r="A50" s="819" t="s">
        <v>307</v>
      </c>
      <c r="B50" s="829"/>
      <c r="C50" s="1008">
        <f ca="1">transport!B18</f>
        <v>0.14199276244417569</v>
      </c>
      <c r="D50" s="1008">
        <f>transport!C18</f>
        <v>0</v>
      </c>
      <c r="E50" s="1008">
        <f>transport!D18</f>
        <v>0.61344585390691542</v>
      </c>
      <c r="F50" s="1008">
        <f>transport!E18</f>
        <v>37.931422367433754</v>
      </c>
      <c r="G50" s="1008">
        <f>transport!F18</f>
        <v>0</v>
      </c>
      <c r="H50" s="1008">
        <f>transport!G18</f>
        <v>8141.8197398374195</v>
      </c>
      <c r="I50" s="1008">
        <f>transport!H18</f>
        <v>1636.2683572715885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9816.7749580927921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0.14199276244417569</v>
      </c>
      <c r="D52" s="721">
        <f t="shared" ref="D52:Q52" ca="1" si="6">SUM(D48:D51)</f>
        <v>0</v>
      </c>
      <c r="E52" s="721">
        <f t="shared" si="6"/>
        <v>0.61344585390691542</v>
      </c>
      <c r="F52" s="721">
        <f t="shared" si="6"/>
        <v>37.931422367433754</v>
      </c>
      <c r="G52" s="721">
        <f t="shared" si="6"/>
        <v>0</v>
      </c>
      <c r="H52" s="721">
        <f t="shared" si="6"/>
        <v>8489.4187387541897</v>
      </c>
      <c r="I52" s="721">
        <f t="shared" si="6"/>
        <v>1636.2683572715885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10164.373957009562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463.18262361956647</v>
      </c>
      <c r="D54" s="1008">
        <f ca="1">+landbouw!C12</f>
        <v>0</v>
      </c>
      <c r="E54" s="1008">
        <f>+landbouw!D12</f>
        <v>38.334278488983919</v>
      </c>
      <c r="F54" s="1008">
        <f>+landbouw!E12</f>
        <v>5.3408179225014374</v>
      </c>
      <c r="G54" s="1008">
        <f>+landbouw!F12</f>
        <v>2176.068824133351</v>
      </c>
      <c r="H54" s="1008">
        <f>+landbouw!G12</f>
        <v>0</v>
      </c>
      <c r="I54" s="1008">
        <f>+landbouw!H12</f>
        <v>0</v>
      </c>
      <c r="J54" s="1008">
        <f>+landbouw!I12</f>
        <v>0</v>
      </c>
      <c r="K54" s="1008">
        <f>+landbouw!J12</f>
        <v>109.36797256739649</v>
      </c>
      <c r="L54" s="1008">
        <f>+landbouw!K12</f>
        <v>0</v>
      </c>
      <c r="M54" s="1008">
        <f>+landbouw!L12</f>
        <v>0</v>
      </c>
      <c r="N54" s="1008">
        <f>+landbouw!M12</f>
        <v>0</v>
      </c>
      <c r="O54" s="1008">
        <f>+landbouw!N12</f>
        <v>0</v>
      </c>
      <c r="P54" s="1008">
        <f>+landbouw!O12</f>
        <v>0</v>
      </c>
      <c r="Q54" s="1009">
        <f>+landbouw!P12</f>
        <v>0</v>
      </c>
      <c r="R54" s="720">
        <f ca="1">SUM(C54:Q54)</f>
        <v>2792.2945167317994</v>
      </c>
    </row>
    <row r="55" spans="1:18" ht="15" thickBot="1">
      <c r="A55" s="819" t="s">
        <v>912</v>
      </c>
      <c r="B55" s="829"/>
      <c r="C55" s="1008">
        <f ca="1">C25*'EF ele_warmte'!B12</f>
        <v>117.93921860912127</v>
      </c>
      <c r="D55" s="1008"/>
      <c r="E55" s="1008">
        <f>E25*EF_CO2_aardgas</f>
        <v>414.65969859697304</v>
      </c>
      <c r="F55" s="1008"/>
      <c r="G55" s="1008"/>
      <c r="H55" s="1008"/>
      <c r="I55" s="1008"/>
      <c r="J55" s="1008"/>
      <c r="K55" s="1008"/>
      <c r="L55" s="1008"/>
      <c r="M55" s="1008"/>
      <c r="N55" s="1008"/>
      <c r="O55" s="1008"/>
      <c r="P55" s="1008"/>
      <c r="Q55" s="1009"/>
      <c r="R55" s="720">
        <f ca="1">SUM(C55:Q55)</f>
        <v>532.59891720609426</v>
      </c>
    </row>
    <row r="56" spans="1:18" ht="15.75" thickBot="1">
      <c r="A56" s="817" t="s">
        <v>913</v>
      </c>
      <c r="B56" s="830"/>
      <c r="C56" s="721">
        <f ca="1">SUM(C54:C55)</f>
        <v>581.12184222868768</v>
      </c>
      <c r="D56" s="721">
        <f t="shared" ref="D56:Q56" ca="1" si="7">SUM(D54:D55)</f>
        <v>0</v>
      </c>
      <c r="E56" s="721">
        <f t="shared" si="7"/>
        <v>452.99397708595694</v>
      </c>
      <c r="F56" s="721">
        <f t="shared" si="7"/>
        <v>5.3408179225014374</v>
      </c>
      <c r="G56" s="721">
        <f t="shared" si="7"/>
        <v>2176.068824133351</v>
      </c>
      <c r="H56" s="721">
        <f t="shared" si="7"/>
        <v>0</v>
      </c>
      <c r="I56" s="721">
        <f t="shared" si="7"/>
        <v>0</v>
      </c>
      <c r="J56" s="721">
        <f t="shared" si="7"/>
        <v>0</v>
      </c>
      <c r="K56" s="721">
        <f t="shared" si="7"/>
        <v>109.36797256739649</v>
      </c>
      <c r="L56" s="721">
        <f t="shared" si="7"/>
        <v>0</v>
      </c>
      <c r="M56" s="721">
        <f t="shared" si="7"/>
        <v>0</v>
      </c>
      <c r="N56" s="721">
        <f t="shared" si="7"/>
        <v>0</v>
      </c>
      <c r="O56" s="721">
        <f t="shared" si="7"/>
        <v>0</v>
      </c>
      <c r="P56" s="721">
        <f t="shared" si="7"/>
        <v>0</v>
      </c>
      <c r="Q56" s="722">
        <f t="shared" si="7"/>
        <v>0</v>
      </c>
      <c r="R56" s="723">
        <f ca="1">SUM(R54:R55)</f>
        <v>3324.8934339378939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11820.114616255862</v>
      </c>
      <c r="D61" s="729">
        <f t="shared" ref="D61:Q61" ca="1" si="8">D46+D52+D56</f>
        <v>0</v>
      </c>
      <c r="E61" s="729">
        <f t="shared" ca="1" si="8"/>
        <v>14864.610675956184</v>
      </c>
      <c r="F61" s="729">
        <f t="shared" si="8"/>
        <v>1497.5751435327611</v>
      </c>
      <c r="G61" s="729">
        <f t="shared" ca="1" si="8"/>
        <v>7257.7628386174265</v>
      </c>
      <c r="H61" s="729">
        <f t="shared" si="8"/>
        <v>8489.4187387541897</v>
      </c>
      <c r="I61" s="729">
        <f t="shared" si="8"/>
        <v>1636.2683572715885</v>
      </c>
      <c r="J61" s="729">
        <f t="shared" si="8"/>
        <v>0</v>
      </c>
      <c r="K61" s="729">
        <f t="shared" si="8"/>
        <v>782.48372495124966</v>
      </c>
      <c r="L61" s="729">
        <f t="shared" si="8"/>
        <v>0</v>
      </c>
      <c r="M61" s="729">
        <f t="shared" ca="1" si="8"/>
        <v>0</v>
      </c>
      <c r="N61" s="729">
        <f t="shared" si="8"/>
        <v>0</v>
      </c>
      <c r="O61" s="729">
        <f t="shared" ca="1" si="8"/>
        <v>0</v>
      </c>
      <c r="P61" s="729">
        <f t="shared" si="8"/>
        <v>0</v>
      </c>
      <c r="Q61" s="729">
        <f t="shared" si="8"/>
        <v>0</v>
      </c>
      <c r="R61" s="729">
        <f ca="1">R46+R52+R56</f>
        <v>46348.23409533927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0.18546080273091886</v>
      </c>
      <c r="D63" s="773">
        <f t="shared" ca="1" si="9"/>
        <v>0</v>
      </c>
      <c r="E63" s="1010">
        <f t="shared" ca="1" si="9"/>
        <v>0.20200000000000001</v>
      </c>
      <c r="F63" s="773">
        <f t="shared" si="9"/>
        <v>0.22699999999999995</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3562.0802340864643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6687</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7867.0588235294117</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10249.080234086465</v>
      </c>
      <c r="C78" s="744">
        <f>SUM(C72:C77)</f>
        <v>0</v>
      </c>
      <c r="D78" s="745">
        <f t="shared" ref="D78:H78" si="10">SUM(D76:D77)</f>
        <v>0</v>
      </c>
      <c r="E78" s="745">
        <f t="shared" si="10"/>
        <v>0</v>
      </c>
      <c r="F78" s="745">
        <f t="shared" si="10"/>
        <v>0</v>
      </c>
      <c r="G78" s="745">
        <f t="shared" si="10"/>
        <v>0</v>
      </c>
      <c r="H78" s="745">
        <f t="shared" si="10"/>
        <v>0</v>
      </c>
      <c r="I78" s="745">
        <f>SUM(I76:I77)</f>
        <v>0</v>
      </c>
      <c r="J78" s="745">
        <f>SUM(J76:J77)</f>
        <v>7867.0588235294117</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9552.8571428571431</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11238.655462184875</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9552.8571428571431</v>
      </c>
      <c r="C90" s="744">
        <f>SUM(C87:C89)</f>
        <v>0</v>
      </c>
      <c r="D90" s="744">
        <f t="shared" ref="D90:H90" si="12">SUM(D87:D89)</f>
        <v>0</v>
      </c>
      <c r="E90" s="744">
        <f t="shared" si="12"/>
        <v>0</v>
      </c>
      <c r="F90" s="744">
        <f t="shared" si="12"/>
        <v>0</v>
      </c>
      <c r="G90" s="744">
        <f t="shared" si="12"/>
        <v>0</v>
      </c>
      <c r="H90" s="744">
        <f t="shared" si="12"/>
        <v>0</v>
      </c>
      <c r="I90" s="744">
        <f>SUM(I87:I89)</f>
        <v>0</v>
      </c>
      <c r="J90" s="744">
        <f>SUM(J87:J89)</f>
        <v>11238.655462184875</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3562.0802340864643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6687</v>
      </c>
      <c r="C8" s="558">
        <f>B101</f>
        <v>0</v>
      </c>
      <c r="D8" s="991"/>
      <c r="E8" s="991">
        <f>E101</f>
        <v>0</v>
      </c>
      <c r="F8" s="992"/>
      <c r="G8" s="559"/>
      <c r="H8" s="991">
        <f>I101</f>
        <v>0</v>
      </c>
      <c r="I8" s="991">
        <f>G101+F101</f>
        <v>0</v>
      </c>
      <c r="J8" s="991">
        <f>H101+D101+C101</f>
        <v>7867.0588235294117</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10249.080234086465</v>
      </c>
      <c r="C10" s="570">
        <f t="shared" ref="C10:L10" si="0">SUM(C8:C9)</f>
        <v>0</v>
      </c>
      <c r="D10" s="570">
        <f t="shared" si="0"/>
        <v>0</v>
      </c>
      <c r="E10" s="570">
        <f t="shared" si="0"/>
        <v>0</v>
      </c>
      <c r="F10" s="570">
        <f t="shared" si="0"/>
        <v>0</v>
      </c>
      <c r="G10" s="570">
        <f t="shared" si="0"/>
        <v>0</v>
      </c>
      <c r="H10" s="570">
        <f t="shared" si="0"/>
        <v>0</v>
      </c>
      <c r="I10" s="570">
        <f t="shared" si="0"/>
        <v>0</v>
      </c>
      <c r="J10" s="570">
        <f t="shared" si="0"/>
        <v>7867.0588235294117</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9552.8571428571431</v>
      </c>
      <c r="C17" s="582">
        <f>B102</f>
        <v>0</v>
      </c>
      <c r="D17" s="583"/>
      <c r="E17" s="583">
        <f>E102</f>
        <v>0</v>
      </c>
      <c r="F17" s="584"/>
      <c r="G17" s="585"/>
      <c r="H17" s="582">
        <f>I102</f>
        <v>0</v>
      </c>
      <c r="I17" s="583">
        <f>G102+F102</f>
        <v>0</v>
      </c>
      <c r="J17" s="583">
        <f>H102+D102+C102</f>
        <v>11238.655462184875</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9552.8571428571431</v>
      </c>
      <c r="C20" s="569">
        <f>SUM(C17:C19)</f>
        <v>0</v>
      </c>
      <c r="D20" s="569">
        <f t="shared" ref="D20:L20" si="1">SUM(D17:D19)</f>
        <v>0</v>
      </c>
      <c r="E20" s="569">
        <f t="shared" si="1"/>
        <v>0</v>
      </c>
      <c r="F20" s="569">
        <f t="shared" si="1"/>
        <v>0</v>
      </c>
      <c r="G20" s="569">
        <f t="shared" si="1"/>
        <v>0</v>
      </c>
      <c r="H20" s="569">
        <f t="shared" si="1"/>
        <v>0</v>
      </c>
      <c r="I20" s="569">
        <f t="shared" si="1"/>
        <v>0</v>
      </c>
      <c r="J20" s="569">
        <f t="shared" si="1"/>
        <v>11238.655462184875</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51">
      <c r="A28" s="594"/>
      <c r="B28" s="789">
        <v>36012</v>
      </c>
      <c r="C28" s="789">
        <v>8890</v>
      </c>
      <c r="D28" s="642" t="s">
        <v>946</v>
      </c>
      <c r="E28" s="641" t="s">
        <v>947</v>
      </c>
      <c r="F28" s="641" t="s">
        <v>948</v>
      </c>
      <c r="G28" s="641" t="s">
        <v>949</v>
      </c>
      <c r="H28" s="641" t="s">
        <v>950</v>
      </c>
      <c r="I28" s="641" t="s">
        <v>951</v>
      </c>
      <c r="J28" s="788">
        <v>40634</v>
      </c>
      <c r="K28" s="788">
        <v>40634</v>
      </c>
      <c r="L28" s="641" t="s">
        <v>952</v>
      </c>
      <c r="M28" s="641">
        <v>1486</v>
      </c>
      <c r="N28" s="641">
        <v>6687</v>
      </c>
      <c r="O28" s="641">
        <v>9552.8571428571431</v>
      </c>
      <c r="P28" s="641">
        <v>0</v>
      </c>
      <c r="Q28" s="641">
        <v>19105.714285714286</v>
      </c>
      <c r="R28" s="641">
        <v>0</v>
      </c>
      <c r="S28" s="641">
        <v>0</v>
      </c>
      <c r="T28" s="641">
        <v>0</v>
      </c>
      <c r="U28" s="641">
        <v>0</v>
      </c>
      <c r="V28" s="641">
        <v>0</v>
      </c>
      <c r="W28" s="641"/>
      <c r="X28" s="641">
        <v>1500</v>
      </c>
      <c r="Y28" s="641" t="s">
        <v>51</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1486</v>
      </c>
      <c r="N58" s="599">
        <f>SUM(N28:N57)</f>
        <v>6687</v>
      </c>
      <c r="O58" s="599">
        <f t="shared" ref="O58:W58" si="2">SUM(O28:O57)</f>
        <v>9552.8571428571431</v>
      </c>
      <c r="P58" s="599">
        <f t="shared" si="2"/>
        <v>0</v>
      </c>
      <c r="Q58" s="599">
        <f t="shared" si="2"/>
        <v>19105.714285714286</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1486</v>
      </c>
      <c r="N60" s="599">
        <f ca="1">SUMIF($Z$28:AD57,"tertiair",N28:N57)</f>
        <v>6687</v>
      </c>
      <c r="O60" s="599">
        <f ca="1">SUMIF($Z$28:AE57,"tertiair",O28:O57)</f>
        <v>9552.8571428571431</v>
      </c>
      <c r="P60" s="599">
        <f ca="1">SUMIF($Z$28:AF57,"tertiair",P28:P57)</f>
        <v>0</v>
      </c>
      <c r="Q60" s="599">
        <f ca="1">SUMIF($Z$28:AG57,"tertiair",Q28:Q57)</f>
        <v>19105.714285714286</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7867.0588235294117</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11238.655462184875</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19107.039929594415</v>
      </c>
      <c r="C4" s="461">
        <f>huishoudens!C8</f>
        <v>0</v>
      </c>
      <c r="D4" s="461">
        <f>huishoudens!D8</f>
        <v>42222.106924322936</v>
      </c>
      <c r="E4" s="461">
        <f>huishoudens!E8</f>
        <v>6097.6375857477624</v>
      </c>
      <c r="F4" s="461">
        <f>huishoudens!F8</f>
        <v>10971.427688180289</v>
      </c>
      <c r="G4" s="461">
        <f>huishoudens!G8</f>
        <v>0</v>
      </c>
      <c r="H4" s="461">
        <f>huishoudens!H8</f>
        <v>0</v>
      </c>
      <c r="I4" s="461">
        <f>huishoudens!I8</f>
        <v>0</v>
      </c>
      <c r="J4" s="461">
        <f>huishoudens!J8</f>
        <v>1805.0614765903765</v>
      </c>
      <c r="K4" s="461">
        <f>huishoudens!K8</f>
        <v>0</v>
      </c>
      <c r="L4" s="461">
        <f>huishoudens!L8</f>
        <v>0</v>
      </c>
      <c r="M4" s="461">
        <f>huishoudens!M8</f>
        <v>0</v>
      </c>
      <c r="N4" s="461">
        <f>huishoudens!N8</f>
        <v>16858.746200976006</v>
      </c>
      <c r="O4" s="461">
        <f>huishoudens!O8</f>
        <v>76.603333333333339</v>
      </c>
      <c r="P4" s="462">
        <f>huishoudens!P8</f>
        <v>114.4</v>
      </c>
      <c r="Q4" s="463">
        <f>SUM(B4:P4)</f>
        <v>97253.02313874512</v>
      </c>
    </row>
    <row r="5" spans="1:17">
      <c r="A5" s="460" t="s">
        <v>156</v>
      </c>
      <c r="B5" s="461">
        <f ca="1">tertiair!B16</f>
        <v>21696.355166240228</v>
      </c>
      <c r="C5" s="461">
        <f ca="1">tertiair!C16</f>
        <v>9552.8571428571431</v>
      </c>
      <c r="D5" s="461">
        <f ca="1">tertiair!D16</f>
        <v>14365.564470002337</v>
      </c>
      <c r="E5" s="461">
        <f>tertiair!E16</f>
        <v>148.08965964021618</v>
      </c>
      <c r="F5" s="461">
        <f ca="1">tertiair!F16</f>
        <v>3159.6065481666465</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48922.472986906563</v>
      </c>
    </row>
    <row r="6" spans="1:17">
      <c r="A6" s="460" t="s">
        <v>194</v>
      </c>
      <c r="B6" s="461">
        <f>'openbare verlichting'!B8</f>
        <v>1054.136</v>
      </c>
      <c r="C6" s="461"/>
      <c r="D6" s="461"/>
      <c r="E6" s="461"/>
      <c r="F6" s="461"/>
      <c r="G6" s="461"/>
      <c r="H6" s="461"/>
      <c r="I6" s="461"/>
      <c r="J6" s="461"/>
      <c r="K6" s="461"/>
      <c r="L6" s="461"/>
      <c r="M6" s="461"/>
      <c r="N6" s="461"/>
      <c r="O6" s="461"/>
      <c r="P6" s="462"/>
      <c r="Q6" s="460">
        <f t="shared" si="0"/>
        <v>1054.136</v>
      </c>
    </row>
    <row r="7" spans="1:17">
      <c r="A7" s="460" t="s">
        <v>112</v>
      </c>
      <c r="B7" s="461">
        <f>landbouw!B8</f>
        <v>2497.469097508374</v>
      </c>
      <c r="C7" s="461">
        <f>landbouw!C8</f>
        <v>0</v>
      </c>
      <c r="D7" s="461">
        <f>landbouw!D8</f>
        <v>189.773655886059</v>
      </c>
      <c r="E7" s="461">
        <f>landbouw!E8</f>
        <v>23.527832257715581</v>
      </c>
      <c r="F7" s="461">
        <f>landbouw!F8</f>
        <v>8150.0705023721002</v>
      </c>
      <c r="G7" s="461">
        <f>landbouw!G8</f>
        <v>0</v>
      </c>
      <c r="H7" s="461">
        <f>landbouw!H8</f>
        <v>0</v>
      </c>
      <c r="I7" s="461">
        <f>landbouw!I8</f>
        <v>0</v>
      </c>
      <c r="J7" s="461">
        <f>landbouw!J8</f>
        <v>308.94907504914266</v>
      </c>
      <c r="K7" s="461">
        <f>landbouw!K8</f>
        <v>0</v>
      </c>
      <c r="L7" s="461">
        <f>landbouw!L8</f>
        <v>0</v>
      </c>
      <c r="M7" s="461">
        <f>landbouw!M8</f>
        <v>0</v>
      </c>
      <c r="N7" s="461">
        <f>landbouw!N8</f>
        <v>0</v>
      </c>
      <c r="O7" s="461">
        <f>landbouw!O8</f>
        <v>0</v>
      </c>
      <c r="P7" s="462">
        <f>landbouw!P8</f>
        <v>0</v>
      </c>
      <c r="Q7" s="460">
        <f t="shared" si="0"/>
        <v>11169.79016307339</v>
      </c>
    </row>
    <row r="8" spans="1:17">
      <c r="A8" s="460" t="s">
        <v>685</v>
      </c>
      <c r="B8" s="461">
        <f>industrie!B18</f>
        <v>18742.070630094153</v>
      </c>
      <c r="C8" s="461">
        <f>industrie!C18</f>
        <v>0</v>
      </c>
      <c r="D8" s="461">
        <f>industrie!D18</f>
        <v>14753.928868131756</v>
      </c>
      <c r="E8" s="461">
        <f>industrie!E18</f>
        <v>160.89347374341361</v>
      </c>
      <c r="F8" s="461">
        <f>industrie!F18</f>
        <v>4901.5276156533491</v>
      </c>
      <c r="G8" s="461">
        <f>industrie!G18</f>
        <v>0</v>
      </c>
      <c r="H8" s="461">
        <f>industrie!H18</f>
        <v>0</v>
      </c>
      <c r="I8" s="461">
        <f>industrie!I18</f>
        <v>0</v>
      </c>
      <c r="J8" s="461">
        <f>industrie!J18</f>
        <v>96.395451047627006</v>
      </c>
      <c r="K8" s="461">
        <f>industrie!K18</f>
        <v>0</v>
      </c>
      <c r="L8" s="461">
        <f>industrie!L18</f>
        <v>0</v>
      </c>
      <c r="M8" s="461">
        <f>industrie!M18</f>
        <v>0</v>
      </c>
      <c r="N8" s="461">
        <f>industrie!N18</f>
        <v>651.12909906936773</v>
      </c>
      <c r="O8" s="461">
        <f>industrie!O18</f>
        <v>0</v>
      </c>
      <c r="P8" s="462">
        <f>industrie!P18</f>
        <v>0</v>
      </c>
      <c r="Q8" s="460">
        <f t="shared" si="0"/>
        <v>39305.945137739662</v>
      </c>
    </row>
    <row r="9" spans="1:17" s="466" customFormat="1">
      <c r="A9" s="464" t="s">
        <v>579</v>
      </c>
      <c r="B9" s="465">
        <f>transport!B14</f>
        <v>0.76562141624173807</v>
      </c>
      <c r="C9" s="465">
        <f>transport!C14</f>
        <v>0</v>
      </c>
      <c r="D9" s="465">
        <f>transport!D14</f>
        <v>3.0368606629055219</v>
      </c>
      <c r="E9" s="465">
        <f>transport!E14</f>
        <v>167.09877694904736</v>
      </c>
      <c r="F9" s="465">
        <f>transport!F14</f>
        <v>0</v>
      </c>
      <c r="G9" s="465">
        <f>transport!G14</f>
        <v>30493.706890776852</v>
      </c>
      <c r="H9" s="465">
        <f>transport!H14</f>
        <v>6571.3588645445316</v>
      </c>
      <c r="I9" s="465">
        <f>transport!I14</f>
        <v>0</v>
      </c>
      <c r="J9" s="465">
        <f>transport!J14</f>
        <v>0</v>
      </c>
      <c r="K9" s="465">
        <f>transport!K14</f>
        <v>0</v>
      </c>
      <c r="L9" s="465">
        <f>transport!L14</f>
        <v>0</v>
      </c>
      <c r="M9" s="465">
        <f>transport!M14</f>
        <v>1658.483876628396</v>
      </c>
      <c r="N9" s="465">
        <f>transport!N14</f>
        <v>0</v>
      </c>
      <c r="O9" s="465">
        <f>transport!O14</f>
        <v>0</v>
      </c>
      <c r="P9" s="465">
        <f>transport!P14</f>
        <v>0</v>
      </c>
      <c r="Q9" s="464">
        <f>SUM(B9:P9)</f>
        <v>38894.450890977976</v>
      </c>
    </row>
    <row r="10" spans="1:17">
      <c r="A10" s="460" t="s">
        <v>569</v>
      </c>
      <c r="B10" s="461">
        <f>transport!B54</f>
        <v>0</v>
      </c>
      <c r="C10" s="461">
        <f>transport!C54</f>
        <v>0</v>
      </c>
      <c r="D10" s="461">
        <f>transport!D54</f>
        <v>0</v>
      </c>
      <c r="E10" s="461">
        <f>transport!E54</f>
        <v>0</v>
      </c>
      <c r="F10" s="461">
        <f>transport!F54</f>
        <v>0</v>
      </c>
      <c r="G10" s="461">
        <f>transport!G54</f>
        <v>1301.8689098006357</v>
      </c>
      <c r="H10" s="461">
        <f>transport!H54</f>
        <v>0</v>
      </c>
      <c r="I10" s="461">
        <f>transport!I54</f>
        <v>0</v>
      </c>
      <c r="J10" s="461">
        <f>transport!J54</f>
        <v>0</v>
      </c>
      <c r="K10" s="461">
        <f>transport!K54</f>
        <v>0</v>
      </c>
      <c r="L10" s="461">
        <f>transport!L54</f>
        <v>0</v>
      </c>
      <c r="M10" s="461">
        <f>transport!M54</f>
        <v>57.167211396445296</v>
      </c>
      <c r="N10" s="461">
        <f>transport!N54</f>
        <v>0</v>
      </c>
      <c r="O10" s="461">
        <f>transport!O54</f>
        <v>0</v>
      </c>
      <c r="P10" s="462">
        <f>transport!P54</f>
        <v>0</v>
      </c>
      <c r="Q10" s="460">
        <f t="shared" si="0"/>
        <v>1359.036121197081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635.92531075278907</v>
      </c>
      <c r="C14" s="468"/>
      <c r="D14" s="468">
        <f>'SEAP template'!E25</f>
        <v>2052.7707851335299</v>
      </c>
      <c r="E14" s="468"/>
      <c r="F14" s="468"/>
      <c r="G14" s="468"/>
      <c r="H14" s="468"/>
      <c r="I14" s="468"/>
      <c r="J14" s="468"/>
      <c r="K14" s="468"/>
      <c r="L14" s="468"/>
      <c r="M14" s="468"/>
      <c r="N14" s="468"/>
      <c r="O14" s="468"/>
      <c r="P14" s="469"/>
      <c r="Q14" s="460">
        <f t="shared" si="0"/>
        <v>2688.6960958863192</v>
      </c>
    </row>
    <row r="15" spans="1:17" s="473" customFormat="1">
      <c r="A15" s="470" t="s">
        <v>573</v>
      </c>
      <c r="B15" s="471">
        <f ca="1">SUM(B4:B14)</f>
        <v>63733.761755606196</v>
      </c>
      <c r="C15" s="471">
        <f t="shared" ref="C15:Q15" ca="1" si="1">SUM(C4:C14)</f>
        <v>9552.8571428571431</v>
      </c>
      <c r="D15" s="471">
        <f t="shared" ca="1" si="1"/>
        <v>73587.181564139508</v>
      </c>
      <c r="E15" s="471">
        <f t="shared" si="1"/>
        <v>6597.247328338156</v>
      </c>
      <c r="F15" s="471">
        <f t="shared" ca="1" si="1"/>
        <v>27182.632354372385</v>
      </c>
      <c r="G15" s="471">
        <f t="shared" si="1"/>
        <v>31795.575800577488</v>
      </c>
      <c r="H15" s="471">
        <f t="shared" si="1"/>
        <v>6571.3588645445316</v>
      </c>
      <c r="I15" s="471">
        <f t="shared" si="1"/>
        <v>0</v>
      </c>
      <c r="J15" s="471">
        <f t="shared" si="1"/>
        <v>2210.4060026871462</v>
      </c>
      <c r="K15" s="471">
        <f t="shared" si="1"/>
        <v>0</v>
      </c>
      <c r="L15" s="471">
        <f t="shared" ca="1" si="1"/>
        <v>0</v>
      </c>
      <c r="M15" s="471">
        <f t="shared" si="1"/>
        <v>1715.6510880248413</v>
      </c>
      <c r="N15" s="471">
        <f t="shared" ca="1" si="1"/>
        <v>17509.875300045373</v>
      </c>
      <c r="O15" s="471">
        <f t="shared" si="1"/>
        <v>76.603333333333339</v>
      </c>
      <c r="P15" s="471">
        <f t="shared" si="1"/>
        <v>114.4</v>
      </c>
      <c r="Q15" s="471">
        <f t="shared" ca="1" si="1"/>
        <v>240647.55053452612</v>
      </c>
    </row>
    <row r="17" spans="1:17">
      <c r="A17" s="474" t="s">
        <v>574</v>
      </c>
      <c r="B17" s="778">
        <f ca="1">huishoudens!B10</f>
        <v>0.18546080273091883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3543.6069631542991</v>
      </c>
      <c r="C22" s="461">
        <f t="shared" ref="C22:C32" ca="1" si="3">C4*$C$17</f>
        <v>0</v>
      </c>
      <c r="D22" s="461">
        <f t="shared" ref="D22:D32" si="4">D4*$D$17</f>
        <v>8528.8655987132333</v>
      </c>
      <c r="E22" s="461">
        <f t="shared" ref="E22:E32" si="5">E4*$E$17</f>
        <v>1384.1637319647421</v>
      </c>
      <c r="F22" s="461">
        <f t="shared" ref="F22:F32" si="6">F4*$F$17</f>
        <v>2929.3711927441373</v>
      </c>
      <c r="G22" s="461">
        <f t="shared" ref="G22:G32" si="7">G4*$G$17</f>
        <v>0</v>
      </c>
      <c r="H22" s="461">
        <f t="shared" ref="H22:H32" si="8">H4*$H$17</f>
        <v>0</v>
      </c>
      <c r="I22" s="461">
        <f t="shared" ref="I22:I32" si="9">I4*$I$17</f>
        <v>0</v>
      </c>
      <c r="J22" s="461">
        <f t="shared" ref="J22:J32" si="10">J4*$J$17</f>
        <v>638.99176271299325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17024.999249289405</v>
      </c>
    </row>
    <row r="23" spans="1:17">
      <c r="A23" s="460" t="s">
        <v>156</v>
      </c>
      <c r="B23" s="461">
        <f t="shared" ca="1" si="2"/>
        <v>4023.8234454660305</v>
      </c>
      <c r="C23" s="461">
        <f t="shared" ca="1" si="3"/>
        <v>0</v>
      </c>
      <c r="D23" s="461">
        <f t="shared" ca="1" si="4"/>
        <v>2901.8440229404723</v>
      </c>
      <c r="E23" s="461">
        <f t="shared" si="5"/>
        <v>33.616352738329077</v>
      </c>
      <c r="F23" s="461">
        <f t="shared" ca="1" si="6"/>
        <v>843.61494836049462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7802.8987695053265</v>
      </c>
    </row>
    <row r="24" spans="1:17">
      <c r="A24" s="460" t="s">
        <v>194</v>
      </c>
      <c r="B24" s="461">
        <f t="shared" ca="1" si="2"/>
        <v>195.50090874755986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195.50090874755986</v>
      </c>
    </row>
    <row r="25" spans="1:17">
      <c r="A25" s="460" t="s">
        <v>112</v>
      </c>
      <c r="B25" s="461">
        <f t="shared" ca="1" si="2"/>
        <v>463.18262361956647</v>
      </c>
      <c r="C25" s="461">
        <f t="shared" ca="1" si="3"/>
        <v>0</v>
      </c>
      <c r="D25" s="461">
        <f t="shared" si="4"/>
        <v>38.334278488983919</v>
      </c>
      <c r="E25" s="461">
        <f t="shared" si="5"/>
        <v>5.3408179225014374</v>
      </c>
      <c r="F25" s="461">
        <f t="shared" si="6"/>
        <v>2176.068824133351</v>
      </c>
      <c r="G25" s="461">
        <f t="shared" si="7"/>
        <v>0</v>
      </c>
      <c r="H25" s="461">
        <f t="shared" si="8"/>
        <v>0</v>
      </c>
      <c r="I25" s="461">
        <f t="shared" si="9"/>
        <v>0</v>
      </c>
      <c r="J25" s="461">
        <f t="shared" si="10"/>
        <v>109.36797256739649</v>
      </c>
      <c r="K25" s="461">
        <f t="shared" si="11"/>
        <v>0</v>
      </c>
      <c r="L25" s="461">
        <f t="shared" si="12"/>
        <v>0</v>
      </c>
      <c r="M25" s="461">
        <f t="shared" si="13"/>
        <v>0</v>
      </c>
      <c r="N25" s="461">
        <f t="shared" si="14"/>
        <v>0</v>
      </c>
      <c r="O25" s="461">
        <f t="shared" si="15"/>
        <v>0</v>
      </c>
      <c r="P25" s="462">
        <f t="shared" si="16"/>
        <v>0</v>
      </c>
      <c r="Q25" s="460">
        <f t="shared" ca="1" si="17"/>
        <v>2792.2945167317994</v>
      </c>
    </row>
    <row r="26" spans="1:17">
      <c r="A26" s="460" t="s">
        <v>685</v>
      </c>
      <c r="B26" s="461">
        <f t="shared" ca="1" si="2"/>
        <v>3475.9194638968393</v>
      </c>
      <c r="C26" s="461">
        <f t="shared" ca="1" si="3"/>
        <v>0</v>
      </c>
      <c r="D26" s="461">
        <f t="shared" si="4"/>
        <v>2980.2936313626146</v>
      </c>
      <c r="E26" s="461">
        <f t="shared" si="5"/>
        <v>36.522818539754887</v>
      </c>
      <c r="F26" s="461">
        <f t="shared" si="6"/>
        <v>1308.7078733794442</v>
      </c>
      <c r="G26" s="461">
        <f t="shared" si="7"/>
        <v>0</v>
      </c>
      <c r="H26" s="461">
        <f t="shared" si="8"/>
        <v>0</v>
      </c>
      <c r="I26" s="461">
        <f t="shared" si="9"/>
        <v>0</v>
      </c>
      <c r="J26" s="461">
        <f t="shared" si="10"/>
        <v>34.123989670859956</v>
      </c>
      <c r="K26" s="461">
        <f t="shared" si="11"/>
        <v>0</v>
      </c>
      <c r="L26" s="461">
        <f t="shared" si="12"/>
        <v>0</v>
      </c>
      <c r="M26" s="461">
        <f t="shared" si="13"/>
        <v>0</v>
      </c>
      <c r="N26" s="461">
        <f t="shared" si="14"/>
        <v>0</v>
      </c>
      <c r="O26" s="461">
        <f t="shared" si="15"/>
        <v>0</v>
      </c>
      <c r="P26" s="462">
        <f t="shared" si="16"/>
        <v>0</v>
      </c>
      <c r="Q26" s="460">
        <f t="shared" ca="1" si="17"/>
        <v>7835.5677768495134</v>
      </c>
    </row>
    <row r="27" spans="1:17" s="466" customFormat="1">
      <c r="A27" s="464" t="s">
        <v>579</v>
      </c>
      <c r="B27" s="772">
        <f t="shared" ca="1" si="2"/>
        <v>0.14199276244417569</v>
      </c>
      <c r="C27" s="465">
        <f t="shared" ca="1" si="3"/>
        <v>0</v>
      </c>
      <c r="D27" s="465">
        <f t="shared" si="4"/>
        <v>0.61344585390691542</v>
      </c>
      <c r="E27" s="465">
        <f t="shared" si="5"/>
        <v>37.931422367433754</v>
      </c>
      <c r="F27" s="465">
        <f t="shared" si="6"/>
        <v>0</v>
      </c>
      <c r="G27" s="465">
        <f t="shared" si="7"/>
        <v>8141.8197398374195</v>
      </c>
      <c r="H27" s="465">
        <f t="shared" si="8"/>
        <v>1636.2683572715885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9816.7749580927921</v>
      </c>
    </row>
    <row r="28" spans="1:17">
      <c r="A28" s="460" t="s">
        <v>569</v>
      </c>
      <c r="B28" s="461">
        <f t="shared" ca="1" si="2"/>
        <v>0</v>
      </c>
      <c r="C28" s="461">
        <f t="shared" ca="1" si="3"/>
        <v>0</v>
      </c>
      <c r="D28" s="461">
        <f t="shared" si="4"/>
        <v>0</v>
      </c>
      <c r="E28" s="461">
        <f t="shared" si="5"/>
        <v>0</v>
      </c>
      <c r="F28" s="461">
        <f t="shared" si="6"/>
        <v>0</v>
      </c>
      <c r="G28" s="461">
        <f t="shared" si="7"/>
        <v>347.59899891676974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347.59899891676974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117.93921860912127</v>
      </c>
      <c r="C32" s="461">
        <f t="shared" ca="1" si="3"/>
        <v>0</v>
      </c>
      <c r="D32" s="461">
        <f t="shared" si="4"/>
        <v>414.65969859697304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532.59891720609426</v>
      </c>
    </row>
    <row r="33" spans="1:17" s="473" customFormat="1">
      <c r="A33" s="470" t="s">
        <v>573</v>
      </c>
      <c r="B33" s="471">
        <f ca="1">SUM(B22:B32)</f>
        <v>11820.114616255862</v>
      </c>
      <c r="C33" s="471">
        <f t="shared" ref="C33:Q33" ca="1" si="18">SUM(C22:C32)</f>
        <v>0</v>
      </c>
      <c r="D33" s="471">
        <f t="shared" ca="1" si="18"/>
        <v>14864.610675956186</v>
      </c>
      <c r="E33" s="471">
        <f t="shared" si="18"/>
        <v>1497.5751435327611</v>
      </c>
      <c r="F33" s="471">
        <f t="shared" ca="1" si="18"/>
        <v>7257.7628386174274</v>
      </c>
      <c r="G33" s="471">
        <f t="shared" si="18"/>
        <v>8489.4187387541897</v>
      </c>
      <c r="H33" s="471">
        <f t="shared" si="18"/>
        <v>1636.2683572715885</v>
      </c>
      <c r="I33" s="471">
        <f t="shared" si="18"/>
        <v>0</v>
      </c>
      <c r="J33" s="471">
        <f t="shared" si="18"/>
        <v>782.48372495124966</v>
      </c>
      <c r="K33" s="471">
        <f t="shared" si="18"/>
        <v>0</v>
      </c>
      <c r="L33" s="471">
        <f t="shared" ca="1" si="18"/>
        <v>0</v>
      </c>
      <c r="M33" s="471">
        <f t="shared" si="18"/>
        <v>0</v>
      </c>
      <c r="N33" s="471">
        <f t="shared" ca="1" si="18"/>
        <v>0</v>
      </c>
      <c r="O33" s="471">
        <f t="shared" si="18"/>
        <v>0</v>
      </c>
      <c r="P33" s="471">
        <f t="shared" si="18"/>
        <v>0</v>
      </c>
      <c r="Q33" s="471">
        <f t="shared" ca="1" si="18"/>
        <v>46348.234095339263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3562.0802340864643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6687</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7867.0588235294117</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10249.080234086465</v>
      </c>
      <c r="C10" s="1041">
        <f>SUM(C4:C9)</f>
        <v>0</v>
      </c>
      <c r="D10" s="1041">
        <f t="shared" ref="D10:H10" si="0">SUM(D8:D9)</f>
        <v>0</v>
      </c>
      <c r="E10" s="1041">
        <f t="shared" si="0"/>
        <v>0</v>
      </c>
      <c r="F10" s="1041">
        <f t="shared" si="0"/>
        <v>0</v>
      </c>
      <c r="G10" s="1041">
        <f t="shared" si="0"/>
        <v>0</v>
      </c>
      <c r="H10" s="1041">
        <f t="shared" si="0"/>
        <v>0</v>
      </c>
      <c r="I10" s="1041">
        <f>SUM(I8:I9)</f>
        <v>0</v>
      </c>
      <c r="J10" s="1041">
        <f>SUM(J8:J9)</f>
        <v>7867.0588235294117</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0.18546080273091883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9552.8571428571431</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11238.655462184875</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9552.8571428571431</v>
      </c>
      <c r="C20" s="1041">
        <f>SUM(C17:C19)</f>
        <v>0</v>
      </c>
      <c r="D20" s="1041">
        <f t="shared" ref="D20:H20" si="2">SUM(D17:D19)</f>
        <v>0</v>
      </c>
      <c r="E20" s="1041">
        <f t="shared" si="2"/>
        <v>0</v>
      </c>
      <c r="F20" s="1041">
        <f t="shared" si="2"/>
        <v>0</v>
      </c>
      <c r="G20" s="1041">
        <f t="shared" si="2"/>
        <v>0</v>
      </c>
      <c r="H20" s="1041">
        <f t="shared" si="2"/>
        <v>0</v>
      </c>
      <c r="I20" s="1041">
        <f>SUM(I17:I19)</f>
        <v>0</v>
      </c>
      <c r="J20" s="1041">
        <f>SUM(J17:J19)</f>
        <v>11238.655462184875</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0.18546080273091883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2019-06-29T16:13:19Z</dcterms:modified>
</cp:coreProperties>
</file>