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<sst xmlns="http://schemas.openxmlformats.org/spreadsheetml/2006/main" count="2483" uniqueCount="946">
  <si>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</si>
  <si>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</si>
  <si>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</si>
  <si>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</si>
  <si>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</si>
  <si>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</si>
  <si>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</si>
  <si>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</si>
  <si>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</si>
  <si>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</si>
  <si>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</si>
  <si>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</si>
  <si>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</si>
  <si>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</si>
  <si>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</si>
  <si>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</si>
  <si>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</si>
  <si>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</si>
  <si>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</si>
  <si>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</si>
  <si>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</si>
  <si>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</si>
  <si>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</si>
  <si>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</si>
  <si>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</si>
  <si>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</si>
  <si>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</si>
  <si>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</si>
  <si>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</si>
  <si>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</si>
  <si>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</si>
  <si>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</si>
  <si>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</si>
  <si>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</si>
  <si>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</si>
  <si>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</si>
  <si>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</si>
  <si>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</si>
  <si>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</si>
  <si>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</si>
  <si>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</si>
  <si>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</si>
  <si>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</si>
  <si>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</si>
  <si>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</si>
  <si>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</si>
  <si>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</si>
  <si>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</si>
  <si>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</si>
  <si>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</si>
  <si>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</si>
  <si>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</si>
  <si>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</si>
  <si>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</si>
  <si>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</si>
  <si>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</si>
  <si>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</si>
  <si>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</si>
  <si>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</si>
  <si>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</si>
  <si>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</si>
  <si>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</si>
  <si>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</si>
  <si>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</si>
  <si>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</si>
  <si>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</si>
  <si>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</si>
  <si>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</si>
  <si>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</si>
  <si>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</si>
  <si>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</si>
  <si>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</si>
  <si>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</si>
  <si>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</si>
  <si>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</si>
  <si>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</si>
  <si>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</si>
  <si>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</si>
  <si>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</si>
  <si>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</si>
  <si>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</si>
  <si>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</si>
  <si>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</si>
  <si>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</si>
  <si>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</si>
  <si>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</si>
  <si>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</si>
  <si>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</si>
  <si>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</si>
  <si>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</si>
  <si>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</si>
  <si>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</si>
  <si>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</si>
  <si>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</si>
  <si>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</si>
  <si>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</si>
  <si>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</si>
  <si>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</si>
  <si>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</si>
  <si>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</si>
  <si>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</si>
  <si>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</si>
  <si>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</si>
  <si>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</si>
  <si>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</si>
  <si>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</si>
  <si>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</si>
  <si>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</si>
  <si>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</si>
  <si>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</si>
  <si>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</si>
  <si>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</si>
  <si>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</si>
  <si>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</si>
  <si>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</si>
  <si>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</si>
  <si>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</si>
  <si>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</si>
  <si>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</si>
  <si>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</si>
  <si>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</si>
  <si>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</si>
  <si>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</si>
  <si>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</si>
  <si>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</si>
  <si>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</si>
  <si>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</si>
  <si>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</si>
  <si>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</si>
  <si>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</si>
  <si>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</si>
  <si>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</si>
  <si>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</si>
  <si>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</si>
  <si>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</si>
  <si>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</si>
  <si>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</si>
  <si>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</si>
  <si>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</si>
  <si>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</si>
  <si>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</si>
  <si>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</si>
  <si>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</si>
  <si>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</si>
  <si>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</si>
  <si>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</si>
  <si>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</si>
  <si>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</si>
  <si>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</si>
  <si>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</si>
  <si>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</si>
  <si>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</si>
  <si>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</si>
  <si>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</si>
  <si>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</si>
  <si>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</si>
  <si>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</si>
  <si>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</si>
  <si>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</si>
  <si>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</si>
  <si>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</si>
  <si>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</si>
  <si>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</si>
  <si>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</si>
  <si>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</si>
  <si>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</si>
  <si>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</si>
  <si>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</si>
  <si>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</si>
  <si>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</si>
  <si>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</si>
  <si>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</si>
  <si>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</si>
  <si>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</si>
  <si>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</si>
  <si>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</si>
  <si>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</si>
  <si>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</si>
  <si>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</si>
  <si>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</si>
  <si>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</si>
  <si>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</si>
  <si>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</si>
  <si>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</si>
  <si>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</si>
  <si>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</si>
  <si>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</si>
  <si>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</si>
  <si>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</si>
  <si>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</si>
  <si>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</si>
  <si>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</si>
  <si>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</si>
  <si>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</si>
  <si>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</si>
  <si>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</si>
  <si>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</si>
  <si>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</si>
  <si>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</si>
  <si>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</si>
  <si>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</si>
  <si>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</si>
  <si>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</si>
  <si>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</si>
  <si>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</si>
  <si>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</si>
  <si>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</si>
  <si>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</si>
  <si>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</si>
  <si>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</si>
  <si>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</si>
  <si>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</si>
  <si>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</si>
  <si>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</si>
  <si>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</si>
  <si>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</si>
  <si>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</si>
  <si>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</si>
  <si>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</si>
  <si>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</si>
  <si>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</si>
  <si>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</si>
  <si>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</si>
  <si>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</si>
  <si>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</si>
  <si>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</si>
  <si>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</si>
  <si>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</si>
  <si>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</si>
  <si>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</si>
  <si>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</si>
  <si>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</si>
  <si>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</si>
  <si>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</si>
  <si>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</si>
  <si>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</si>
  <si>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</si>
  <si>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</si>
  <si>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</si>
  <si>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</si>
  <si>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</si>
  <si>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</si>
  <si>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</si>
  <si>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</si>
  <si>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</si>
  <si>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</si>
  <si>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</si>
  <si>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</si>
  <si>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</si>
  <si>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</si>
  <si>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</si>
  <si>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</si>
  <si>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</si>
  <si>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</si>
  <si>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</si>
  <si>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</si>
  <si>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</si>
  <si>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</si>
  <si>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</si>
  <si>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</si>
  <si>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</si>
  <si>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</si>
  <si>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</si>
  <si>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</si>
  <si>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</si>
  <si>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</si>
  <si>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</si>
  <si>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</si>
  <si>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</si>
  <si>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</si>
  <si>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</si>
  <si>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</si>
  <si>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</si>
  <si>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</si>
  <si>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</si>
  <si>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</si>
  <si>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</si>
  <si>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</si>
  <si>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</si>
  <si>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</si>
  <si>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</si>
  <si>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</si>
  <si>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</si>
  <si>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</si>
  <si>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</si>
  <si>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</si>
  <si>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</si>
  <si>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</si>
  <si>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</si>
  <si>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</si>
  <si>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</si>
  <si>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</si>
  <si>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</si>
  <si>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</si>
  <si>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</si>
  <si>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</si>
  <si>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</si>
  <si>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</si>
  <si>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</si>
  <si>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</si>
  <si>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</si>
  <si>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</si>
  <si>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</si>
  <si>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</si>
  <si>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</si>
  <si>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</si>
  <si>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</si>
  <si>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</si>
  <si>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</si>
  <si>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</si>
  <si>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</si>
  <si>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</si>
  <si>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</si>
  <si>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</si>
  <si>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</si>
  <si>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</si>
  <si>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</si>
  <si>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</si>
  <si>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</si>
  <si>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</si>
  <si>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</si>
  <si>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</si>
  <si>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</si>
  <si>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</si>
  <si>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</si>
  <si>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</si>
  <si>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</si>
  <si>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</si>
  <si>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</si>
  <si>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</si>
  <si>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</si>
  <si>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</si>
  <si>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</si>
  <si>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</si>
  <si>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</si>
  <si>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</si>
  <si>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</si>
  <si>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</si>
  <si>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</si>
  <si>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</si>
  <si>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</si>
  <si>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</si>
  <si>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</si>
  <si>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</si>
  <si>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</si>
  <si>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</si>
  <si>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</si>
  <si>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</si>
  <si>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</si>
  <si>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</si>
  <si>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</si>
  <si>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</si>
  <si>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</si>
  <si>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</si>
  <si>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</si>
  <si>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</si>
  <si>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</si>
  <si>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</si>
  <si>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</si>
  <si>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</si>
  <si>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</si>
  <si>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</si>
  <si>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</si>
  <si>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</si>
  <si>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</si>
  <si>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</si>
  <si>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</si>
  <si>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</si>
  <si>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</si>
  <si>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</si>
  <si>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</si>
  <si>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</si>
  <si>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</si>
  <si>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</si>
  <si>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</si>
  <si>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</si>
  <si>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</si>
  <si>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</si>
  <si>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</si>
  <si>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</si>
  <si>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</si>
  <si>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</si>
  <si>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</si>
  <si>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</si>
  <si>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</si>
  <si>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</si>
  <si>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</si>
  <si>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</si>
  <si>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</si>
  <si>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</si>
  <si>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</si>
  <si>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</si>
  <si>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</si>
  <si>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</si>
  <si>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</si>
  <si>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</si>
  <si>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</si>
  <si>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</si>
  <si>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</si>
  <si>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</si>
  <si>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</si>
  <si>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</si>
  <si>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</si>
  <si>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</si>
  <si>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</si>
  <si>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</si>
  <si>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</si>
  <si>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</si>
  <si>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</si>
  <si>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</si>
  <si>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</si>
  <si>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</si>
  <si>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</si>
  <si>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</si>
  <si>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</si>
  <si>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</si>
  <si>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</si>
  <si>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</si>
  <si>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</si>
  <si>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</si>
  <si>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</si>
  <si>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</si>
  <si>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</si>
  <si>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</si>
  <si>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</si>
  <si>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</si>
  <si>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</si>
  <si>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</si>
  <si>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</si>
  <si>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</si>
  <si>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</si>
  <si>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</si>
  <si>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</si>
  <si>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</si>
  <si>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</si>
  <si>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</si>
  <si>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</si>
  <si>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</si>
  <si>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</si>
  <si>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</si>
  <si>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</si>
  <si>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</si>
  <si>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</si>
  <si>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</si>
  <si>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</si>
  <si>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</si>
  <si>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</si>
  <si>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</si>
  <si>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</si>
  <si>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</si>
  <si>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</si>
  <si>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</si>
  <si>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</si>
  <si>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</si>
  <si>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</si>
  <si>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</si>
  <si>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</si>
  <si>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</si>
  <si>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</si>
  <si>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</si>
  <si>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</si>
  <si>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</si>
  <si>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</si>
  <si>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</si>
  <si>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</si>
  <si>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</si>
  <si>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</si>
  <si>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</si>
  <si>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</si>
  <si>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</si>
  <si>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</si>
  <si>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</si>
  <si>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</si>
  <si>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</si>
  <si>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</si>
  <si>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</si>
  <si>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</si>
  <si>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</si>
  <si>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</si>
  <si>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</si>
  <si>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</si>
  <si>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</si>
  <si>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</si>
  <si>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</si>
  <si>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</si>
  <si>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</si>
  <si>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</si>
  <si>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</si>
  <si>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</si>
  <si>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</si>
  <si>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</si>
  <si>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</si>
  <si>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</si>
  <si>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</si>
  <si>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</si>
  <si>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</si>
  <si>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</si>
  <si>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</si>
  <si>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</si>
  <si>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</si>
  <si>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</si>
  <si>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</si>
  <si>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</si>
  <si>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</si>
  <si>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</si>
  <si>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</si>
  <si>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</si>
  <si>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</si>
  <si>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</si>
  <si>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</si>
  <si>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</si>
  <si>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</si>
  <si>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</si>
  <si>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</si>
  <si>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</si>
  <si>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</si>
  <si>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</si>
  <si>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</si>
  <si>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</si>
  <si>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</si>
  <si>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</si>
  <si>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</si>
  <si>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</si>
  <si>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</si>
  <si>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</si>
  <si>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</si>
  <si>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</si>
  <si>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</si>
  <si>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</si>
  <si>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</si>
  <si>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</si>
  <si>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</si>
  <si>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</si>
  <si>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</si>
  <si>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</si>
  <si>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</si>
  <si>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</si>
  <si>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</si>
  <si>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</si>
  <si>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</si>
  <si>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</si>
  <si>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</si>
  <si>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</si>
  <si>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</si>
  <si>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</si>
  <si>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</si>
  <si>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</si>
  <si>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</si>
  <si>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</si>
  <si>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</si>
  <si>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</si>
  <si>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</si>
  <si>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</si>
  <si>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</si>
  <si>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</si>
  <si>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</si>
  <si>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</si>
  <si>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</si>
  <si>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</si>
  <si>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</si>
  <si>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</si>
  <si>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</si>
  <si>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</si>
  <si>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</si>
  <si>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</si>
  <si>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</si>
  <si>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</si>
  <si>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</si>
  <si>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</si>
  <si>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</si>
  <si>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</si>
  <si>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</si>
  <si>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</si>
  <si>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</si>
  <si>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</si>
  <si>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</si>
  <si>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</si>
  <si>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</si>
  <si>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</si>
  <si>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</si>
  <si>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</si>
  <si>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</si>
  <si>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</si>
  <si>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</si>
  <si>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</si>
  <si>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</si>
  <si>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</si>
  <si>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</si>
  <si>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</si>
  <si>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</si>
  <si>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</si>
  <si>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</si>
  <si>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</si>
  <si>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</si>
  <si>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</si>
  <si>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</si>
  <si>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</si>
  <si>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</si>
  <si>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</si>
  <si>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</si>
  <si>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</si>
  <si>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</si>
  <si>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</si>
  <si>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</si>
  <si>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</si>
  <si>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</si>
  <si>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</si>
  <si>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</si>
  <si>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</si>
  <si>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</si>
  <si>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</si>
  <si>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</si>
  <si>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</si>
  <si>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</si>
  <si>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</si>
  <si>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</si>
  <si>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</si>
  <si>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</si>
  <si>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</si>
  <si>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</si>
  <si>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</si>
  <si>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</si>
  <si>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</si>
  <si>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</si>
  <si>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</si>
  <si>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</si>
  <si>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</si>
  <si>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</si>
  <si>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</si>
  <si>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</si>
  <si>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</si>
  <si>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</si>
  <si>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</si>
  <si>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</si>
  <si>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</si>
  <si>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</si>
  <si>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</si>
  <si>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</si>
  <si>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</si>
  <si>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</si>
  <si>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</si>
  <si>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</si>
  <si>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</si>
  <si>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</si>
  <si>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</si>
  <si>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</si>
  <si>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</si>
  <si>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</si>
  <si>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</si>
  <si>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</si>
  <si>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</si>
  <si>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</si>
  <si>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</si>
  <si>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</si>
  <si>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</si>
  <si>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</si>
  <si>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</si>
  <si>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</si>
  <si>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</si>
  <si>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</si>
  <si>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</si>
  <si>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</si>
  <si>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</si>
  <si>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</si>
  <si>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</si>
  <si>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</si>
  <si>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</si>
  <si>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</si>
  <si>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</si>
  <si>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</si>
  <si>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</si>
  <si>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</si>
  <si>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</si>
  <si>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</si>
  <si>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</si>
  <si>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</si>
  <si>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</si>
  <si>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</si>
  <si>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</si>
  <si>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</si>
  <si>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</si>
  <si>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</si>
  <si>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</si>
  <si>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</si>
  <si>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</si>
  <si>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</si>
  <si>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</si>
  <si>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</si>
  <si>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</si>
  <si>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</si>
  <si>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</si>
  <si>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</si>
  <si>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</si>
  <si>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</si>
  <si>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</si>
  <si>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</si>
  <si>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</si>
  <si>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</si>
  <si>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</si>
  <si>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</si>
  <si>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</si>
  <si>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</si>
  <si>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</si>
  <si>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</si>
  <si>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</si>
  <si>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</si>
  <si>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</si>
  <si>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</si>
  <si>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</si>
  <si>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</si>
  <si>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</si>
  <si>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</si>
  <si>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</si>
  <si>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</si>
  <si>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</si>
  <si>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</si>
  <si>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</si>
  <si>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</si>
  <si>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</si>
  <si>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</si>
  <si>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</si>
  <si>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</si>
  <si>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</si>
  <si>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</si>
  <si>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</si>
  <si>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</si>
  <si>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</si>
  <si>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</si>
  <si>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</si>
  <si>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</si>
  <si>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</si>
  <si>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</si>
  <si>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</si>
  <si>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</si>
  <si>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</si>
  <si>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</si>
  <si>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</si>
  <si>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</si>
  <si>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</si>
  <si>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</si>
  <si>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</si>
  <si>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</si>
  <si>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</si>
  <si>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</si>
  <si>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</si>
  <si>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</si>
  <si>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</si>
  <si>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</si>
  <si>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</si>
  <si>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</si>
  <si>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</si>
  <si>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</si>
  <si>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</si>
  <si>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</si>
  <si>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</si>
  <si>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</si>
  <si>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</si>
  <si>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</si>
  <si>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</si>
  <si>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</si>
  <si>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</si>
  <si>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</si>
  <si>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</si>
  <si>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</si>
  <si>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</si>
  <si>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</si>
  <si>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</si>
  <si>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</si>
  <si>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</si>
  <si>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</si>
  <si>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</si>
  <si>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</si>
  <si>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</si>
  <si>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</si>
  <si>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</si>
  <si>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</si>
  <si>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</si>
  <si>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</si>
  <si>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</si>
  <si>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</si>
  <si>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</si>
  <si>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</si>
  <si>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</si>
  <si>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</si>
  <si>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</si>
  <si>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</si>
  <si>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</si>
  <si>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</si>
  <si>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</si>
  <si>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</si>
  <si>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</si>
  <si>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</si>
  <si>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</si>
  <si>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</si>
  <si>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</si>
  <si>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</si>
  <si>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</si>
  <si>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</si>
  <si>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</si>
  <si>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</si>
  <si>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</si>
  <si>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</si>
  <si>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</si>
  <si>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</si>
  <si>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</si>
  <si>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</si>
  <si>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</si>
  <si>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</si>
  <si>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</si>
  <si>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</si>
  <si>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</si>
  <si>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</si>
  <si>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</si>
  <si>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</si>
  <si>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</si>
  <si>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</si>
  <si>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</si>
  <si>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</si>
  <si>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</si>
  <si>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</si>
  <si>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</si>
  <si>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</si>
  <si>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</si>
  <si>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</si>
  <si>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</si>
  <si>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</si>
  <si>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</si>
  <si>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</si>
  <si>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</si>
  <si>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</si>
  <si>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</si>
  <si>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</si>
  <si>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</si>
  <si>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</si>
  <si>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</si>
  <si>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</si>
  <si>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</si>
  <si>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</si>
  <si>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</si>
  <si>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</si>
  <si>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</si>
  <si>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</si>
  <si>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</si>
  <si>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</si>
  <si>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</si>
  <si>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</si>
  <si>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</si>
  <si>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</si>
  <si>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</si>
  <si>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</si>
  <si>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</si>
  <si>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</si>
  <si>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</si>
  <si>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</si>
  <si>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</si>
  <si>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</si>
  <si>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</si>
  <si>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</si>
  <si>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</si>
  <si>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</si>
  <si>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</si>
  <si>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</si>
  <si>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</si>
  <si>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</si>
  <si>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</si>
  <si>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</si>
  <si>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</si>
  <si>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</si>
  <si>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</si>
  <si>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</si>
  <si>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</si>
  <si>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</si>
  <si>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</si>
  <si>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</si>
  <si>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</si>
  <si>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</si>
  <si>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</si>
  <si>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</si>
  <si>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</si>
  <si>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</si>
  <si>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</si>
  <si>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</si>
  <si>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</si>
  <si>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</si>
  <si>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</si>
  <si>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</si>
  <si>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</si>
  <si>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</si>
  <si>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</si>
  <si>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</si>
  <si>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</si>
  <si>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</si>
  <si>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</si>
  <si>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</si>
  <si>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</si>
  <si>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</si>
  <si>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</si>
  <si>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</si>
  <si>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</si>
  <si>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</si>
  <si>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</si>
  <si>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</si>
  <si>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</si>
  <si>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</si>
  <si>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</si>
  <si>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</si>
  <si>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</si>
  <si>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</si>
  <si>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</si>
  <si>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</si>
  <si>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</si>
  <si>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</si>
  <si>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</si>
  <si>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</si>
  <si>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</si>
  <si>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</si>
  <si>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</si>
  <si>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</si>
  <si>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</si>
  <si>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</si>
  <si>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</si>
  <si>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</si>
  <si>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</si>
  <si>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</si>
  <si>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</si>
  <si>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</si>
  <si>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</si>
  <si>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</si>
  <si>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</si>
  <si>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</si>
  <si>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</si>
  <si>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</si>
  <si>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</si>
  <si>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</si>
  <si>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</si>
  <si>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</si>
  <si>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</si>
  <si>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</si>
  <si>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</si>
  <si>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</si>
  <si>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35014</t>
  </si>
  <si>
    <t>OUDENBURG</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</si>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</sst>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35014</v>
      </c>
      <c r="B6" s="397"/>
      <c r="C6" s="398"/>
    </row>
    <row r="7" spans="1:7" s="395" customFormat="1" ht="15.75" customHeight="1">
      <c r="A7" s="399" t="str">
        <f>txtMunicipality</f>
        <v>OUDENBURG</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0.19226842550181136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0.19226842550181136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35014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3725</v>
      </c>
      <c r="C9" s="338">
        <v>3869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2456</v>
      </c>
    </row>
    <row r="15" spans="1:6">
      <c r="A15" s="1286" t="s">
        <v>184</v>
      </c>
      <c r="B15" s="335">
        <v>18</v>
      </c>
    </row>
    <row r="16" spans="1:6">
      <c r="A16" s="1286" t="s">
        <v>6</v>
      </c>
      <c r="B16" s="335">
        <v>751</v>
      </c>
    </row>
    <row r="17" spans="1:6">
      <c r="A17" s="1286" t="s">
        <v>7</v>
      </c>
      <c r="B17" s="335">
        <v>746</v>
      </c>
    </row>
    <row r="18" spans="1:6">
      <c r="A18" s="1286" t="s">
        <v>8</v>
      </c>
      <c r="B18" s="335">
        <v>978</v>
      </c>
    </row>
    <row r="19" spans="1:6">
      <c r="A19" s="1286" t="s">
        <v>9</v>
      </c>
      <c r="B19" s="335">
        <v>871</v>
      </c>
    </row>
    <row r="20" spans="1:6">
      <c r="A20" s="1286" t="s">
        <v>10</v>
      </c>
      <c r="B20" s="335">
        <v>626</v>
      </c>
    </row>
    <row r="21" spans="1:6">
      <c r="A21" s="1286" t="s">
        <v>11</v>
      </c>
      <c r="B21" s="335">
        <v>5482</v>
      </c>
    </row>
    <row r="22" spans="1:6">
      <c r="A22" s="1286" t="s">
        <v>12</v>
      </c>
      <c r="B22" s="335">
        <v>13074</v>
      </c>
    </row>
    <row r="23" spans="1:6">
      <c r="A23" s="1286" t="s">
        <v>13</v>
      </c>
      <c r="B23" s="335">
        <v>164</v>
      </c>
    </row>
    <row r="24" spans="1:6">
      <c r="A24" s="1286" t="s">
        <v>14</v>
      </c>
      <c r="B24" s="335">
        <v>102</v>
      </c>
    </row>
    <row r="25" spans="1:6">
      <c r="A25" s="1286" t="s">
        <v>15</v>
      </c>
      <c r="B25" s="335">
        <v>1544</v>
      </c>
    </row>
    <row r="26" spans="1:6">
      <c r="A26" s="1286" t="s">
        <v>16</v>
      </c>
      <c r="B26" s="335">
        <v>475</v>
      </c>
    </row>
    <row r="27" spans="1:6">
      <c r="A27" s="1286" t="s">
        <v>17</v>
      </c>
      <c r="B27" s="335">
        <v>1404</v>
      </c>
    </row>
    <row r="28" spans="1:6" s="341" customFormat="1">
      <c r="A28" s="1287" t="s">
        <v>18</v>
      </c>
      <c r="B28" s="1287">
        <v>52403</v>
      </c>
    </row>
    <row r="29" spans="1:6">
      <c r="A29" s="1287" t="s">
        <v>942</v>
      </c>
      <c r="B29" s="1287">
        <v>47</v>
      </c>
      <c r="C29" s="341"/>
      <c r="D29" s="341"/>
      <c r="E29" s="341"/>
      <c r="F29" s="341"/>
    </row>
    <row r="30" spans="1:6">
      <c r="A30" s="1282" t="s">
        <v>943</v>
      </c>
      <c r="B30" s="1282">
        <v>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15352</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2628</v>
      </c>
      <c r="D39" s="335">
        <v>45847339.715556137</v>
      </c>
      <c r="E39" s="335">
        <v>3634</v>
      </c>
      <c r="F39" s="335">
        <v>15936425</v>
      </c>
    </row>
    <row r="40" spans="1:6">
      <c r="A40" s="1286" t="s">
        <v>30</v>
      </c>
      <c r="B40" s="1286" t="s">
        <v>29</v>
      </c>
      <c r="C40" s="335">
        <v>0</v>
      </c>
      <c r="D40" s="335">
        <v>0</v>
      </c>
      <c r="E40" s="335">
        <v>0</v>
      </c>
      <c r="F40" s="335">
        <v>0</v>
      </c>
    </row>
    <row r="41" spans="1:6">
      <c r="A41" s="1286" t="s">
        <v>32</v>
      </c>
      <c r="B41" s="1286" t="s">
        <v>33</v>
      </c>
      <c r="C41" s="335">
        <v>40</v>
      </c>
      <c r="D41" s="335">
        <v>1068359</v>
      </c>
      <c r="E41" s="335">
        <v>101</v>
      </c>
      <c r="F41" s="335">
        <v>858912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32888</v>
      </c>
      <c r="E44" s="335">
        <v>6</v>
      </c>
      <c r="F44" s="335">
        <v>56354</v>
      </c>
    </row>
    <row r="45" spans="1:6">
      <c r="A45" s="1286" t="s">
        <v>32</v>
      </c>
      <c r="B45" s="1286" t="s">
        <v>37</v>
      </c>
      <c r="C45" s="335">
        <v>4</v>
      </c>
      <c r="D45" s="335">
        <v>120004</v>
      </c>
      <c r="E45" s="335">
        <v>4</v>
      </c>
      <c r="F45" s="335">
        <v>78155</v>
      </c>
    </row>
    <row r="46" spans="1:6">
      <c r="A46" s="1286" t="s">
        <v>32</v>
      </c>
      <c r="B46" s="1286" t="s">
        <v>38</v>
      </c>
      <c r="C46" s="335">
        <v>0</v>
      </c>
      <c r="D46" s="335">
        <v>0</v>
      </c>
      <c r="E46" s="335">
        <v>0</v>
      </c>
      <c r="F46" s="335">
        <v>0</v>
      </c>
    </row>
    <row r="47" spans="1:6">
      <c r="A47" s="1286" t="s">
        <v>32</v>
      </c>
      <c r="B47" s="1286" t="s">
        <v>39</v>
      </c>
      <c r="C47" s="335">
        <v>0</v>
      </c>
      <c r="D47" s="335">
        <v>0</v>
      </c>
      <c r="E47" s="335">
        <v>5</v>
      </c>
      <c r="F47" s="335">
        <v>30408</v>
      </c>
    </row>
    <row r="48" spans="1:6">
      <c r="A48" s="1286" t="s">
        <v>32</v>
      </c>
      <c r="B48" s="1286" t="s">
        <v>29</v>
      </c>
      <c r="C48" s="335">
        <v>4</v>
      </c>
      <c r="D48" s="335">
        <v>1641633</v>
      </c>
      <c r="E48" s="335">
        <v>3</v>
      </c>
      <c r="F48" s="335">
        <v>921073</v>
      </c>
    </row>
    <row r="49" spans="1:6">
      <c r="A49" s="1286" t="s">
        <v>32</v>
      </c>
      <c r="B49" s="1286" t="s">
        <v>40</v>
      </c>
      <c r="C49" s="335">
        <v>0</v>
      </c>
      <c r="D49" s="335">
        <v>0</v>
      </c>
      <c r="E49" s="335">
        <v>0</v>
      </c>
      <c r="F49" s="335">
        <v>0</v>
      </c>
    </row>
    <row r="50" spans="1:6">
      <c r="A50" s="1286" t="s">
        <v>32</v>
      </c>
      <c r="B50" s="1286" t="s">
        <v>41</v>
      </c>
      <c r="C50" s="335">
        <v>6</v>
      </c>
      <c r="D50" s="335">
        <v>472593</v>
      </c>
      <c r="E50" s="335">
        <v>13</v>
      </c>
      <c r="F50" s="335">
        <v>478080</v>
      </c>
    </row>
    <row r="51" spans="1:6">
      <c r="A51" s="1286" t="s">
        <v>42</v>
      </c>
      <c r="B51" s="1286" t="s">
        <v>43</v>
      </c>
      <c r="C51" s="335">
        <v>5</v>
      </c>
      <c r="D51" s="335">
        <v>148362</v>
      </c>
      <c r="E51" s="335">
        <v>81</v>
      </c>
      <c r="F51" s="335">
        <v>1452232</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46</v>
      </c>
      <c r="F54" s="335">
        <v>871493</v>
      </c>
    </row>
    <row r="55" spans="1:6">
      <c r="A55" s="1286" t="s">
        <v>46</v>
      </c>
      <c r="B55" s="1286" t="s">
        <v>29</v>
      </c>
      <c r="C55" s="335">
        <v>0</v>
      </c>
      <c r="D55" s="335">
        <v>0</v>
      </c>
      <c r="E55" s="335">
        <v>0</v>
      </c>
      <c r="F55" s="335">
        <v>0</v>
      </c>
    </row>
    <row r="56" spans="1:6">
      <c r="A56" s="1286" t="s">
        <v>48</v>
      </c>
      <c r="B56" s="1286" t="s">
        <v>29</v>
      </c>
      <c r="C56" s="335">
        <v>22</v>
      </c>
      <c r="D56" s="335">
        <v>914193</v>
      </c>
      <c r="E56" s="335">
        <v>59</v>
      </c>
      <c r="F56" s="335">
        <v>313166</v>
      </c>
    </row>
    <row r="57" spans="1:6">
      <c r="A57" s="1286" t="s">
        <v>49</v>
      </c>
      <c r="B57" s="1286" t="s">
        <v>50</v>
      </c>
      <c r="C57" s="335">
        <v>25</v>
      </c>
      <c r="D57" s="335">
        <v>1299363</v>
      </c>
      <c r="E57" s="335">
        <v>57</v>
      </c>
      <c r="F57" s="335">
        <v>823066</v>
      </c>
    </row>
    <row r="58" spans="1:6">
      <c r="A58" s="1286" t="s">
        <v>49</v>
      </c>
      <c r="B58" s="1286" t="s">
        <v>51</v>
      </c>
      <c r="C58" s="335">
        <v>17</v>
      </c>
      <c r="D58" s="335">
        <v>409337</v>
      </c>
      <c r="E58" s="335">
        <v>21</v>
      </c>
      <c r="F58" s="335">
        <v>238527</v>
      </c>
    </row>
    <row r="59" spans="1:6">
      <c r="A59" s="1286" t="s">
        <v>49</v>
      </c>
      <c r="B59" s="1286" t="s">
        <v>52</v>
      </c>
      <c r="C59" s="335">
        <v>60</v>
      </c>
      <c r="D59" s="335">
        <v>2845297</v>
      </c>
      <c r="E59" s="335">
        <v>122</v>
      </c>
      <c r="F59" s="335">
        <v>3608256</v>
      </c>
    </row>
    <row r="60" spans="1:6">
      <c r="A60" s="1286" t="s">
        <v>49</v>
      </c>
      <c r="B60" s="1286" t="s">
        <v>53</v>
      </c>
      <c r="C60" s="335">
        <v>29</v>
      </c>
      <c r="D60" s="335">
        <v>1468242</v>
      </c>
      <c r="E60" s="335">
        <v>35</v>
      </c>
      <c r="F60" s="335">
        <v>627772</v>
      </c>
    </row>
    <row r="61" spans="1:6">
      <c r="A61" s="1286" t="s">
        <v>49</v>
      </c>
      <c r="B61" s="1286" t="s">
        <v>54</v>
      </c>
      <c r="C61" s="335">
        <v>45</v>
      </c>
      <c r="D61" s="335">
        <v>1064637</v>
      </c>
      <c r="E61" s="335">
        <v>163</v>
      </c>
      <c r="F61" s="335">
        <v>2198456</v>
      </c>
    </row>
    <row r="62" spans="1:6">
      <c r="A62" s="1286" t="s">
        <v>49</v>
      </c>
      <c r="B62" s="1286" t="s">
        <v>55</v>
      </c>
      <c r="C62" s="335">
        <v>4</v>
      </c>
      <c r="D62" s="335">
        <v>682396</v>
      </c>
      <c r="E62" s="335">
        <v>6</v>
      </c>
      <c r="F62" s="335">
        <v>105053</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51425</v>
      </c>
      <c r="E65" s="335">
        <v>1</v>
      </c>
      <c r="F65" s="335">
        <v>3291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89731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43909765</v>
      </c>
      <c r="E73" s="335">
        <v>39626116.928778097</v>
      </c>
    </row>
    <row r="74" spans="1:6">
      <c r="A74" s="1286" t="s">
        <v>64</v>
      </c>
      <c r="B74" s="1286" t="s">
        <v>772</v>
      </c>
      <c r="C74" s="1297" t="s">
        <v>766</v>
      </c>
      <c r="D74" s="335">
        <v>3170976.9769230778</v>
      </c>
      <c r="E74" s="335">
        <v>2616078.7750001829</v>
      </c>
    </row>
    <row r="75" spans="1:6">
      <c r="A75" s="1286" t="s">
        <v>65</v>
      </c>
      <c r="B75" s="1286" t="s">
        <v>771</v>
      </c>
      <c r="C75" s="1297" t="s">
        <v>767</v>
      </c>
      <c r="D75" s="335">
        <v>11735815</v>
      </c>
      <c r="E75" s="335">
        <v>10362978.905819401</v>
      </c>
    </row>
    <row r="76" spans="1:6">
      <c r="A76" s="1286" t="s">
        <v>65</v>
      </c>
      <c r="B76" s="1286" t="s">
        <v>772</v>
      </c>
      <c r="C76" s="1297" t="s">
        <v>768</v>
      </c>
      <c r="D76" s="335">
        <v>589410.97692307772</v>
      </c>
      <c r="E76" s="335">
        <v>403089.34458254487</v>
      </c>
    </row>
    <row r="77" spans="1:6">
      <c r="A77" s="1286" t="s">
        <v>66</v>
      </c>
      <c r="B77" s="1286" t="s">
        <v>771</v>
      </c>
      <c r="C77" s="1297" t="s">
        <v>769</v>
      </c>
      <c r="D77" s="335">
        <v>90773921</v>
      </c>
      <c r="E77" s="335">
        <v>109945985.80169266</v>
      </c>
    </row>
    <row r="78" spans="1:6">
      <c r="A78" s="1282" t="s">
        <v>66</v>
      </c>
      <c r="B78" s="1282" t="s">
        <v>772</v>
      </c>
      <c r="C78" s="1282" t="s">
        <v>770</v>
      </c>
      <c r="D78" s="1282">
        <v>13384691</v>
      </c>
      <c r="E78" s="1282">
        <v>16064378.270270713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292744.04615384457</v>
      </c>
      <c r="C83" s="335">
        <v>276305.98086846643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1514.2703424319045</v>
      </c>
    </row>
    <row r="92" spans="1:6">
      <c r="A92" s="1282" t="s">
        <v>69</v>
      </c>
      <c r="B92" s="338">
        <v>2400.8654797694608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1911</v>
      </c>
    </row>
    <row r="98" spans="1:6">
      <c r="A98" s="1286" t="s">
        <v>72</v>
      </c>
      <c r="B98" s="335">
        <v>1</v>
      </c>
    </row>
    <row r="99" spans="1:6">
      <c r="A99" s="1286" t="s">
        <v>73</v>
      </c>
      <c r="B99" s="335">
        <v>56</v>
      </c>
    </row>
    <row r="100" spans="1:6">
      <c r="A100" s="1286" t="s">
        <v>74</v>
      </c>
      <c r="B100" s="335">
        <v>349</v>
      </c>
    </row>
    <row r="101" spans="1:6">
      <c r="A101" s="1286" t="s">
        <v>75</v>
      </c>
      <c r="B101" s="335">
        <v>78</v>
      </c>
    </row>
    <row r="102" spans="1:6">
      <c r="A102" s="1286" t="s">
        <v>76</v>
      </c>
      <c r="B102" s="335">
        <v>71</v>
      </c>
    </row>
    <row r="103" spans="1:6">
      <c r="A103" s="1286" t="s">
        <v>77</v>
      </c>
      <c r="B103" s="335">
        <v>104</v>
      </c>
    </row>
    <row r="104" spans="1:6">
      <c r="A104" s="1286" t="s">
        <v>78</v>
      </c>
      <c r="B104" s="335">
        <v>807</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22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15</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30114.779012930529</v>
      </c>
      <c r="C3" s="44" t="s">
        <v>170</v>
      </c>
      <c r="D3" s="44"/>
      <c r="E3" s="157"/>
      <c r="F3" s="44"/>
      <c r="G3" s="44"/>
      <c r="H3" s="44"/>
      <c r="I3" s="44"/>
      <c r="J3" s="44"/>
      <c r="K3" s="97"/>
    </row>
    <row r="4" spans="1:11">
      <c r="A4" s="365" t="s">
        <v>171</v>
      </c>
      <c r="B4" s="50">
        <f>IF(ISERROR('SEAP template'!B78),0,'SEAP template'!B78)</f>
        <v>3915.135822201365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0.19226842550181136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871.49300000000005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871.49300000000005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0.19226842550181136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167.5605869458501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15936.424999999999</v>
      </c>
      <c r="C5" s="18">
        <f>IF(ISERROR('Eigen informatie GS &amp; warmtenet'!B57),0,'Eigen informatie GS &amp; warmtenet'!B57)</f>
        <v>0</v>
      </c>
      <c r="D5" s="31">
        <f>(SUM(HH_hh_gas_kWh,HH_rest_gas_kWh)/1000)*0.902</f>
        <v>41354.30042343164</v>
      </c>
      <c r="E5" s="18">
        <f>B46*B57</f>
        <v>2296.8986174430465</v>
      </c>
      <c r="F5" s="18">
        <f>B51*B62</f>
        <v>3191.9392896343147</v>
      </c>
      <c r="G5" s="19"/>
      <c r="H5" s="18"/>
      <c r="I5" s="18"/>
      <c r="J5" s="18">
        <f>B50*B61+C50*C61</f>
        <v>1019.2917079347757</v>
      </c>
      <c r="K5" s="18"/>
      <c r="L5" s="18"/>
      <c r="M5" s="18"/>
      <c r="N5" s="18">
        <f>B48*B59+C48*C59</f>
        <v>10389.7054768625</v>
      </c>
      <c r="O5" s="18">
        <f>B69*B70*B71</f>
        <v>57.843333333333334</v>
      </c>
      <c r="P5" s="18">
        <f>B77*B78*B79/1000-B77*B78*B79/1000/B80</f>
        <v>76.266666666666666</v>
      </c>
    </row>
    <row r="6" spans="1:16">
      <c r="A6" s="17" t="s">
        <v>639</v>
      </c>
      <c r="B6" s="780">
        <f>kWh_PV_kleiner_dan_10kW</f>
        <v>1514.2703424319045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17450.695342431904</v>
      </c>
      <c r="C8" s="22">
        <f>C5</f>
        <v>0</v>
      </c>
      <c r="D8" s="22">
        <f>D5</f>
        <v>41354.30042343164</v>
      </c>
      <c r="E8" s="22">
        <f>E5</f>
        <v>2296.8986174430465</v>
      </c>
      <c r="F8" s="22">
        <f>F5</f>
        <v>3191.9392896343147</v>
      </c>
      <c r="G8" s="22"/>
      <c r="H8" s="22"/>
      <c r="I8" s="22"/>
      <c r="J8" s="22">
        <f>J5</f>
        <v>1019.2917079347757</v>
      </c>
      <c r="K8" s="22"/>
      <c r="L8" s="22">
        <f>L5</f>
        <v>0</v>
      </c>
      <c r="M8" s="22">
        <f>M5</f>
        <v>0</v>
      </c>
      <c r="N8" s="22">
        <f>N5</f>
        <v>10389.7054768625</v>
      </c>
      <c r="O8" s="22">
        <f>O5</f>
        <v>57.843333333333334</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0.19226842550181136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3355.2177174011749</v>
      </c>
      <c r="C12" s="24">
        <f ca="1">C10*C8</f>
        <v>0</v>
      </c>
      <c r="D12" s="24">
        <f>D8*D10</f>
        <v>8353.5686855331915</v>
      </c>
      <c r="E12" s="24">
        <f>E10*E8</f>
        <v>521.39598615957163</v>
      </c>
      <c r="F12" s="24">
        <f>F10*F8</f>
        <v>852.24779033236211</v>
      </c>
      <c r="G12" s="24"/>
      <c r="H12" s="24"/>
      <c r="I12" s="24"/>
      <c r="J12" s="24">
        <f>J10*J8</f>
        <v>360.82926460891059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1911</v>
      </c>
      <c r="C18" s="169" t="s">
        <v>111</v>
      </c>
      <c r="D18" s="231"/>
      <c r="E18" s="16"/>
    </row>
    <row r="19" spans="1:7">
      <c r="A19" s="174" t="s">
        <v>72</v>
      </c>
      <c r="B19" s="38">
        <f>aantalw2001_ander</f>
        <v>1</v>
      </c>
      <c r="C19" s="169" t="s">
        <v>111</v>
      </c>
      <c r="D19" s="232"/>
      <c r="E19" s="16"/>
    </row>
    <row r="20" spans="1:7">
      <c r="A20" s="174" t="s">
        <v>73</v>
      </c>
      <c r="B20" s="38">
        <f>aantalw2001_propaan</f>
        <v>56</v>
      </c>
      <c r="C20" s="170">
        <f>IF(ISERROR(B20/SUM($B$20,$B$21,$B$22)*100),0,B20/SUM($B$20,$B$21,$B$22)*100)</f>
        <v>11.594202898550725</v>
      </c>
      <c r="D20" s="232"/>
      <c r="E20" s="16"/>
    </row>
    <row r="21" spans="1:7">
      <c r="A21" s="174" t="s">
        <v>74</v>
      </c>
      <c r="B21" s="38">
        <f>aantalw2001_elektriciteit</f>
        <v>349</v>
      </c>
      <c r="C21" s="170">
        <f>IF(ISERROR(B21/SUM($B$20,$B$21,$B$22)*100),0,B21/SUM($B$20,$B$21,$B$22)*100)</f>
        <v>72.256728778467902</v>
      </c>
      <c r="D21" s="232"/>
      <c r="E21" s="16"/>
    </row>
    <row r="22" spans="1:7">
      <c r="A22" s="174" t="s">
        <v>75</v>
      </c>
      <c r="B22" s="38">
        <f>aantalw2001_hout</f>
        <v>78</v>
      </c>
      <c r="C22" s="170">
        <f>IF(ISERROR(B22/SUM($B$20,$B$21,$B$22)*100),0,B22/SUM($B$20,$B$21,$B$22)*100)</f>
        <v>16.149068322981368</v>
      </c>
      <c r="D22" s="232"/>
      <c r="E22" s="16"/>
    </row>
    <row r="23" spans="1:7">
      <c r="A23" s="174" t="s">
        <v>76</v>
      </c>
      <c r="B23" s="38">
        <f>aantalw2001_niet_gespec</f>
        <v>71</v>
      </c>
      <c r="C23" s="169" t="s">
        <v>111</v>
      </c>
      <c r="D23" s="231"/>
      <c r="E23" s="16"/>
    </row>
    <row r="24" spans="1:7">
      <c r="A24" s="174" t="s">
        <v>77</v>
      </c>
      <c r="B24" s="38">
        <f>aantalw2001_steenkool</f>
        <v>104</v>
      </c>
      <c r="C24" s="169" t="s">
        <v>111</v>
      </c>
      <c r="D24" s="232"/>
      <c r="E24" s="16"/>
    </row>
    <row r="25" spans="1:7">
      <c r="A25" s="174" t="s">
        <v>78</v>
      </c>
      <c r="B25" s="38">
        <f>aantalw2001_stookolie</f>
        <v>807</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3725</v>
      </c>
      <c r="C28" s="37"/>
      <c r="D28" s="231"/>
    </row>
    <row r="29" spans="1:7" s="16" customFormat="1">
      <c r="A29" s="233" t="s">
        <v>666</v>
      </c>
      <c r="B29" s="38">
        <f>SUM(HH_hh_gas_aantal,HH_rest_gas_aantal)</f>
        <v>2628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2628</v>
      </c>
      <c r="C32" s="170">
        <f>IF(ISERROR(B32/SUM($B$32,$B$34,$B$35,$B$36,$B$38,$B$39)*100),0,B32/SUM($B$32,$B$34,$B$35,$B$36,$B$38,$B$39)*100)</f>
        <v>70.626175759204514</v>
      </c>
      <c r="D32" s="236"/>
      <c r="G32" s="16"/>
    </row>
    <row r="33" spans="1:7">
      <c r="A33" s="174" t="s">
        <v>72</v>
      </c>
      <c r="B33" s="35" t="s">
        <v>111</v>
      </c>
      <c r="C33" s="170"/>
      <c r="D33" s="236"/>
      <c r="G33" s="16"/>
    </row>
    <row r="34" spans="1:7">
      <c r="A34" s="174" t="s">
        <v>73</v>
      </c>
      <c r="B34" s="34">
        <f>IF((($B$28-$B$32-$B$39-$B$77-$B$38)*C20/100)&lt;0,0,($B$28-$B$32-$B$39-$B$77-$B$38)*C20/100)</f>
        <v>104.23188405797102</v>
      </c>
      <c r="C34" s="170">
        <f>IF(ISERROR(B34/SUM($B$32,$B$34,$B$35,$B$36,$B$38,$B$39)*100),0,B34/SUM($B$32,$B$34,$B$35,$B$36,$B$38,$B$39)*100)</f>
        <v>2.8011793619449348</v>
      </c>
      <c r="D34" s="236"/>
      <c r="G34" s="16"/>
    </row>
    <row r="35" spans="1:7">
      <c r="A35" s="174" t="s">
        <v>74</v>
      </c>
      <c r="B35" s="34">
        <f>IF((($B$28-$B$32-$B$39-$B$77-$B$38)*C21/100)&lt;0,0,($B$28-$B$32-$B$39-$B$77-$B$38)*C21/100)</f>
        <v>649.58799171842645</v>
      </c>
      <c r="C35" s="170">
        <f>IF(ISERROR(B35/SUM($B$32,$B$34,$B$35,$B$36,$B$38,$B$39)*100),0,B35/SUM($B$32,$B$34,$B$35,$B$36,$B$38,$B$39)*100)</f>
        <v>17.45734995212111</v>
      </c>
      <c r="D35" s="236"/>
      <c r="G35" s="16"/>
    </row>
    <row r="36" spans="1:7">
      <c r="A36" s="174" t="s">
        <v>75</v>
      </c>
      <c r="B36" s="34">
        <f>IF((($B$28-$B$32-$B$39-$B$77-$B$38)*C22/100)&lt;0,0,($B$28-$B$32-$B$39-$B$77-$B$38)*C22/100)</f>
        <v>145.18012422360252</v>
      </c>
      <c r="C36" s="170">
        <f>IF(ISERROR(B36/SUM($B$32,$B$34,$B$35,$B$36,$B$38,$B$39)*100),0,B36/SUM($B$32,$B$34,$B$35,$B$36,$B$38,$B$39)*100)</f>
        <v>3.9016426827090167</v>
      </c>
      <c r="D36" s="236"/>
      <c r="G36" s="16"/>
    </row>
    <row r="37" spans="1:7">
      <c r="A37" s="174" t="s">
        <v>76</v>
      </c>
      <c r="B37" s="35" t="s">
        <v>111</v>
      </c>
      <c r="C37" s="170"/>
      <c r="D37" s="176"/>
      <c r="G37" s="16"/>
    </row>
    <row r="38" spans="1:7">
      <c r="A38" s="174" t="s">
        <v>77</v>
      </c>
      <c r="B38" s="34">
        <f>IF((B24-(B29-B18)*0.1)&lt;0,0,B24-(B29-B18)*0.1)</f>
        <v>32.299999999999997</v>
      </c>
      <c r="C38" s="170">
        <f>IF(ISERROR(B38/SUM($B$32,$B$34,$B$35,$B$36,$B$38,$B$39)*100),0,B38/SUM($B$32,$B$34,$B$35,$B$36,$B$38,$B$39)*100)</f>
        <v>0.86804622413329746</v>
      </c>
      <c r="D38" s="237"/>
      <c r="G38" s="16"/>
    </row>
    <row r="39" spans="1:7">
      <c r="A39" s="174" t="s">
        <v>78</v>
      </c>
      <c r="B39" s="34">
        <f>IF((B25-(B29-B18))&lt;0,0,B25-(B29-B18)*0.9)</f>
        <v>161.69999999999993</v>
      </c>
      <c r="C39" s="170">
        <f>IF(ISERROR(B39/SUM($B$32,$B$34,$B$35,$B$36,$B$38,$B$39)*100),0,B39/SUM($B$32,$B$34,$B$35,$B$36,$B$38,$B$39)*100)</f>
        <v>4.3456060198871249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2628</v>
      </c>
      <c r="C44" s="35" t="s">
        <v>111</v>
      </c>
      <c r="D44" s="177"/>
    </row>
    <row r="45" spans="1:7">
      <c r="A45" s="174" t="s">
        <v>72</v>
      </c>
      <c r="B45" s="34" t="str">
        <f t="shared" si="0"/>
        <v>-</v>
      </c>
      <c r="C45" s="35" t="s">
        <v>111</v>
      </c>
      <c r="D45" s="177"/>
    </row>
    <row r="46" spans="1:7">
      <c r="A46" s="174" t="s">
        <v>73</v>
      </c>
      <c r="B46" s="34">
        <f t="shared" si="0"/>
        <v>104.23188405797102</v>
      </c>
      <c r="C46" s="35" t="s">
        <v>111</v>
      </c>
      <c r="D46" s="177"/>
    </row>
    <row r="47" spans="1:7">
      <c r="A47" s="174" t="s">
        <v>74</v>
      </c>
      <c r="B47" s="34">
        <f t="shared" si="0"/>
        <v>649.58799171842645</v>
      </c>
      <c r="C47" s="35" t="s">
        <v>111</v>
      </c>
      <c r="D47" s="177"/>
    </row>
    <row r="48" spans="1:7">
      <c r="A48" s="174" t="s">
        <v>75</v>
      </c>
      <c r="B48" s="34">
        <f t="shared" si="0"/>
        <v>145.18012422360252</v>
      </c>
      <c r="C48" s="34">
        <f>B48*10</f>
        <v>1451.8012422360252</v>
      </c>
      <c r="D48" s="237"/>
    </row>
    <row r="49" spans="1:6">
      <c r="A49" s="174" t="s">
        <v>76</v>
      </c>
      <c r="B49" s="34" t="str">
        <f t="shared" si="0"/>
        <v>-</v>
      </c>
      <c r="C49" s="35" t="s">
        <v>111</v>
      </c>
      <c r="D49" s="237"/>
    </row>
    <row r="50" spans="1:6">
      <c r="A50" s="174" t="s">
        <v>77</v>
      </c>
      <c r="B50" s="34">
        <f t="shared" si="0"/>
        <v>32.299999999999997</v>
      </c>
      <c r="C50" s="34">
        <f>B50*2</f>
        <v>64.599999999999994</v>
      </c>
      <c r="D50" s="237"/>
    </row>
    <row r="51" spans="1:6">
      <c r="A51" s="174" t="s">
        <v>78</v>
      </c>
      <c r="B51" s="34">
        <f t="shared" si="0"/>
        <v>161.69999999999993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7601.13</v>
      </c>
      <c r="C5" s="18">
        <f>IF(ISERROR('Eigen informatie GS &amp; warmtenet'!B58),0,'Eigen informatie GS &amp; warmtenet'!B58)</f>
        <v>0</v>
      </c>
      <c r="D5" s="31">
        <f>SUM(D6:D12)</f>
        <v>7007.8833439999999</v>
      </c>
      <c r="E5" s="18">
        <f>SUM(E6:E12)</f>
        <v>62.650473652240542</v>
      </c>
      <c r="F5" s="18">
        <f>SUM(F6:F12)</f>
        <v>1502.2430623805367</v>
      </c>
      <c r="G5" s="19"/>
      <c r="H5" s="18"/>
      <c r="I5" s="18"/>
      <c r="J5" s="18">
        <f>SUM(J6:J12)</f>
        <v>0</v>
      </c>
      <c r="K5" s="18"/>
      <c r="L5" s="18"/>
      <c r="M5" s="18"/>
      <c r="N5" s="18">
        <f>SUM(N6:N12)</f>
        <v>495.650599690288</v>
      </c>
      <c r="O5" s="18">
        <f>B38*B39*B40</f>
        <v>0</v>
      </c>
      <c r="P5" s="18">
        <f>B46*B47*B48/1000-B46*B47*B48/1000/B49</f>
        <v>0</v>
      </c>
      <c r="R5" s="33"/>
    </row>
    <row r="6" spans="1:18">
      <c r="A6" s="33" t="s">
        <v>54</v>
      </c>
      <c r="B6" s="38">
        <f>B26</f>
        <v>2198.4560000000001</v>
      </c>
      <c r="C6" s="34"/>
      <c r="D6" s="38">
        <f>IF(ISERROR(TER_kantoor_gas_kWh/1000),0,TER_kantoor_gas_kWh/1000)*0.902</f>
        <v>960.30257399999994</v>
      </c>
      <c r="E6" s="34">
        <f>$C$26*'E Balans VL '!I12/100/3.6*1000000</f>
        <v>3.608111869936244</v>
      </c>
      <c r="F6" s="34">
        <f>$C$26*('E Balans VL '!L12+'E Balans VL '!N12)/100/3.6*1000000</f>
        <v>259.14623553932358</v>
      </c>
      <c r="G6" s="35"/>
      <c r="H6" s="34"/>
      <c r="I6" s="34"/>
      <c r="J6" s="34">
        <f>$C$26*('E Balans VL '!D12+'E Balans VL '!E12)/100/3.6*1000000</f>
        <v>0</v>
      </c>
      <c r="K6" s="34"/>
      <c r="L6" s="34"/>
      <c r="M6" s="34"/>
      <c r="N6" s="34">
        <f>$C$26*'E Balans VL '!Y12/100/3.6*1000000</f>
        <v>0.44418762425855607</v>
      </c>
      <c r="O6" s="34"/>
      <c r="P6" s="34"/>
      <c r="R6" s="33"/>
    </row>
    <row r="7" spans="1:18">
      <c r="A7" s="33" t="s">
        <v>53</v>
      </c>
      <c r="B7" s="38">
        <f t="shared" ref="B7:B12" si="0">B27</f>
        <v>627.77200000000005</v>
      </c>
      <c r="C7" s="34"/>
      <c r="D7" s="38">
        <f>IF(ISERROR(TER_horeca_gas_kWh/1000),0,TER_horeca_gas_kWh/1000)*0.902</f>
        <v>1324.354284</v>
      </c>
      <c r="E7" s="34">
        <f>$C$27*'E Balans VL '!I9/100/3.6*1000000</f>
        <v>32.576824144598795</v>
      </c>
      <c r="F7" s="34">
        <f>$C$27*('E Balans VL '!L9+'E Balans VL '!N9)/100/3.6*1000000</f>
        <v>143.25802591362083</v>
      </c>
      <c r="G7" s="35"/>
      <c r="H7" s="34"/>
      <c r="I7" s="34"/>
      <c r="J7" s="34">
        <f>$C$27*('E Balans VL '!D9+'E Balans VL '!E9)/100/3.6*1000000</f>
        <v>0</v>
      </c>
      <c r="K7" s="34"/>
      <c r="L7" s="34"/>
      <c r="M7" s="34"/>
      <c r="N7" s="34">
        <f>$C$27*'E Balans VL '!Y9/100/3.6*1000000</f>
        <v>6.6292435510929879E-2</v>
      </c>
      <c r="O7" s="34"/>
      <c r="P7" s="34"/>
      <c r="R7" s="33"/>
    </row>
    <row r="8" spans="1:18">
      <c r="A8" s="6" t="s">
        <v>52</v>
      </c>
      <c r="B8" s="38">
        <f t="shared" si="0"/>
        <v>3608.2559999999999</v>
      </c>
      <c r="C8" s="34"/>
      <c r="D8" s="38">
        <f>IF(ISERROR(TER_handel_gas_kWh/1000),0,TER_handel_gas_kWh/1000)*0.902</f>
        <v>2566.4578940000001</v>
      </c>
      <c r="E8" s="34">
        <f>$C$28*'E Balans VL '!I13/100/3.6*1000000</f>
        <v>19.430901955730338</v>
      </c>
      <c r="F8" s="34">
        <f>$C$28*('E Balans VL '!L13+'E Balans VL '!N13)/100/3.6*1000000</f>
        <v>735.83062611066703</v>
      </c>
      <c r="G8" s="35"/>
      <c r="H8" s="34"/>
      <c r="I8" s="34"/>
      <c r="J8" s="34">
        <f>$C$28*('E Balans VL '!D13+'E Balans VL '!E13)/100/3.6*1000000</f>
        <v>0</v>
      </c>
      <c r="K8" s="34"/>
      <c r="L8" s="34"/>
      <c r="M8" s="34"/>
      <c r="N8" s="34">
        <f>$C$28*'E Balans VL '!Y13/100/3.6*1000000</f>
        <v>17.941951622599088</v>
      </c>
      <c r="O8" s="34"/>
      <c r="P8" s="34"/>
      <c r="R8" s="33"/>
    </row>
    <row r="9" spans="1:18">
      <c r="A9" s="33" t="s">
        <v>51</v>
      </c>
      <c r="B9" s="38">
        <f t="shared" si="0"/>
        <v>238.52699999999999</v>
      </c>
      <c r="C9" s="34"/>
      <c r="D9" s="38">
        <f>IF(ISERROR(TER_gezond_gas_kWh/1000),0,TER_gezond_gas_kWh/1000)*0.902</f>
        <v>369.22197399999999</v>
      </c>
      <c r="E9" s="34">
        <f>$C$29*'E Balans VL '!I10/100/3.6*1000000</f>
        <v>0.23638296951781793</v>
      </c>
      <c r="F9" s="34">
        <f>$C$29*('E Balans VL '!L10+'E Balans VL '!N10)/100/3.6*1000000</f>
        <v>82.761993722990567</v>
      </c>
      <c r="G9" s="35"/>
      <c r="H9" s="34"/>
      <c r="I9" s="34"/>
      <c r="J9" s="34">
        <f>$C$29*('E Balans VL '!D10+'E Balans VL '!E10)/100/3.6*1000000</f>
        <v>0</v>
      </c>
      <c r="K9" s="34"/>
      <c r="L9" s="34"/>
      <c r="M9" s="34"/>
      <c r="N9" s="34">
        <f>$C$29*'E Balans VL '!Y10/100/3.6*1000000</f>
        <v>2.0553664955050568</v>
      </c>
      <c r="O9" s="34"/>
      <c r="P9" s="34"/>
      <c r="R9" s="33"/>
    </row>
    <row r="10" spans="1:18">
      <c r="A10" s="33" t="s">
        <v>50</v>
      </c>
      <c r="B10" s="38">
        <f t="shared" si="0"/>
        <v>823.06600000000003</v>
      </c>
      <c r="C10" s="34"/>
      <c r="D10" s="38">
        <f>IF(ISERROR(TER_ander_gas_kWh/1000),0,TER_ander_gas_kWh/1000)*0.902</f>
        <v>1172.0254260000002</v>
      </c>
      <c r="E10" s="34">
        <f>$C$30*'E Balans VL '!I14/100/3.6*1000000</f>
        <v>6.7335024758835003</v>
      </c>
      <c r="F10" s="34">
        <f>$C$30*('E Balans VL '!L14+'E Balans VL '!N14)/100/3.6*1000000</f>
        <v>240.63098999533918</v>
      </c>
      <c r="G10" s="35"/>
      <c r="H10" s="34"/>
      <c r="I10" s="34"/>
      <c r="J10" s="34">
        <f>$C$30*('E Balans VL '!D14+'E Balans VL '!E14)/100/3.6*1000000</f>
        <v>0</v>
      </c>
      <c r="K10" s="34"/>
      <c r="L10" s="34"/>
      <c r="M10" s="34"/>
      <c r="N10" s="34">
        <f>$C$30*'E Balans VL '!Y14/100/3.6*1000000</f>
        <v>474.80108661579163</v>
      </c>
      <c r="O10" s="34"/>
      <c r="P10" s="34"/>
      <c r="R10" s="33"/>
    </row>
    <row r="11" spans="1:18">
      <c r="A11" s="33" t="s">
        <v>55</v>
      </c>
      <c r="B11" s="38">
        <f t="shared" si="0"/>
        <v>105.053</v>
      </c>
      <c r="C11" s="34"/>
      <c r="D11" s="38">
        <f>IF(ISERROR(TER_onderwijs_gas_kWh/1000),0,TER_onderwijs_gas_kWh/1000)*0.902</f>
        <v>615.52119199999993</v>
      </c>
      <c r="E11" s="34">
        <f>$C$31*'E Balans VL '!I11/100/3.6*1000000</f>
        <v>6.4750236573850817E-2</v>
      </c>
      <c r="F11" s="34">
        <f>$C$31*('E Balans VL '!L11+'E Balans VL '!N11)/100/3.6*1000000</f>
        <v>40.615191098595524</v>
      </c>
      <c r="G11" s="35"/>
      <c r="H11" s="34"/>
      <c r="I11" s="34"/>
      <c r="J11" s="34">
        <f>$C$31*('E Balans VL '!D11+'E Balans VL '!E11)/100/3.6*1000000</f>
        <v>0</v>
      </c>
      <c r="K11" s="34"/>
      <c r="L11" s="34"/>
      <c r="M11" s="34"/>
      <c r="N11" s="34">
        <f>$C$31*'E Balans VL '!Y11/100/3.6*1000000</f>
        <v>0.34171489662277171</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7601.13</v>
      </c>
      <c r="C16" s="22">
        <f t="shared" ca="1" si="1"/>
        <v>0</v>
      </c>
      <c r="D16" s="22">
        <f t="shared" ca="1" si="1"/>
        <v>7007.8833439999999</v>
      </c>
      <c r="E16" s="22">
        <f t="shared" si="1"/>
        <v>62.650473652240542</v>
      </c>
      <c r="F16" s="22">
        <f t="shared" ca="1" si="1"/>
        <v>1502.2430623805367</v>
      </c>
      <c r="G16" s="22">
        <f t="shared" si="1"/>
        <v>0</v>
      </c>
      <c r="H16" s="22">
        <f t="shared" si="1"/>
        <v>0</v>
      </c>
      <c r="I16" s="22">
        <f t="shared" si="1"/>
        <v>0</v>
      </c>
      <c r="J16" s="22">
        <f t="shared" si="1"/>
        <v>0</v>
      </c>
      <c r="K16" s="22">
        <f t="shared" si="1"/>
        <v>0</v>
      </c>
      <c r="L16" s="22">
        <f t="shared" ca="1" si="1"/>
        <v>0</v>
      </c>
      <c r="M16" s="22">
        <f t="shared" si="1"/>
        <v>0</v>
      </c>
      <c r="N16" s="22">
        <f t="shared" ca="1" si="1"/>
        <v>495.650599690288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0.19226842550181136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1461.4572971345833</v>
      </c>
      <c r="C20" s="24">
        <f t="shared" ref="C20:P20" ca="1" si="2">C16*C18</f>
        <v>0</v>
      </c>
      <c r="D20" s="24">
        <f t="shared" ca="1" si="2"/>
        <v>1415.5924354880001</v>
      </c>
      <c r="E20" s="24">
        <f t="shared" si="2"/>
        <v>14.221657519058603</v>
      </c>
      <c r="F20" s="24">
        <f t="shared" ca="1" si="2"/>
        <v>401.09889765560331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2198.4560000000001</v>
      </c>
      <c r="C26" s="40">
        <f>IF(ISERROR(B26*3.6/1000000/'E Balans VL '!Z12*100),0,B26*3.6/1000000/'E Balans VL '!Z12*100)</f>
        <v>4.6715613418954194E-2</v>
      </c>
      <c r="D26" s="240" t="s">
        <v>707</v>
      </c>
      <c r="F26" s="6"/>
    </row>
    <row r="27" spans="1:18">
      <c r="A27" s="234" t="s">
        <v>53</v>
      </c>
      <c r="B27" s="34">
        <f>IF(ISERROR(TER_horeca_ele_kWh/1000),0,TER_horeca_ele_kWh/1000)</f>
        <v>627.77200000000005</v>
      </c>
      <c r="C27" s="40">
        <f>IF(ISERROR(B27*3.6/1000000/'E Balans VL '!Z9*100),0,B27*3.6/1000000/'E Balans VL '!Z9*100)</f>
        <v>4.9410510939823515E-2</v>
      </c>
      <c r="D27" s="240" t="s">
        <v>707</v>
      </c>
      <c r="F27" s="6"/>
    </row>
    <row r="28" spans="1:18">
      <c r="A28" s="174" t="s">
        <v>52</v>
      </c>
      <c r="B28" s="34">
        <f>IF(ISERROR(TER_handel_ele_kWh/1000),0,TER_handel_ele_kWh/1000)</f>
        <v>3608.2559999999999</v>
      </c>
      <c r="C28" s="40">
        <f>IF(ISERROR(B28*3.6/1000000/'E Balans VL '!Z13*100),0,B28*3.6/1000000/'E Balans VL '!Z13*100)</f>
        <v>0.1010691816223734</v>
      </c>
      <c r="D28" s="240" t="s">
        <v>707</v>
      </c>
      <c r="F28" s="6"/>
    </row>
    <row r="29" spans="1:18">
      <c r="A29" s="234" t="s">
        <v>51</v>
      </c>
      <c r="B29" s="34">
        <f>IF(ISERROR(TER_gezond_ele_kWh/1000),0,TER_gezond_ele_kWh/1000)</f>
        <v>238.52699999999999</v>
      </c>
      <c r="C29" s="40">
        <f>IF(ISERROR(B29*3.6/1000000/'E Balans VL '!Z10*100),0,B29*3.6/1000000/'E Balans VL '!Z10*100)</f>
        <v>3.0514816065990234E-2</v>
      </c>
      <c r="D29" s="240" t="s">
        <v>707</v>
      </c>
      <c r="F29" s="6"/>
    </row>
    <row r="30" spans="1:18">
      <c r="A30" s="234" t="s">
        <v>50</v>
      </c>
      <c r="B30" s="34">
        <f>IF(ISERROR(TER_ander_ele_kWh/1000),0,TER_ander_ele_kWh/1000)</f>
        <v>823.06600000000003</v>
      </c>
      <c r="C30" s="40">
        <f>IF(ISERROR(B30*3.6/1000000/'E Balans VL '!Z14*100),0,B30*3.6/1000000/'E Balans VL '!Z14*100)</f>
        <v>6.1558401524732367E-2</v>
      </c>
      <c r="D30" s="240" t="s">
        <v>707</v>
      </c>
      <c r="F30" s="6"/>
    </row>
    <row r="31" spans="1:18">
      <c r="A31" s="234" t="s">
        <v>55</v>
      </c>
      <c r="B31" s="34">
        <f>IF(ISERROR(TER_onderwijs_ele_kWh/1000),0,TER_onderwijs_ele_kWh/1000)</f>
        <v>105.053</v>
      </c>
      <c r="C31" s="40">
        <f>IF(ISERROR(B31*3.6/1000000/'E Balans VL '!Z11*100),0,B31*3.6/1000000/'E Balans VL '!Z11*100)</f>
        <v>2.2182077028417509E-2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2422.982</v>
      </c>
      <c r="C5" s="18">
        <f>IF(ISERROR('Eigen informatie GS &amp; warmtenet'!B59),0,'Eigen informatie GS &amp; warmtenet'!B59)</f>
        <v>0</v>
      </c>
      <c r="D5" s="31">
        <f>SUM(D6:D15)</f>
        <v>3008.6002539999999</v>
      </c>
      <c r="E5" s="18">
        <f>SUM(E6:E15)</f>
        <v>21.472208777387706</v>
      </c>
      <c r="F5" s="18">
        <f>SUM(F6:F15)</f>
        <v>951.86209138457605</v>
      </c>
      <c r="G5" s="19"/>
      <c r="H5" s="18"/>
      <c r="I5" s="18"/>
      <c r="J5" s="18">
        <f>SUM(J6:J15)</f>
        <v>6.1552676087497202</v>
      </c>
      <c r="K5" s="18"/>
      <c r="L5" s="18"/>
      <c r="M5" s="18"/>
      <c r="N5" s="18">
        <f>SUM(N6:N15)</f>
        <v>111.81233181699942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56.353999999999999</v>
      </c>
      <c r="C8" s="34"/>
      <c r="D8" s="38">
        <f>IF( ISERROR(IND_metaal_Gas_kWH/1000),0,IND_metaal_Gas_kWH/1000)*0.902</f>
        <v>29.664975999999999</v>
      </c>
      <c r="E8" s="34">
        <f>C30*'E Balans VL '!I18/100/3.6*1000000</f>
        <v>0.51320572231297812</v>
      </c>
      <c r="F8" s="34">
        <f>C30*'E Balans VL '!L18/100/3.6*1000000+C30*'E Balans VL '!N18/100/3.6*1000000</f>
        <v>7.4326646403735612</v>
      </c>
      <c r="G8" s="35"/>
      <c r="H8" s="34"/>
      <c r="I8" s="34"/>
      <c r="J8" s="41">
        <f>C30*'E Balans VL '!D18/100/3.6*1000000+C30*'E Balans VL '!E18/100/3.6*1000000</f>
        <v>0.92412377693836023</v>
      </c>
      <c r="K8" s="34"/>
      <c r="L8" s="34"/>
      <c r="M8" s="34"/>
      <c r="N8" s="34">
        <f>C30*'E Balans VL '!Y18/100/3.6*1000000</f>
        <v>0.19366631143092586</v>
      </c>
      <c r="O8" s="34"/>
      <c r="P8" s="34"/>
      <c r="R8" s="33"/>
    </row>
    <row r="9" spans="1:18">
      <c r="A9" s="6" t="s">
        <v>33</v>
      </c>
      <c r="B9" s="38">
        <f t="shared" si="0"/>
        <v>858.91200000000003</v>
      </c>
      <c r="C9" s="34"/>
      <c r="D9" s="38">
        <f>IF( ISERROR(IND_andere_gas_kWh/1000),0,IND_andere_gas_kWh/1000)*0.902</f>
        <v>963.65981799999997</v>
      </c>
      <c r="E9" s="34">
        <f>C31*'E Balans VL '!I19/100/3.6*1000000</f>
        <v>4.9646397137818763</v>
      </c>
      <c r="F9" s="34">
        <f>C31*'E Balans VL '!L19/100/3.6*1000000+C31*'E Balans VL '!N19/100/3.6*1000000</f>
        <v>683.30582520998314</v>
      </c>
      <c r="G9" s="35"/>
      <c r="H9" s="34"/>
      <c r="I9" s="34"/>
      <c r="J9" s="41">
        <f>C31*'E Balans VL '!D19/100/3.6*1000000+C31*'E Balans VL '!E19/100/3.6*1000000</f>
        <v>8.1243534675727883E-2</v>
      </c>
      <c r="K9" s="34"/>
      <c r="L9" s="34"/>
      <c r="M9" s="34"/>
      <c r="N9" s="34">
        <f>C31*'E Balans VL '!Y19/100/3.6*1000000</f>
        <v>65.075582179197127</v>
      </c>
      <c r="O9" s="34"/>
      <c r="P9" s="34"/>
      <c r="R9" s="33"/>
    </row>
    <row r="10" spans="1:18">
      <c r="A10" s="6" t="s">
        <v>41</v>
      </c>
      <c r="B10" s="38">
        <f t="shared" si="0"/>
        <v>478.08</v>
      </c>
      <c r="C10" s="34"/>
      <c r="D10" s="38">
        <f>IF( ISERROR(IND_voed_gas_kWh/1000),0,IND_voed_gas_kWh/1000)*0.902</f>
        <v>426.278886</v>
      </c>
      <c r="E10" s="34">
        <f>C32*'E Balans VL '!I20/100/3.6*1000000</f>
        <v>4.7007771296205361</v>
      </c>
      <c r="F10" s="34">
        <f>C32*'E Balans VL '!L20/100/3.6*1000000+C32*'E Balans VL '!N20/100/3.6*1000000</f>
        <v>53.097024208230728</v>
      </c>
      <c r="G10" s="35"/>
      <c r="H10" s="34"/>
      <c r="I10" s="34"/>
      <c r="J10" s="41">
        <f>C32*'E Balans VL '!D20/100/3.6*1000000+C32*'E Balans VL '!E20/100/3.6*1000000</f>
        <v>1.8843303152604883E-3</v>
      </c>
      <c r="K10" s="34"/>
      <c r="L10" s="34"/>
      <c r="M10" s="34"/>
      <c r="N10" s="34">
        <f>C32*'E Balans VL '!Y20/100/3.6*1000000</f>
        <v>7.0792402373024022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78.155000000000001</v>
      </c>
      <c r="C12" s="34"/>
      <c r="D12" s="38">
        <f>IF( ISERROR(IND_min_gas_kWh/1000),0,IND_min_gas_kWh/1000)*0.902</f>
        <v>108.24360800000001</v>
      </c>
      <c r="E12" s="34">
        <f>C34*'E Balans VL '!I22/100/3.6*1000000</f>
        <v>1.9813683264378117</v>
      </c>
      <c r="F12" s="34">
        <f>C34*'E Balans VL '!L22/100/3.6*1000000+C34*'E Balans VL '!N22/100/3.6*1000000</f>
        <v>21.625760916308078</v>
      </c>
      <c r="G12" s="35"/>
      <c r="H12" s="34"/>
      <c r="I12" s="34"/>
      <c r="J12" s="41">
        <f>C34*'E Balans VL '!D22/100/3.6*1000000+C34*'E Balans VL '!E22/100/3.6*1000000</f>
        <v>0.51615132531976493</v>
      </c>
      <c r="K12" s="34"/>
      <c r="L12" s="34"/>
      <c r="M12" s="34"/>
      <c r="N12" s="34">
        <f>C34*'E Balans VL '!Y22/100/3.6*1000000</f>
        <v>0</v>
      </c>
      <c r="O12" s="34"/>
      <c r="P12" s="34"/>
      <c r="R12" s="33"/>
    </row>
    <row r="13" spans="1:18">
      <c r="A13" s="6" t="s">
        <v>39</v>
      </c>
      <c r="B13" s="38">
        <f t="shared" si="0"/>
        <v>30.408000000000001</v>
      </c>
      <c r="C13" s="34"/>
      <c r="D13" s="38">
        <f>IF( ISERROR(IND_papier_gas_kWh/1000),0,IND_papier_gas_kWh/1000)*0.902</f>
        <v>0</v>
      </c>
      <c r="E13" s="34">
        <f>C35*'E Balans VL '!I23/100/3.6*1000000</f>
        <v>1.035740568749552</v>
      </c>
      <c r="F13" s="34">
        <f>C35*'E Balans VL '!L23/100/3.6*1000000+C35*'E Balans VL '!N23/100/3.6*1000000</f>
        <v>5.0226879396019468</v>
      </c>
      <c r="G13" s="35"/>
      <c r="H13" s="34"/>
      <c r="I13" s="34"/>
      <c r="J13" s="41">
        <f>C35*'E Balans VL '!D23/100/3.6*1000000+C35*'E Balans VL '!E23/100/3.6*1000000</f>
        <v>0</v>
      </c>
      <c r="K13" s="34"/>
      <c r="L13" s="34"/>
      <c r="M13" s="34"/>
      <c r="N13" s="34">
        <f>C35*'E Balans VL '!Y23/100/3.6*1000000</f>
        <v>11.189328520656003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921.07299999999998</v>
      </c>
      <c r="C15" s="34"/>
      <c r="D15" s="38">
        <f>IF( ISERROR(IND_rest_gas_kWh/1000),0,IND_rest_gas_kWh/1000)*0.902</f>
        <v>1480.752966</v>
      </c>
      <c r="E15" s="34">
        <f>C37*'E Balans VL '!I15/100/3.6*1000000</f>
        <v>8.2764773164849519</v>
      </c>
      <c r="F15" s="34">
        <f>C37*'E Balans VL '!L15/100/3.6*1000000+C37*'E Balans VL '!N15/100/3.6*1000000</f>
        <v>181.37812847007856</v>
      </c>
      <c r="G15" s="35"/>
      <c r="H15" s="34"/>
      <c r="I15" s="34"/>
      <c r="J15" s="41">
        <f>C37*'E Balans VL '!D15/100/3.6*1000000+C37*'E Balans VL '!E15/100/3.6*1000000</f>
        <v>4.6318646415006066</v>
      </c>
      <c r="K15" s="34"/>
      <c r="L15" s="34"/>
      <c r="M15" s="34"/>
      <c r="N15" s="34">
        <f>C37*'E Balans VL '!Y15/100/3.6*1000000</f>
        <v>28.27451456841295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2422.982</v>
      </c>
      <c r="C18" s="22">
        <f>C5+C16</f>
        <v>0</v>
      </c>
      <c r="D18" s="22">
        <f>MAX((D5+D16),0)</f>
        <v>3008.6002539999999</v>
      </c>
      <c r="E18" s="22">
        <f>MAX((E5+E16),0)</f>
        <v>21.472208777387706</v>
      </c>
      <c r="F18" s="22">
        <f>MAX((F5+F16),0)</f>
        <v>951.86209138457605</v>
      </c>
      <c r="G18" s="22"/>
      <c r="H18" s="22"/>
      <c r="I18" s="22"/>
      <c r="J18" s="22">
        <f>MAX((J5+J16),0)</f>
        <v>6.1552676087497202</v>
      </c>
      <c r="K18" s="22"/>
      <c r="L18" s="22">
        <f>MAX((L5+L16),0)</f>
        <v>0</v>
      </c>
      <c r="M18" s="22"/>
      <c r="N18" s="22">
        <f>MAX((N5+N16),0)</f>
        <v>111.81233181699942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0.19226842550181136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465.86293415922989</v>
      </c>
      <c r="C22" s="24">
        <f ca="1">C18*C20</f>
        <v>0</v>
      </c>
      <c r="D22" s="24">
        <f>D18*D20</f>
        <v>607.73725130800005</v>
      </c>
      <c r="E22" s="24">
        <f>E18*E20</f>
        <v>4.8741913924670097</v>
      </c>
      <c r="F22" s="24">
        <f>F18*F20</f>
        <v>254.14717839968182</v>
      </c>
      <c r="G22" s="24"/>
      <c r="H22" s="24"/>
      <c r="I22" s="24"/>
      <c r="J22" s="24">
        <f>J18*J20</f>
        <v>2.1789647334974007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56.353999999999999</v>
      </c>
      <c r="C30" s="40">
        <f>IF(ISERROR(B30*3.6/1000000/'E Balans VL '!Z18*100),0,B30*3.6/1000000/'E Balans VL '!Z18*100)</f>
        <v>3.135723264035154E-3</v>
      </c>
      <c r="D30" s="240" t="s">
        <v>707</v>
      </c>
    </row>
    <row r="31" spans="1:18">
      <c r="A31" s="6" t="s">
        <v>33</v>
      </c>
      <c r="B31" s="38">
        <f>IF( ISERROR(IND_ander_ele_kWh/1000),0,IND_ander_ele_kWh/1000)</f>
        <v>858.91200000000003</v>
      </c>
      <c r="C31" s="40">
        <f>IF(ISERROR(B31*3.6/1000000/'E Balans VL '!Z19*100),0,B31*3.6/1000000/'E Balans VL '!Z19*100)</f>
        <v>3.9928563117081282E-2</v>
      </c>
      <c r="D31" s="240" t="s">
        <v>707</v>
      </c>
    </row>
    <row r="32" spans="1:18">
      <c r="A32" s="174" t="s">
        <v>41</v>
      </c>
      <c r="B32" s="38">
        <f>IF( ISERROR(IND_voed_ele_kWh/1000),0,IND_voed_ele_kWh/1000)</f>
        <v>478.08</v>
      </c>
      <c r="C32" s="40">
        <f>IF(ISERROR(B32*3.6/1000000/'E Balans VL '!Z20*100),0,B32*3.6/1000000/'E Balans VL '!Z20*100)</f>
        <v>1.689916247654966E-2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78.155000000000001</v>
      </c>
      <c r="C34" s="40">
        <f>IF(ISERROR(B34*3.6/1000000/'E Balans VL '!Z22*100),0,B34*3.6/1000000/'E Balans VL '!Z22*100)</f>
        <v>1.5706951103456664E-2</v>
      </c>
      <c r="D34" s="240" t="s">
        <v>707</v>
      </c>
    </row>
    <row r="35" spans="1:5">
      <c r="A35" s="174" t="s">
        <v>39</v>
      </c>
      <c r="B35" s="38">
        <f>IF( ISERROR(IND_papier_ele_kWh/1000),0,IND_papier_ele_kWh/1000)</f>
        <v>30.408000000000001</v>
      </c>
      <c r="C35" s="40">
        <f>IF(ISERROR(B35*3.6/1000000/'E Balans VL '!Z22*100),0,B35*3.6/1000000/'E Balans VL '!Z22*100)</f>
        <v>6.1111505233690773E-3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921.07299999999998</v>
      </c>
      <c r="C37" s="40">
        <f>IF(ISERROR(B37*3.6/1000000/'E Balans VL '!Z15*100),0,B37*3.6/1000000/'E Balans VL '!Z15*100)</f>
        <v>6.9554617805687082E-3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1452.232</v>
      </c>
      <c r="C5" s="18">
        <f>'Eigen informatie GS &amp; warmtenet'!B60</f>
        <v>0</v>
      </c>
      <c r="D5" s="31">
        <f>IF(ISERROR(SUM(LB_lb_gas_kWh,LB_rest_gas_kWh)/1000),0,SUM(LB_lb_gas_kWh,LB_rest_gas_kWh)/1000)*0.902</f>
        <v>133.82252399999999</v>
      </c>
      <c r="E5" s="18">
        <f>B17*'E Balans VL '!I25/3.6*1000000/100</f>
        <v>13.680998467358309</v>
      </c>
      <c r="F5" s="18">
        <f>B17*('E Balans VL '!L25/3.6*1000000+'E Balans VL '!N25/3.6*1000000)/100</f>
        <v>4739.1149694740734</v>
      </c>
      <c r="G5" s="19"/>
      <c r="H5" s="18"/>
      <c r="I5" s="18"/>
      <c r="J5" s="18">
        <f>('E Balans VL '!D25+'E Balans VL '!E25)/3.6*1000000*landbouw!B17/100</f>
        <v>179.64816205509112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1452.232</v>
      </c>
      <c r="C8" s="22">
        <f>C5+C6</f>
        <v>0</v>
      </c>
      <c r="D8" s="22">
        <f>MAX((D5+D6),0)</f>
        <v>133.82252399999999</v>
      </c>
      <c r="E8" s="22">
        <f>MAX((E5+E6),0)</f>
        <v>13.680998467358309</v>
      </c>
      <c r="F8" s="22">
        <f>MAX((F5+F6),0)</f>
        <v>4739.1149694740734</v>
      </c>
      <c r="G8" s="22"/>
      <c r="H8" s="22"/>
      <c r="I8" s="22"/>
      <c r="J8" s="22">
        <f>MAX((J5+J6),0)</f>
        <v>179.64816205509112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0.19226842550181136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279.21836010334653</v>
      </c>
      <c r="C12" s="24">
        <f ca="1">C8*C10</f>
        <v>0</v>
      </c>
      <c r="D12" s="24">
        <f>D8*D10</f>
        <v>27.032149848</v>
      </c>
      <c r="E12" s="24">
        <f>E8*E10</f>
        <v>3.1055866520903361</v>
      </c>
      <c r="F12" s="24">
        <f>F8*F10</f>
        <v>1265.3436968495778</v>
      </c>
      <c r="G12" s="24"/>
      <c r="H12" s="24"/>
      <c r="I12" s="24"/>
      <c r="J12" s="24">
        <f>J8*J10</f>
        <v>63.595449367502255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0.19660900687446309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321.42673581856928</v>
      </c>
      <c r="C26" s="250">
        <f>B26*'GWP N2O_CH4'!B5</f>
        <v>6749.9614521899548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135.47519622676589</v>
      </c>
      <c r="C27" s="250">
        <f>B27*'GWP N2O_CH4'!B5</f>
        <v>2844.9791207620838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4.5322532855454094</v>
      </c>
      <c r="C28" s="250">
        <f>B28*'GWP N2O_CH4'!B4</f>
        <v>1404.9985185190769</v>
      </c>
      <c r="D28" s="51"/>
    </row>
    <row r="29" spans="1:4">
      <c r="A29" s="42" t="s">
        <v>277</v>
      </c>
      <c r="B29" s="250">
        <f>B34*'ha_N2O bodem landbouw'!B4</f>
        <v>13.545736081768986</v>
      </c>
      <c r="C29" s="250">
        <f>B29*'GWP N2O_CH4'!B4</f>
        <v>4199.1781853483853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3.6569223186912504E-3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1.1090413795049277E-5</v>
      </c>
      <c r="C5" s="447" t="s">
        <v>211</v>
      </c>
      <c r="D5" s="432">
        <f>SUM(D6:D11)</f>
        <v>2.9393452242839715E-5</v>
      </c>
      <c r="E5" s="432">
        <f>SUM(E6:E11)</f>
        <v>1.9820260038347841E-3</v>
      </c>
      <c r="F5" s="445" t="s">
        <v>211</v>
      </c>
      <c r="G5" s="432">
        <f>SUM(G6:G11)</f>
        <v>0.42611083911342446</v>
      </c>
      <c r="H5" s="432">
        <f>SUM(H6:H11)</f>
        <v>6.7905140761442176E-2</v>
      </c>
      <c r="I5" s="447" t="s">
        <v>211</v>
      </c>
      <c r="J5" s="447" t="s">
        <v>211</v>
      </c>
      <c r="K5" s="447" t="s">
        <v>211</v>
      </c>
      <c r="L5" s="447" t="s">
        <v>211</v>
      </c>
      <c r="M5" s="432">
        <f>SUM(M6:M11)</f>
        <v>2.2081094055826568E-2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3.3259057718914908E-6</v>
      </c>
      <c r="C6" s="433"/>
      <c r="D6" s="433">
        <f>vkm_2011_GW_PW*SUMIFS(TableVerdeelsleutelVkm[CNG],TableVerdeelsleutelVkm[Voertuigtype],"Lichte voertuigen")*SUMIFS(TableECFTransport[EnergieConsumptieFactor (PJ per km)],TableECFTransport[Index],CONCATENATE($A6,"_CNG_CNG"))</f>
        <v>8.1219175942570188E-6</v>
      </c>
      <c r="E6" s="435">
        <f>vkm_2011_GW_PW*SUMIFS(TableVerdeelsleutelVkm[LPG],TableVerdeelsleutelVkm[Voertuigtype],"Lichte voertuigen")*SUMIFS(TableECFTransport[EnergieConsumptieFactor (PJ per km)],TableECFTransport[Index],CONCATENATE($A6,"_LPG_LPG"))</f>
        <v>4.8142530204619579E-4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6.9595690645950586E-2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1.8239031071149065E-2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3.9334005960530065E-3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2.9482286722818791E-2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1.1894953274911384E-5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1.3134267517459354E-3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8.8891878256125348E-7</v>
      </c>
      <c r="C8" s="433"/>
      <c r="D8" s="435">
        <f>vkm_2011_NGW_PW*SUMIFS(TableVerdeelsleutelVkm[CNG],TableVerdeelsleutelVkm[Voertuigtype],"Lichte voertuigen")*SUMIFS(TableECFTransport[EnergieConsumptieFactor (PJ per km)],TableECFTransport[Index],CONCATENATE($A8,"_CNG_CNG"))</f>
        <v>3.8947024831496639E-6</v>
      </c>
      <c r="E8" s="435">
        <f>vkm_2011_NGW_PW*SUMIFS(TableVerdeelsleutelVkm[LPG],TableVerdeelsleutelVkm[Voertuigtype],"Lichte voertuigen")*SUMIFS(TableECFTransport[EnergieConsumptieFactor (PJ per km)],TableECFTransport[Index],CONCATENATE($A8,"_LPG_LPG"))</f>
        <v>2.1178891394647061E-4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2.8923021541042426E-2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8.3752990225354467E-3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1.6710480875550581E-3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7.5975046250292312E-3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2.6689405284931697E-6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3.384483518105645E-4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6.8755892405965329E-6</v>
      </c>
      <c r="C10" s="433"/>
      <c r="D10" s="435">
        <f>vkm_2011_SW_PW*SUMIFS(TableVerdeelsleutelVkm[CNG],TableVerdeelsleutelVkm[Voertuigtype],"Lichte voertuigen")*SUMIFS(TableECFTransport[EnergieConsumptieFactor (PJ per km)],TableECFTransport[Index],CONCATENATE($A10,"_CNG_CNG"))</f>
        <v>1.7376832165433033E-5</v>
      </c>
      <c r="E10" s="435">
        <f>vkm_2011_SW_PW*SUMIFS(TableVerdeelsleutelVkm[LPG],TableVerdeelsleutelVkm[Voertuigtype],"Lichte voertuigen")*SUMIFS(TableECFTransport[EnergieConsumptieFactor (PJ per km)],TableECFTransport[Index],CONCATENATE($A10,"_LPG_LPG"))</f>
        <v>1.2888117878421177E-3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0.16979374468082736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4.1224573012760196E-2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9.4466586199845951E-3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0.12071859089775606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5.1673761194065182E-5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5.3781116486774092E-3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3.0806704986247992</v>
      </c>
      <c r="C14" s="22"/>
      <c r="D14" s="22">
        <f t="shared" ref="D14:M14" si="0">((D5)*10^9/3600)+D12</f>
        <v>8.164847845233254</v>
      </c>
      <c r="E14" s="22">
        <f t="shared" si="0"/>
        <v>550.56277884299561</v>
      </c>
      <c r="F14" s="22"/>
      <c r="G14" s="22">
        <f t="shared" si="0"/>
        <v>118364.12197595125</v>
      </c>
      <c r="H14" s="22">
        <f t="shared" si="0"/>
        <v>18862.539100400601</v>
      </c>
      <c r="I14" s="22"/>
      <c r="J14" s="22"/>
      <c r="K14" s="22"/>
      <c r="L14" s="22"/>
      <c r="M14" s="22">
        <f t="shared" si="0"/>
        <v>6133.637237729602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0.19226842550181136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0.59231566626047027</v>
      </c>
      <c r="C18" s="24"/>
      <c r="D18" s="24">
        <f t="shared" ref="D18:M18" si="1">D14*D16</f>
        <v>1.6492992647371174</v>
      </c>
      <c r="E18" s="24">
        <f t="shared" si="1"/>
        <v>124.97775079736</v>
      </c>
      <c r="F18" s="24"/>
      <c r="G18" s="24">
        <f t="shared" si="1"/>
        <v>31603.220567578985</v>
      </c>
      <c r="H18" s="24">
        <f t="shared" si="1"/>
        <v>4696.7722359997497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3.8370747826422802E-3</v>
      </c>
      <c r="H50" s="323">
        <f t="shared" si="2"/>
        <v>0</v>
      </c>
      <c r="I50" s="323">
        <f t="shared" si="2"/>
        <v>0</v>
      </c>
      <c r="J50" s="323">
        <f t="shared" si="2"/>
        <v>0</v>
      </c>
      <c r="K50" s="323">
        <f t="shared" si="2"/>
        <v>0</v>
      </c>
      <c r="L50" s="323">
        <f t="shared" si="2"/>
        <v>0</v>
      </c>
      <c r="M50" s="323">
        <f t="shared" si="2"/>
        <v>1.6849228335660306E-4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3.8370747826422802E-3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1.6849228335660306E-4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1065.8541062895222</v>
      </c>
      <c r="H54" s="22">
        <f t="shared" si="3"/>
        <v>0</v>
      </c>
      <c r="I54" s="22">
        <f t="shared" si="3"/>
        <v>0</v>
      </c>
      <c r="J54" s="22">
        <f t="shared" si="3"/>
        <v>0</v>
      </c>
      <c r="K54" s="22">
        <f t="shared" si="3"/>
        <v>0</v>
      </c>
      <c r="L54" s="22">
        <f t="shared" si="3"/>
        <v>0</v>
      </c>
      <c r="M54" s="22">
        <f t="shared" si="3"/>
        <v>46.803412043500849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0.19226842550181136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284.58304637930246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8472.6229999999996</v>
      </c>
      <c r="D10" s="688">
        <f ca="1">tertiair!C16</f>
        <v>0</v>
      </c>
      <c r="E10" s="688">
        <f ca="1">tertiair!D16</f>
        <v>7007.8833439999999</v>
      </c>
      <c r="F10" s="688">
        <f>tertiair!E16</f>
        <v>62.650473652240542</v>
      </c>
      <c r="G10" s="688">
        <f ca="1">tertiair!F16</f>
        <v>1502.2430623805367</v>
      </c>
      <c r="H10" s="688">
        <f>tertiair!G16</f>
        <v>0</v>
      </c>
      <c r="I10" s="688">
        <f>tertiair!H16</f>
        <v>0</v>
      </c>
      <c r="J10" s="688">
        <f>tertiair!I16</f>
        <v>0</v>
      </c>
      <c r="K10" s="688">
        <f>tertiair!J16</f>
        <v>0</v>
      </c>
      <c r="L10" s="688">
        <f>tertiair!K16</f>
        <v>0</v>
      </c>
      <c r="M10" s="688">
        <f ca="1">tertiair!L16</f>
        <v>0</v>
      </c>
      <c r="N10" s="688">
        <f>tertiair!M16</f>
        <v>0</v>
      </c>
      <c r="O10" s="688">
        <f ca="1">tertiair!N16</f>
        <v>495.650599690288</v>
      </c>
      <c r="P10" s="688">
        <f>tertiair!O16</f>
        <v>0</v>
      </c>
      <c r="Q10" s="689">
        <f>tertiair!P16</f>
        <v>0</v>
      </c>
      <c r="R10" s="691">
        <f ca="1">SUM(C10:Q10)</f>
        <v>17541.050479723064</v>
      </c>
      <c r="S10" s="68"/>
    </row>
    <row r="11" spans="1:19" s="457" customFormat="1">
      <c r="A11" s="803" t="s">
        <v>225</v>
      </c>
      <c r="B11" s="808"/>
      <c r="C11" s="688">
        <f>huishoudens!B8</f>
        <v>17450.695342431904</v>
      </c>
      <c r="D11" s="688">
        <f>huishoudens!C8</f>
        <v>0</v>
      </c>
      <c r="E11" s="688">
        <f>huishoudens!D8</f>
        <v>41354.30042343164</v>
      </c>
      <c r="F11" s="688">
        <f>huishoudens!E8</f>
        <v>2296.8986174430465</v>
      </c>
      <c r="G11" s="688">
        <f>huishoudens!F8</f>
        <v>3191.9392896343147</v>
      </c>
      <c r="H11" s="688">
        <f>huishoudens!G8</f>
        <v>0</v>
      </c>
      <c r="I11" s="688">
        <f>huishoudens!H8</f>
        <v>0</v>
      </c>
      <c r="J11" s="688">
        <f>huishoudens!I8</f>
        <v>0</v>
      </c>
      <c r="K11" s="688">
        <f>huishoudens!J8</f>
        <v>1019.2917079347757</v>
      </c>
      <c r="L11" s="688">
        <f>huishoudens!K8</f>
        <v>0</v>
      </c>
      <c r="M11" s="688">
        <f>huishoudens!L8</f>
        <v>0</v>
      </c>
      <c r="N11" s="688">
        <f>huishoudens!M8</f>
        <v>0</v>
      </c>
      <c r="O11" s="688">
        <f>huishoudens!N8</f>
        <v>10389.7054768625</v>
      </c>
      <c r="P11" s="688">
        <f>huishoudens!O8</f>
        <v>57.843333333333334</v>
      </c>
      <c r="Q11" s="689">
        <f>huishoudens!P8</f>
        <v>76.266666666666666</v>
      </c>
      <c r="R11" s="691">
        <f>SUM(C11:Q11)</f>
        <v>75836.940857738169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2422.982</v>
      </c>
      <c r="D13" s="688">
        <f>industrie!C18</f>
        <v>0</v>
      </c>
      <c r="E13" s="688">
        <f>industrie!D18</f>
        <v>3008.6002539999999</v>
      </c>
      <c r="F13" s="688">
        <f>industrie!E18</f>
        <v>21.472208777387706</v>
      </c>
      <c r="G13" s="688">
        <f>industrie!F18</f>
        <v>951.86209138457605</v>
      </c>
      <c r="H13" s="688">
        <f>industrie!G18</f>
        <v>0</v>
      </c>
      <c r="I13" s="688">
        <f>industrie!H18</f>
        <v>0</v>
      </c>
      <c r="J13" s="688">
        <f>industrie!I18</f>
        <v>0</v>
      </c>
      <c r="K13" s="688">
        <f>industrie!J18</f>
        <v>6.1552676087497202</v>
      </c>
      <c r="L13" s="688">
        <f>industrie!K18</f>
        <v>0</v>
      </c>
      <c r="M13" s="688">
        <f>industrie!L18</f>
        <v>0</v>
      </c>
      <c r="N13" s="688">
        <f>industrie!M18</f>
        <v>0</v>
      </c>
      <c r="O13" s="688">
        <f>industrie!N18</f>
        <v>111.81233181699942</v>
      </c>
      <c r="P13" s="688">
        <f>industrie!O18</f>
        <v>0</v>
      </c>
      <c r="Q13" s="689">
        <f>industrie!P18</f>
        <v>0</v>
      </c>
      <c r="R13" s="691">
        <f>SUM(C13:Q13)</f>
        <v>6522.8841535877127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28346.300342431903</v>
      </c>
      <c r="D16" s="721">
        <f t="shared" ref="D16:R16" ca="1" si="0">SUM(D9:D15)</f>
        <v>0</v>
      </c>
      <c r="E16" s="721">
        <f t="shared" ca="1" si="0"/>
        <v>51370.784021431638</v>
      </c>
      <c r="F16" s="721">
        <f t="shared" si="0"/>
        <v>2381.0212998726747</v>
      </c>
      <c r="G16" s="721">
        <f t="shared" ca="1" si="0"/>
        <v>5646.044443399428</v>
      </c>
      <c r="H16" s="721">
        <f t="shared" si="0"/>
        <v>0</v>
      </c>
      <c r="I16" s="721">
        <f t="shared" si="0"/>
        <v>0</v>
      </c>
      <c r="J16" s="721">
        <f t="shared" si="0"/>
        <v>0</v>
      </c>
      <c r="K16" s="721">
        <f t="shared" si="0"/>
        <v>1025.4469755435255</v>
      </c>
      <c r="L16" s="721">
        <f t="shared" si="0"/>
        <v>0</v>
      </c>
      <c r="M16" s="721">
        <f t="shared" ca="1" si="0"/>
        <v>0</v>
      </c>
      <c r="N16" s="721">
        <f t="shared" si="0"/>
        <v>0</v>
      </c>
      <c r="O16" s="721">
        <f t="shared" ca="1" si="0"/>
        <v>10997.168408369789</v>
      </c>
      <c r="P16" s="721">
        <f t="shared" si="0"/>
        <v>57.843333333333334</v>
      </c>
      <c r="Q16" s="721">
        <f t="shared" si="0"/>
        <v>76.266666666666666</v>
      </c>
      <c r="R16" s="721">
        <f t="shared" ca="1" si="0"/>
        <v>99900.875491048952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1065.8541062895222</v>
      </c>
      <c r="I19" s="688">
        <f>transport!H54</f>
        <v>0</v>
      </c>
      <c r="J19" s="688">
        <f>transport!I54</f>
        <v>0</v>
      </c>
      <c r="K19" s="688">
        <f>transport!J54</f>
        <v>0</v>
      </c>
      <c r="L19" s="688">
        <f>transport!K54</f>
        <v>0</v>
      </c>
      <c r="M19" s="688">
        <f>transport!L54</f>
        <v>0</v>
      </c>
      <c r="N19" s="688">
        <f>transport!M54</f>
        <v>46.803412043500849</v>
      </c>
      <c r="O19" s="688">
        <f>transport!N54</f>
        <v>0</v>
      </c>
      <c r="P19" s="688">
        <f>transport!O54</f>
        <v>0</v>
      </c>
      <c r="Q19" s="689">
        <f>transport!P54</f>
        <v>0</v>
      </c>
      <c r="R19" s="691">
        <f>SUM(C19:Q19)</f>
        <v>1112.6575183330231</v>
      </c>
      <c r="S19" s="68"/>
    </row>
    <row r="20" spans="1:19" s="457" customFormat="1">
      <c r="A20" s="803" t="s">
        <v>307</v>
      </c>
      <c r="B20" s="808"/>
      <c r="C20" s="688">
        <f>transport!B14</f>
        <v>3.0806704986247992</v>
      </c>
      <c r="D20" s="688">
        <f>transport!C14</f>
        <v>0</v>
      </c>
      <c r="E20" s="688">
        <f>transport!D14</f>
        <v>8.164847845233254</v>
      </c>
      <c r="F20" s="688">
        <f>transport!E14</f>
        <v>550.56277884299561</v>
      </c>
      <c r="G20" s="688">
        <f>transport!F14</f>
        <v>0</v>
      </c>
      <c r="H20" s="688">
        <f>transport!G14</f>
        <v>118364.12197595125</v>
      </c>
      <c r="I20" s="688">
        <f>transport!H14</f>
        <v>18862.539100400601</v>
      </c>
      <c r="J20" s="688">
        <f>transport!I14</f>
        <v>0</v>
      </c>
      <c r="K20" s="688">
        <f>transport!J14</f>
        <v>0</v>
      </c>
      <c r="L20" s="688">
        <f>transport!K14</f>
        <v>0</v>
      </c>
      <c r="M20" s="688">
        <f>transport!L14</f>
        <v>0</v>
      </c>
      <c r="N20" s="688">
        <f>transport!M14</f>
        <v>6133.637237729602</v>
      </c>
      <c r="O20" s="688">
        <f>transport!N14</f>
        <v>0</v>
      </c>
      <c r="P20" s="688">
        <f>transport!O14</f>
        <v>0</v>
      </c>
      <c r="Q20" s="689">
        <f>transport!P14</f>
        <v>0</v>
      </c>
      <c r="R20" s="691">
        <f>SUM(C20:Q20)</f>
        <v>143922.1066112683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3.0806704986247992</v>
      </c>
      <c r="D22" s="806">
        <f t="shared" ref="D22:R22" si="1">SUM(D18:D21)</f>
        <v>0</v>
      </c>
      <c r="E22" s="806">
        <f t="shared" si="1"/>
        <v>8.164847845233254</v>
      </c>
      <c r="F22" s="806">
        <f t="shared" si="1"/>
        <v>550.56277884299561</v>
      </c>
      <c r="G22" s="806">
        <f t="shared" si="1"/>
        <v>0</v>
      </c>
      <c r="H22" s="806">
        <f t="shared" si="1"/>
        <v>119429.97608224077</v>
      </c>
      <c r="I22" s="806">
        <f t="shared" si="1"/>
        <v>18862.539100400601</v>
      </c>
      <c r="J22" s="806">
        <f t="shared" si="1"/>
        <v>0</v>
      </c>
      <c r="K22" s="806">
        <f t="shared" si="1"/>
        <v>0</v>
      </c>
      <c r="L22" s="806">
        <f t="shared" si="1"/>
        <v>0</v>
      </c>
      <c r="M22" s="806">
        <f t="shared" si="1"/>
        <v>0</v>
      </c>
      <c r="N22" s="806">
        <f t="shared" si="1"/>
        <v>6180.4406497731025</v>
      </c>
      <c r="O22" s="806">
        <f t="shared" si="1"/>
        <v>0</v>
      </c>
      <c r="P22" s="806">
        <f t="shared" si="1"/>
        <v>0</v>
      </c>
      <c r="Q22" s="806">
        <f t="shared" si="1"/>
        <v>0</v>
      </c>
      <c r="R22" s="806">
        <f t="shared" si="1"/>
        <v>145034.76412960133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1452.232</v>
      </c>
      <c r="D24" s="688">
        <f>+landbouw!C8</f>
        <v>0</v>
      </c>
      <c r="E24" s="688">
        <f>+landbouw!D8</f>
        <v>133.82252399999999</v>
      </c>
      <c r="F24" s="688">
        <f>+landbouw!E8</f>
        <v>13.680998467358309</v>
      </c>
      <c r="G24" s="688">
        <f>+landbouw!F8</f>
        <v>4739.1149694740734</v>
      </c>
      <c r="H24" s="688">
        <f>+landbouw!G8</f>
        <v>0</v>
      </c>
      <c r="I24" s="688">
        <f>+landbouw!H8</f>
        <v>0</v>
      </c>
      <c r="J24" s="688">
        <f>+landbouw!I8</f>
        <v>0</v>
      </c>
      <c r="K24" s="688">
        <f>+landbouw!J8</f>
        <v>179.64816205509112</v>
      </c>
      <c r="L24" s="688">
        <f>+landbouw!K8</f>
        <v>0</v>
      </c>
      <c r="M24" s="688">
        <f>+landbouw!L8</f>
        <v>0</v>
      </c>
      <c r="N24" s="688">
        <f>+landbouw!M8</f>
        <v>0</v>
      </c>
      <c r="O24" s="688">
        <f>+landbouw!N8</f>
        <v>0</v>
      </c>
      <c r="P24" s="688">
        <f>+landbouw!O8</f>
        <v>0</v>
      </c>
      <c r="Q24" s="689">
        <f>+landbouw!P8</f>
        <v>0</v>
      </c>
      <c r="R24" s="691">
        <f>SUM(C24:Q24)</f>
        <v>6518.498653996523</v>
      </c>
      <c r="S24" s="68"/>
    </row>
    <row r="25" spans="1:19" s="457" customFormat="1" ht="15" thickBot="1">
      <c r="A25" s="825" t="s">
        <v>912</v>
      </c>
      <c r="B25" s="1001"/>
      <c r="C25" s="1002">
        <f>IF(Onbekend_ele_kWh="---",0,Onbekend_ele_kWh)/1000+IF(REST_rest_ele_kWh="---",0,REST_rest_ele_kWh)/1000</f>
        <v>313.166</v>
      </c>
      <c r="D25" s="1002"/>
      <c r="E25" s="1002">
        <f>IF(onbekend_gas_kWh="---",0,onbekend_gas_kWh)/1000+IF(REST_rest_gas_kWh="---",0,REST_rest_gas_kWh)/1000</f>
        <v>914.19299999999998</v>
      </c>
      <c r="F25" s="1002"/>
      <c r="G25" s="1002"/>
      <c r="H25" s="1002"/>
      <c r="I25" s="1002"/>
      <c r="J25" s="1002"/>
      <c r="K25" s="1002"/>
      <c r="L25" s="1002"/>
      <c r="M25" s="1002"/>
      <c r="N25" s="1002"/>
      <c r="O25" s="1002"/>
      <c r="P25" s="1002"/>
      <c r="Q25" s="1003"/>
      <c r="R25" s="691">
        <f>SUM(C25:Q25)</f>
        <v>1227.3589999999999</v>
      </c>
      <c r="S25" s="68"/>
    </row>
    <row r="26" spans="1:19" s="457" customFormat="1" ht="15.75" thickBot="1">
      <c r="A26" s="694" t="s">
        <v>913</v>
      </c>
      <c r="B26" s="811"/>
      <c r="C26" s="806">
        <f>SUM(C24:C25)</f>
        <v>1765.3979999999999</v>
      </c>
      <c r="D26" s="806">
        <f t="shared" ref="D26:R26" si="2">SUM(D24:D25)</f>
        <v>0</v>
      </c>
      <c r="E26" s="806">
        <f t="shared" si="2"/>
        <v>1048.0155239999999</v>
      </c>
      <c r="F26" s="806">
        <f t="shared" si="2"/>
        <v>13.680998467358309</v>
      </c>
      <c r="G26" s="806">
        <f t="shared" si="2"/>
        <v>4739.1149694740734</v>
      </c>
      <c r="H26" s="806">
        <f t="shared" si="2"/>
        <v>0</v>
      </c>
      <c r="I26" s="806">
        <f t="shared" si="2"/>
        <v>0</v>
      </c>
      <c r="J26" s="806">
        <f t="shared" si="2"/>
        <v>0</v>
      </c>
      <c r="K26" s="806">
        <f t="shared" si="2"/>
        <v>179.64816205509112</v>
      </c>
      <c r="L26" s="806">
        <f t="shared" si="2"/>
        <v>0</v>
      </c>
      <c r="M26" s="806">
        <f t="shared" si="2"/>
        <v>0</v>
      </c>
      <c r="N26" s="806">
        <f t="shared" si="2"/>
        <v>0</v>
      </c>
      <c r="O26" s="806">
        <f t="shared" si="2"/>
        <v>0</v>
      </c>
      <c r="P26" s="806">
        <f t="shared" si="2"/>
        <v>0</v>
      </c>
      <c r="Q26" s="806">
        <f t="shared" si="2"/>
        <v>0</v>
      </c>
      <c r="R26" s="806">
        <f t="shared" si="2"/>
        <v>7745.8576539965234</v>
      </c>
      <c r="S26" s="68"/>
    </row>
    <row r="27" spans="1:19" s="457" customFormat="1" ht="17.25" thickTop="1" thickBot="1">
      <c r="A27" s="695" t="s">
        <v>116</v>
      </c>
      <c r="B27" s="798"/>
      <c r="C27" s="696">
        <f ca="1">C22+C16+C26</f>
        <v>30114.779012930529</v>
      </c>
      <c r="D27" s="696">
        <f t="shared" ref="D27:R27" ca="1" si="3">D22+D16+D26</f>
        <v>0</v>
      </c>
      <c r="E27" s="696">
        <f t="shared" ca="1" si="3"/>
        <v>52426.964393276874</v>
      </c>
      <c r="F27" s="696">
        <f t="shared" si="3"/>
        <v>2945.2650771830286</v>
      </c>
      <c r="G27" s="696">
        <f t="shared" ca="1" si="3"/>
        <v>10385.159412873501</v>
      </c>
      <c r="H27" s="696">
        <f t="shared" si="3"/>
        <v>119429.97608224077</v>
      </c>
      <c r="I27" s="696">
        <f t="shared" si="3"/>
        <v>18862.539100400601</v>
      </c>
      <c r="J27" s="696">
        <f t="shared" si="3"/>
        <v>0</v>
      </c>
      <c r="K27" s="696">
        <f t="shared" si="3"/>
        <v>1205.0951375986165</v>
      </c>
      <c r="L27" s="696">
        <f t="shared" si="3"/>
        <v>0</v>
      </c>
      <c r="M27" s="696">
        <f t="shared" ca="1" si="3"/>
        <v>0</v>
      </c>
      <c r="N27" s="696">
        <f t="shared" si="3"/>
        <v>6180.4406497731025</v>
      </c>
      <c r="O27" s="696">
        <f t="shared" ca="1" si="3"/>
        <v>10997.168408369789</v>
      </c>
      <c r="P27" s="696">
        <f t="shared" si="3"/>
        <v>57.843333333333334</v>
      </c>
      <c r="Q27" s="696">
        <f t="shared" si="3"/>
        <v>76.266666666666666</v>
      </c>
      <c r="R27" s="696">
        <f t="shared" ca="1" si="3"/>
        <v>252681.4972746468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1629.0178840804333</v>
      </c>
      <c r="D40" s="688">
        <f ca="1">tertiair!C20</f>
        <v>0</v>
      </c>
      <c r="E40" s="688">
        <f ca="1">tertiair!D20</f>
        <v>1415.5924354880001</v>
      </c>
      <c r="F40" s="688">
        <f>tertiair!E20</f>
        <v>14.221657519058603</v>
      </c>
      <c r="G40" s="688">
        <f ca="1">tertiair!F20</f>
        <v>401.09889765560331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3459.9308747430955</v>
      </c>
    </row>
    <row r="41" spans="1:18">
      <c r="A41" s="816" t="s">
        <v>225</v>
      </c>
      <c r="B41" s="823"/>
      <c r="C41" s="688">
        <f ca="1">huishoudens!B12</f>
        <v>3355.2177174011749</v>
      </c>
      <c r="D41" s="688">
        <f ca="1">huishoudens!C12</f>
        <v>0</v>
      </c>
      <c r="E41" s="688">
        <f>huishoudens!D12</f>
        <v>8353.5686855331915</v>
      </c>
      <c r="F41" s="688">
        <f>huishoudens!E12</f>
        <v>521.39598615957163</v>
      </c>
      <c r="G41" s="688">
        <f>huishoudens!F12</f>
        <v>852.24779033236211</v>
      </c>
      <c r="H41" s="688">
        <f>huishoudens!G12</f>
        <v>0</v>
      </c>
      <c r="I41" s="688">
        <f>huishoudens!H12</f>
        <v>0</v>
      </c>
      <c r="J41" s="688">
        <f>huishoudens!I12</f>
        <v>0</v>
      </c>
      <c r="K41" s="688">
        <f>huishoudens!J12</f>
        <v>360.82926460891059</v>
      </c>
      <c r="L41" s="688">
        <f>huishoudens!K12</f>
        <v>0</v>
      </c>
      <c r="M41" s="688">
        <f>huishoudens!L12</f>
        <v>0</v>
      </c>
      <c r="N41" s="688">
        <f>huishoudens!M12</f>
        <v>0</v>
      </c>
      <c r="O41" s="688">
        <f>huishoudens!N12</f>
        <v>0</v>
      </c>
      <c r="P41" s="688">
        <f>huishoudens!O12</f>
        <v>0</v>
      </c>
      <c r="Q41" s="763">
        <f>huishoudens!P12</f>
        <v>0</v>
      </c>
      <c r="R41" s="844">
        <f t="shared" ca="1" si="4"/>
        <v>13443.25944403521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465.86293415922989</v>
      </c>
      <c r="D43" s="688">
        <f ca="1">industrie!C22</f>
        <v>0</v>
      </c>
      <c r="E43" s="688">
        <f>industrie!D22</f>
        <v>607.73725130800005</v>
      </c>
      <c r="F43" s="688">
        <f>industrie!E22</f>
        <v>4.8741913924670097</v>
      </c>
      <c r="G43" s="688">
        <f>industrie!F22</f>
        <v>254.14717839968182</v>
      </c>
      <c r="H43" s="688">
        <f>industrie!G22</f>
        <v>0</v>
      </c>
      <c r="I43" s="688">
        <f>industrie!H22</f>
        <v>0</v>
      </c>
      <c r="J43" s="688">
        <f>industrie!I22</f>
        <v>0</v>
      </c>
      <c r="K43" s="688">
        <f>industrie!J22</f>
        <v>2.1789647334974007</v>
      </c>
      <c r="L43" s="688">
        <f>industrie!K22</f>
        <v>0</v>
      </c>
      <c r="M43" s="688">
        <f>industrie!L22</f>
        <v>0</v>
      </c>
      <c r="N43" s="688">
        <f>industrie!M22</f>
        <v>0</v>
      </c>
      <c r="O43" s="688">
        <f>industrie!N22</f>
        <v>0</v>
      </c>
      <c r="P43" s="688">
        <f>industrie!O22</f>
        <v>0</v>
      </c>
      <c r="Q43" s="763">
        <f>industrie!P22</f>
        <v>0</v>
      </c>
      <c r="R43" s="843">
        <f t="shared" ca="1" si="4"/>
        <v>1334.8005199928764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5450.0985356408382</v>
      </c>
      <c r="D46" s="721">
        <f t="shared" ref="D46:Q46" ca="1" si="5">SUM(D39:D45)</f>
        <v>0</v>
      </c>
      <c r="E46" s="721">
        <f t="shared" ca="1" si="5"/>
        <v>10376.898372329193</v>
      </c>
      <c r="F46" s="721">
        <f t="shared" si="5"/>
        <v>540.49183507109717</v>
      </c>
      <c r="G46" s="721">
        <f t="shared" ca="1" si="5"/>
        <v>1507.4938663876474</v>
      </c>
      <c r="H46" s="721">
        <f t="shared" si="5"/>
        <v>0</v>
      </c>
      <c r="I46" s="721">
        <f t="shared" si="5"/>
        <v>0</v>
      </c>
      <c r="J46" s="721">
        <f t="shared" si="5"/>
        <v>0</v>
      </c>
      <c r="K46" s="721">
        <f t="shared" si="5"/>
        <v>363.00822934240801</v>
      </c>
      <c r="L46" s="721">
        <f t="shared" si="5"/>
        <v>0</v>
      </c>
      <c r="M46" s="721">
        <f t="shared" ca="1" si="5"/>
        <v>0</v>
      </c>
      <c r="N46" s="721">
        <f t="shared" si="5"/>
        <v>0</v>
      </c>
      <c r="O46" s="721">
        <f t="shared" ca="1" si="5"/>
        <v>0</v>
      </c>
      <c r="P46" s="721">
        <f t="shared" si="5"/>
        <v>0</v>
      </c>
      <c r="Q46" s="721">
        <f t="shared" si="5"/>
        <v>0</v>
      </c>
      <c r="R46" s="721">
        <f ca="1">SUM(R39:R45)</f>
        <v>18237.990838771184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284.58304637930246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284.58304637930246</v>
      </c>
    </row>
    <row r="50" spans="1:18">
      <c r="A50" s="819" t="s">
        <v>307</v>
      </c>
      <c r="B50" s="829"/>
      <c r="C50" s="1008">
        <f ca="1">transport!B18</f>
        <v>0.59231566626047027</v>
      </c>
      <c r="D50" s="1008">
        <f>transport!C18</f>
        <v>0</v>
      </c>
      <c r="E50" s="1008">
        <f>transport!D18</f>
        <v>1.6492992647371174</v>
      </c>
      <c r="F50" s="1008">
        <f>transport!E18</f>
        <v>124.97775079736</v>
      </c>
      <c r="G50" s="1008">
        <f>transport!F18</f>
        <v>0</v>
      </c>
      <c r="H50" s="1008">
        <f>transport!G18</f>
        <v>31603.220567578985</v>
      </c>
      <c r="I50" s="1008">
        <f>transport!H18</f>
        <v>4696.7722359997497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36427.212169307095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0.59231566626047027</v>
      </c>
      <c r="D52" s="721">
        <f t="shared" ref="D52:Q52" ca="1" si="6">SUM(D48:D51)</f>
        <v>0</v>
      </c>
      <c r="E52" s="721">
        <f t="shared" si="6"/>
        <v>1.6492992647371174</v>
      </c>
      <c r="F52" s="721">
        <f t="shared" si="6"/>
        <v>124.97775079736</v>
      </c>
      <c r="G52" s="721">
        <f t="shared" si="6"/>
        <v>0</v>
      </c>
      <c r="H52" s="721">
        <f t="shared" si="6"/>
        <v>31887.803613958287</v>
      </c>
      <c r="I52" s="721">
        <f t="shared" si="6"/>
        <v>4696.7722359997497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36711.795215686398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279.21836010334653</v>
      </c>
      <c r="D54" s="1008">
        <f ca="1">+landbouw!C12</f>
        <v>0</v>
      </c>
      <c r="E54" s="1008">
        <f>+landbouw!D12</f>
        <v>27.032149848</v>
      </c>
      <c r="F54" s="1008">
        <f>+landbouw!E12</f>
        <v>3.1055866520903361</v>
      </c>
      <c r="G54" s="1008">
        <f>+landbouw!F12</f>
        <v>1265.3436968495778</v>
      </c>
      <c r="H54" s="1008">
        <f>+landbouw!G12</f>
        <v>0</v>
      </c>
      <c r="I54" s="1008">
        <f>+landbouw!H12</f>
        <v>0</v>
      </c>
      <c r="J54" s="1008">
        <f>+landbouw!I12</f>
        <v>0</v>
      </c>
      <c r="K54" s="1008">
        <f>+landbouw!J12</f>
        <v>63.595449367502255</v>
      </c>
      <c r="L54" s="1008">
        <f>+landbouw!K12</f>
        <v>0</v>
      </c>
      <c r="M54" s="1008">
        <f>+landbouw!L12</f>
        <v>0</v>
      </c>
      <c r="N54" s="1008">
        <f>+landbouw!M12</f>
        <v>0</v>
      </c>
      <c r="O54" s="1008">
        <f>+landbouw!N12</f>
        <v>0</v>
      </c>
      <c r="P54" s="1008">
        <f>+landbouw!O12</f>
        <v>0</v>
      </c>
      <c r="Q54" s="1009">
        <f>+landbouw!P12</f>
        <v>0</v>
      </c>
      <c r="R54" s="720">
        <f ca="1">SUM(C54:Q54)</f>
        <v>1638.2952428205167</v>
      </c>
    </row>
    <row r="55" spans="1:18" ht="15" thickBot="1">
      <c r="A55" s="819" t="s">
        <v>912</v>
      </c>
      <c r="B55" s="829"/>
      <c r="C55" s="1008">
        <f ca="1">C25*'EF ele_warmte'!B12</f>
        <v>60.211933740700253</v>
      </c>
      <c r="D55" s="1008"/>
      <c r="E55" s="1008">
        <f>E25*EF_CO2_aardgas</f>
        <v>184.66698600000001</v>
      </c>
      <c r="F55" s="1008"/>
      <c r="G55" s="1008"/>
      <c r="H55" s="1008"/>
      <c r="I55" s="1008"/>
      <c r="J55" s="1008"/>
      <c r="K55" s="1008"/>
      <c r="L55" s="1008"/>
      <c r="M55" s="1008"/>
      <c r="N55" s="1008"/>
      <c r="O55" s="1008"/>
      <c r="P55" s="1008"/>
      <c r="Q55" s="1009"/>
      <c r="R55" s="720">
        <f ca="1">SUM(C55:Q55)</f>
        <v>244.87891974070027</v>
      </c>
    </row>
    <row r="56" spans="1:18" ht="15.75" thickBot="1">
      <c r="A56" s="817" t="s">
        <v>913</v>
      </c>
      <c r="B56" s="830"/>
      <c r="C56" s="721">
        <f ca="1">SUM(C54:C55)</f>
        <v>339.43029384404679</v>
      </c>
      <c r="D56" s="721">
        <f t="shared" ref="D56:Q56" ca="1" si="7">SUM(D54:D55)</f>
        <v>0</v>
      </c>
      <c r="E56" s="721">
        <f t="shared" si="7"/>
        <v>211.699135848</v>
      </c>
      <c r="F56" s="721">
        <f t="shared" si="7"/>
        <v>3.1055866520903361</v>
      </c>
      <c r="G56" s="721">
        <f t="shared" si="7"/>
        <v>1265.3436968495778</v>
      </c>
      <c r="H56" s="721">
        <f t="shared" si="7"/>
        <v>0</v>
      </c>
      <c r="I56" s="721">
        <f t="shared" si="7"/>
        <v>0</v>
      </c>
      <c r="J56" s="721">
        <f t="shared" si="7"/>
        <v>0</v>
      </c>
      <c r="K56" s="721">
        <f t="shared" si="7"/>
        <v>63.595449367502255</v>
      </c>
      <c r="L56" s="721">
        <f t="shared" si="7"/>
        <v>0</v>
      </c>
      <c r="M56" s="721">
        <f t="shared" si="7"/>
        <v>0</v>
      </c>
      <c r="N56" s="721">
        <f t="shared" si="7"/>
        <v>0</v>
      </c>
      <c r="O56" s="721">
        <f t="shared" si="7"/>
        <v>0</v>
      </c>
      <c r="P56" s="721">
        <f t="shared" si="7"/>
        <v>0</v>
      </c>
      <c r="Q56" s="722">
        <f t="shared" si="7"/>
        <v>0</v>
      </c>
      <c r="R56" s="723">
        <f ca="1">SUM(R54:R55)</f>
        <v>1883.1741625612169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5790.1211451511454</v>
      </c>
      <c r="D61" s="729">
        <f t="shared" ref="D61:Q61" ca="1" si="8">D46+D52+D56</f>
        <v>0</v>
      </c>
      <c r="E61" s="729">
        <f t="shared" ca="1" si="8"/>
        <v>10590.24680744193</v>
      </c>
      <c r="F61" s="729">
        <f t="shared" si="8"/>
        <v>668.57517252054754</v>
      </c>
      <c r="G61" s="729">
        <f t="shared" ca="1" si="8"/>
        <v>2772.8375632372254</v>
      </c>
      <c r="H61" s="729">
        <f t="shared" si="8"/>
        <v>31887.803613958287</v>
      </c>
      <c r="I61" s="729">
        <f t="shared" si="8"/>
        <v>4696.7722359997497</v>
      </c>
      <c r="J61" s="729">
        <f t="shared" si="8"/>
        <v>0</v>
      </c>
      <c r="K61" s="729">
        <f t="shared" si="8"/>
        <v>426.60367870991024</v>
      </c>
      <c r="L61" s="729">
        <f t="shared" si="8"/>
        <v>0</v>
      </c>
      <c r="M61" s="729">
        <f t="shared" ca="1" si="8"/>
        <v>0</v>
      </c>
      <c r="N61" s="729">
        <f t="shared" si="8"/>
        <v>0</v>
      </c>
      <c r="O61" s="729">
        <f t="shared" ca="1" si="8"/>
        <v>0</v>
      </c>
      <c r="P61" s="729">
        <f t="shared" si="8"/>
        <v>0</v>
      </c>
      <c r="Q61" s="729">
        <f t="shared" si="8"/>
        <v>0</v>
      </c>
      <c r="R61" s="729">
        <f ca="1">R46+R52+R56</f>
        <v>56832.960217018801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0.19226842550181136</v>
      </c>
      <c r="D63" s="773">
        <f t="shared" ca="1" si="9"/>
        <v>0</v>
      </c>
      <c r="E63" s="1010">
        <f t="shared" ca="1" si="9"/>
        <v>0.20200000000000004</v>
      </c>
      <c r="F63" s="773">
        <f t="shared" si="9"/>
        <v>0.22700000000000001</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3915.135822201365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3915.135822201365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3915.135822201365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3915.135822201365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17450.695342431904</v>
      </c>
      <c r="C4" s="461">
        <f>huishoudens!C8</f>
        <v>0</v>
      </c>
      <c r="D4" s="461">
        <f>huishoudens!D8</f>
        <v>41354.30042343164</v>
      </c>
      <c r="E4" s="461">
        <f>huishoudens!E8</f>
        <v>2296.8986174430465</v>
      </c>
      <c r="F4" s="461">
        <f>huishoudens!F8</f>
        <v>3191.9392896343147</v>
      </c>
      <c r="G4" s="461">
        <f>huishoudens!G8</f>
        <v>0</v>
      </c>
      <c r="H4" s="461">
        <f>huishoudens!H8</f>
        <v>0</v>
      </c>
      <c r="I4" s="461">
        <f>huishoudens!I8</f>
        <v>0</v>
      </c>
      <c r="J4" s="461">
        <f>huishoudens!J8</f>
        <v>1019.2917079347757</v>
      </c>
      <c r="K4" s="461">
        <f>huishoudens!K8</f>
        <v>0</v>
      </c>
      <c r="L4" s="461">
        <f>huishoudens!L8</f>
        <v>0</v>
      </c>
      <c r="M4" s="461">
        <f>huishoudens!M8</f>
        <v>0</v>
      </c>
      <c r="N4" s="461">
        <f>huishoudens!N8</f>
        <v>10389.7054768625</v>
      </c>
      <c r="O4" s="461">
        <f>huishoudens!O8</f>
        <v>57.843333333333334</v>
      </c>
      <c r="P4" s="462">
        <f>huishoudens!P8</f>
        <v>76.266666666666666</v>
      </c>
      <c r="Q4" s="463">
        <f>SUM(B4:P4)</f>
        <v>75836.940857738169</v>
      </c>
    </row>
    <row r="5" spans="1:17">
      <c r="A5" s="460" t="s">
        <v>156</v>
      </c>
      <c r="B5" s="461">
        <f ca="1">tertiair!B16</f>
        <v>7601.13</v>
      </c>
      <c r="C5" s="461">
        <f ca="1">tertiair!C16</f>
        <v>0</v>
      </c>
      <c r="D5" s="461">
        <f ca="1">tertiair!D16</f>
        <v>7007.8833439999999</v>
      </c>
      <c r="E5" s="461">
        <f>tertiair!E16</f>
        <v>62.650473652240542</v>
      </c>
      <c r="F5" s="461">
        <f ca="1">tertiair!F16</f>
        <v>1502.2430623805367</v>
      </c>
      <c r="G5" s="461">
        <f>tertiair!G16</f>
        <v>0</v>
      </c>
      <c r="H5" s="461">
        <f>tertiair!H16</f>
        <v>0</v>
      </c>
      <c r="I5" s="461">
        <f>tertiair!I16</f>
        <v>0</v>
      </c>
      <c r="J5" s="461">
        <f>tertiair!J16</f>
        <v>0</v>
      </c>
      <c r="K5" s="461">
        <f>tertiair!K16</f>
        <v>0</v>
      </c>
      <c r="L5" s="461">
        <f ca="1">tertiair!L16</f>
        <v>0</v>
      </c>
      <c r="M5" s="461">
        <f>tertiair!M16</f>
        <v>0</v>
      </c>
      <c r="N5" s="461">
        <f ca="1">tertiair!N16</f>
        <v>495.650599690288</v>
      </c>
      <c r="O5" s="461">
        <f>tertiair!O16</f>
        <v>0</v>
      </c>
      <c r="P5" s="462">
        <f>tertiair!P16</f>
        <v>0</v>
      </c>
      <c r="Q5" s="460">
        <f t="shared" ref="Q5:Q14" ca="1" si="0">SUM(B5:P5)</f>
        <v>16669.557479723066</v>
      </c>
    </row>
    <row r="6" spans="1:17">
      <c r="A6" s="460" t="s">
        <v>194</v>
      </c>
      <c r="B6" s="461">
        <f>'openbare verlichting'!B8</f>
        <v>871.49300000000005</v>
      </c>
      <c r="C6" s="461"/>
      <c r="D6" s="461"/>
      <c r="E6" s="461"/>
      <c r="F6" s="461"/>
      <c r="G6" s="461"/>
      <c r="H6" s="461"/>
      <c r="I6" s="461"/>
      <c r="J6" s="461"/>
      <c r="K6" s="461"/>
      <c r="L6" s="461"/>
      <c r="M6" s="461"/>
      <c r="N6" s="461"/>
      <c r="O6" s="461"/>
      <c r="P6" s="462"/>
      <c r="Q6" s="460">
        <f t="shared" si="0"/>
        <v>871.49300000000005</v>
      </c>
    </row>
    <row r="7" spans="1:17">
      <c r="A7" s="460" t="s">
        <v>112</v>
      </c>
      <c r="B7" s="461">
        <f>landbouw!B8</f>
        <v>1452.232</v>
      </c>
      <c r="C7" s="461">
        <f>landbouw!C8</f>
        <v>0</v>
      </c>
      <c r="D7" s="461">
        <f>landbouw!D8</f>
        <v>133.82252399999999</v>
      </c>
      <c r="E7" s="461">
        <f>landbouw!E8</f>
        <v>13.680998467358309</v>
      </c>
      <c r="F7" s="461">
        <f>landbouw!F8</f>
        <v>4739.1149694740734</v>
      </c>
      <c r="G7" s="461">
        <f>landbouw!G8</f>
        <v>0</v>
      </c>
      <c r="H7" s="461">
        <f>landbouw!H8</f>
        <v>0</v>
      </c>
      <c r="I7" s="461">
        <f>landbouw!I8</f>
        <v>0</v>
      </c>
      <c r="J7" s="461">
        <f>landbouw!J8</f>
        <v>179.64816205509112</v>
      </c>
      <c r="K7" s="461">
        <f>landbouw!K8</f>
        <v>0</v>
      </c>
      <c r="L7" s="461">
        <f>landbouw!L8</f>
        <v>0</v>
      </c>
      <c r="M7" s="461">
        <f>landbouw!M8</f>
        <v>0</v>
      </c>
      <c r="N7" s="461">
        <f>landbouw!N8</f>
        <v>0</v>
      </c>
      <c r="O7" s="461">
        <f>landbouw!O8</f>
        <v>0</v>
      </c>
      <c r="P7" s="462">
        <f>landbouw!P8</f>
        <v>0</v>
      </c>
      <c r="Q7" s="460">
        <f t="shared" si="0"/>
        <v>6518.498653996523</v>
      </c>
    </row>
    <row r="8" spans="1:17">
      <c r="A8" s="460" t="s">
        <v>685</v>
      </c>
      <c r="B8" s="461">
        <f>industrie!B18</f>
        <v>2422.982</v>
      </c>
      <c r="C8" s="461">
        <f>industrie!C18</f>
        <v>0</v>
      </c>
      <c r="D8" s="461">
        <f>industrie!D18</f>
        <v>3008.6002539999999</v>
      </c>
      <c r="E8" s="461">
        <f>industrie!E18</f>
        <v>21.472208777387706</v>
      </c>
      <c r="F8" s="461">
        <f>industrie!F18</f>
        <v>951.86209138457605</v>
      </c>
      <c r="G8" s="461">
        <f>industrie!G18</f>
        <v>0</v>
      </c>
      <c r="H8" s="461">
        <f>industrie!H18</f>
        <v>0</v>
      </c>
      <c r="I8" s="461">
        <f>industrie!I18</f>
        <v>0</v>
      </c>
      <c r="J8" s="461">
        <f>industrie!J18</f>
        <v>6.1552676087497202</v>
      </c>
      <c r="K8" s="461">
        <f>industrie!K18</f>
        <v>0</v>
      </c>
      <c r="L8" s="461">
        <f>industrie!L18</f>
        <v>0</v>
      </c>
      <c r="M8" s="461">
        <f>industrie!M18</f>
        <v>0</v>
      </c>
      <c r="N8" s="461">
        <f>industrie!N18</f>
        <v>111.81233181699942</v>
      </c>
      <c r="O8" s="461">
        <f>industrie!O18</f>
        <v>0</v>
      </c>
      <c r="P8" s="462">
        <f>industrie!P18</f>
        <v>0</v>
      </c>
      <c r="Q8" s="460">
        <f t="shared" si="0"/>
        <v>6522.8841535877127</v>
      </c>
    </row>
    <row r="9" spans="1:17" s="466" customFormat="1">
      <c r="A9" s="464" t="s">
        <v>579</v>
      </c>
      <c r="B9" s="465">
        <f>transport!B14</f>
        <v>3.0806704986247992</v>
      </c>
      <c r="C9" s="465">
        <f>transport!C14</f>
        <v>0</v>
      </c>
      <c r="D9" s="465">
        <f>transport!D14</f>
        <v>8.164847845233254</v>
      </c>
      <c r="E9" s="465">
        <f>transport!E14</f>
        <v>550.56277884299561</v>
      </c>
      <c r="F9" s="465">
        <f>transport!F14</f>
        <v>0</v>
      </c>
      <c r="G9" s="465">
        <f>transport!G14</f>
        <v>118364.12197595125</v>
      </c>
      <c r="H9" s="465">
        <f>transport!H14</f>
        <v>18862.539100400601</v>
      </c>
      <c r="I9" s="465">
        <f>transport!I14</f>
        <v>0</v>
      </c>
      <c r="J9" s="465">
        <f>transport!J14</f>
        <v>0</v>
      </c>
      <c r="K9" s="465">
        <f>transport!K14</f>
        <v>0</v>
      </c>
      <c r="L9" s="465">
        <f>transport!L14</f>
        <v>0</v>
      </c>
      <c r="M9" s="465">
        <f>transport!M14</f>
        <v>6133.637237729602</v>
      </c>
      <c r="N9" s="465">
        <f>transport!N14</f>
        <v>0</v>
      </c>
      <c r="O9" s="465">
        <f>transport!O14</f>
        <v>0</v>
      </c>
      <c r="P9" s="465">
        <f>transport!P14</f>
        <v>0</v>
      </c>
      <c r="Q9" s="464">
        <f>SUM(B9:P9)</f>
        <v>143922.1066112683</v>
      </c>
    </row>
    <row r="10" spans="1:17">
      <c r="A10" s="460" t="s">
        <v>569</v>
      </c>
      <c r="B10" s="461">
        <f>transport!B54</f>
        <v>0</v>
      </c>
      <c r="C10" s="461">
        <f>transport!C54</f>
        <v>0</v>
      </c>
      <c r="D10" s="461">
        <f>transport!D54</f>
        <v>0</v>
      </c>
      <c r="E10" s="461">
        <f>transport!E54</f>
        <v>0</v>
      </c>
      <c r="F10" s="461">
        <f>transport!F54</f>
        <v>0</v>
      </c>
      <c r="G10" s="461">
        <f>transport!G54</f>
        <v>1065.8541062895222</v>
      </c>
      <c r="H10" s="461">
        <f>transport!H54</f>
        <v>0</v>
      </c>
      <c r="I10" s="461">
        <f>transport!I54</f>
        <v>0</v>
      </c>
      <c r="J10" s="461">
        <f>transport!J54</f>
        <v>0</v>
      </c>
      <c r="K10" s="461">
        <f>transport!K54</f>
        <v>0</v>
      </c>
      <c r="L10" s="461">
        <f>transport!L54</f>
        <v>0</v>
      </c>
      <c r="M10" s="461">
        <f>transport!M54</f>
        <v>46.803412043500849</v>
      </c>
      <c r="N10" s="461">
        <f>transport!N54</f>
        <v>0</v>
      </c>
      <c r="O10" s="461">
        <f>transport!O54</f>
        <v>0</v>
      </c>
      <c r="P10" s="462">
        <f>transport!P54</f>
        <v>0</v>
      </c>
      <c r="Q10" s="460">
        <f t="shared" si="0"/>
        <v>1112.6575183330231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313.166</v>
      </c>
      <c r="C14" s="468"/>
      <c r="D14" s="468">
        <f>'SEAP template'!E25</f>
        <v>914.19299999999998</v>
      </c>
      <c r="E14" s="468"/>
      <c r="F14" s="468"/>
      <c r="G14" s="468"/>
      <c r="H14" s="468"/>
      <c r="I14" s="468"/>
      <c r="J14" s="468"/>
      <c r="K14" s="468"/>
      <c r="L14" s="468"/>
      <c r="M14" s="468"/>
      <c r="N14" s="468"/>
      <c r="O14" s="468"/>
      <c r="P14" s="469"/>
      <c r="Q14" s="460">
        <f t="shared" si="0"/>
        <v>1227.3589999999999</v>
      </c>
    </row>
    <row r="15" spans="1:17" s="473" customFormat="1">
      <c r="A15" s="470" t="s">
        <v>573</v>
      </c>
      <c r="B15" s="471">
        <f ca="1">SUM(B4:B14)</f>
        <v>30114.779012930529</v>
      </c>
      <c r="C15" s="471">
        <f t="shared" ref="C15:Q15" ca="1" si="1">SUM(C4:C14)</f>
        <v>0</v>
      </c>
      <c r="D15" s="471">
        <f t="shared" ca="1" si="1"/>
        <v>52426.964393276874</v>
      </c>
      <c r="E15" s="471">
        <f t="shared" si="1"/>
        <v>2945.2650771830286</v>
      </c>
      <c r="F15" s="471">
        <f t="shared" ca="1" si="1"/>
        <v>10385.1594128735</v>
      </c>
      <c r="G15" s="471">
        <f t="shared" si="1"/>
        <v>119429.97608224077</v>
      </c>
      <c r="H15" s="471">
        <f t="shared" si="1"/>
        <v>18862.539100400601</v>
      </c>
      <c r="I15" s="471">
        <f t="shared" si="1"/>
        <v>0</v>
      </c>
      <c r="J15" s="471">
        <f t="shared" si="1"/>
        <v>1205.0951375986165</v>
      </c>
      <c r="K15" s="471">
        <f t="shared" si="1"/>
        <v>0</v>
      </c>
      <c r="L15" s="471">
        <f t="shared" ca="1" si="1"/>
        <v>0</v>
      </c>
      <c r="M15" s="471">
        <f t="shared" si="1"/>
        <v>6180.4406497731025</v>
      </c>
      <c r="N15" s="471">
        <f t="shared" ca="1" si="1"/>
        <v>10997.168408369789</v>
      </c>
      <c r="O15" s="471">
        <f t="shared" si="1"/>
        <v>57.843333333333334</v>
      </c>
      <c r="P15" s="471">
        <f t="shared" si="1"/>
        <v>76.266666666666666</v>
      </c>
      <c r="Q15" s="471">
        <f t="shared" ca="1" si="1"/>
        <v>252681.4972746468</v>
      </c>
    </row>
    <row r="17" spans="1:17">
      <c r="A17" s="474" t="s">
        <v>574</v>
      </c>
      <c r="B17" s="778">
        <f ca="1">huishoudens!B10</f>
        <v>0.19226842550181136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3355.2177174011749</v>
      </c>
      <c r="C22" s="461">
        <f t="shared" ref="C22:C32" ca="1" si="3">C4*$C$17</f>
        <v>0</v>
      </c>
      <c r="D22" s="461">
        <f t="shared" ref="D22:D32" si="4">D4*$D$17</f>
        <v>8353.5686855331915</v>
      </c>
      <c r="E22" s="461">
        <f t="shared" ref="E22:E32" si="5">E4*$E$17</f>
        <v>521.39598615957163</v>
      </c>
      <c r="F22" s="461">
        <f t="shared" ref="F22:F32" si="6">F4*$F$17</f>
        <v>852.24779033236211</v>
      </c>
      <c r="G22" s="461">
        <f t="shared" ref="G22:G32" si="7">G4*$G$17</f>
        <v>0</v>
      </c>
      <c r="H22" s="461">
        <f t="shared" ref="H22:H32" si="8">H4*$H$17</f>
        <v>0</v>
      </c>
      <c r="I22" s="461">
        <f t="shared" ref="I22:I32" si="9">I4*$I$17</f>
        <v>0</v>
      </c>
      <c r="J22" s="461">
        <f t="shared" ref="J22:J32" si="10">J4*$J$17</f>
        <v>360.82926460891059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13443.25944403521</v>
      </c>
    </row>
    <row r="23" spans="1:17">
      <c r="A23" s="460" t="s">
        <v>156</v>
      </c>
      <c r="B23" s="461">
        <f t="shared" ca="1" si="2"/>
        <v>1461.4572971345833</v>
      </c>
      <c r="C23" s="461">
        <f t="shared" ca="1" si="3"/>
        <v>0</v>
      </c>
      <c r="D23" s="461">
        <f t="shared" ca="1" si="4"/>
        <v>1415.5924354880001</v>
      </c>
      <c r="E23" s="461">
        <f t="shared" si="5"/>
        <v>14.221657519058603</v>
      </c>
      <c r="F23" s="461">
        <f t="shared" ca="1" si="6"/>
        <v>401.09889765560331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3292.3702877972451</v>
      </c>
    </row>
    <row r="24" spans="1:17">
      <c r="A24" s="460" t="s">
        <v>194</v>
      </c>
      <c r="B24" s="461">
        <f t="shared" ca="1" si="2"/>
        <v>167.5605869458501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167.5605869458501</v>
      </c>
    </row>
    <row r="25" spans="1:17">
      <c r="A25" s="460" t="s">
        <v>112</v>
      </c>
      <c r="B25" s="461">
        <f t="shared" ca="1" si="2"/>
        <v>279.21836010334653</v>
      </c>
      <c r="C25" s="461">
        <f t="shared" ca="1" si="3"/>
        <v>0</v>
      </c>
      <c r="D25" s="461">
        <f t="shared" si="4"/>
        <v>27.032149848</v>
      </c>
      <c r="E25" s="461">
        <f t="shared" si="5"/>
        <v>3.1055866520903361</v>
      </c>
      <c r="F25" s="461">
        <f t="shared" si="6"/>
        <v>1265.3436968495778</v>
      </c>
      <c r="G25" s="461">
        <f t="shared" si="7"/>
        <v>0</v>
      </c>
      <c r="H25" s="461">
        <f t="shared" si="8"/>
        <v>0</v>
      </c>
      <c r="I25" s="461">
        <f t="shared" si="9"/>
        <v>0</v>
      </c>
      <c r="J25" s="461">
        <f t="shared" si="10"/>
        <v>63.595449367502255</v>
      </c>
      <c r="K25" s="461">
        <f t="shared" si="11"/>
        <v>0</v>
      </c>
      <c r="L25" s="461">
        <f t="shared" si="12"/>
        <v>0</v>
      </c>
      <c r="M25" s="461">
        <f t="shared" si="13"/>
        <v>0</v>
      </c>
      <c r="N25" s="461">
        <f t="shared" si="14"/>
        <v>0</v>
      </c>
      <c r="O25" s="461">
        <f t="shared" si="15"/>
        <v>0</v>
      </c>
      <c r="P25" s="462">
        <f t="shared" si="16"/>
        <v>0</v>
      </c>
      <c r="Q25" s="460">
        <f t="shared" ca="1" si="17"/>
        <v>1638.2952428205167</v>
      </c>
    </row>
    <row r="26" spans="1:17">
      <c r="A26" s="460" t="s">
        <v>685</v>
      </c>
      <c r="B26" s="461">
        <f t="shared" ca="1" si="2"/>
        <v>465.86293415922989</v>
      </c>
      <c r="C26" s="461">
        <f t="shared" ca="1" si="3"/>
        <v>0</v>
      </c>
      <c r="D26" s="461">
        <f t="shared" si="4"/>
        <v>607.73725130800005</v>
      </c>
      <c r="E26" s="461">
        <f t="shared" si="5"/>
        <v>4.8741913924670097</v>
      </c>
      <c r="F26" s="461">
        <f t="shared" si="6"/>
        <v>254.14717839968182</v>
      </c>
      <c r="G26" s="461">
        <f t="shared" si="7"/>
        <v>0</v>
      </c>
      <c r="H26" s="461">
        <f t="shared" si="8"/>
        <v>0</v>
      </c>
      <c r="I26" s="461">
        <f t="shared" si="9"/>
        <v>0</v>
      </c>
      <c r="J26" s="461">
        <f t="shared" si="10"/>
        <v>2.1789647334974007</v>
      </c>
      <c r="K26" s="461">
        <f t="shared" si="11"/>
        <v>0</v>
      </c>
      <c r="L26" s="461">
        <f t="shared" si="12"/>
        <v>0</v>
      </c>
      <c r="M26" s="461">
        <f t="shared" si="13"/>
        <v>0</v>
      </c>
      <c r="N26" s="461">
        <f t="shared" si="14"/>
        <v>0</v>
      </c>
      <c r="O26" s="461">
        <f t="shared" si="15"/>
        <v>0</v>
      </c>
      <c r="P26" s="462">
        <f t="shared" si="16"/>
        <v>0</v>
      </c>
      <c r="Q26" s="460">
        <f t="shared" ca="1" si="17"/>
        <v>1334.8005199928764</v>
      </c>
    </row>
    <row r="27" spans="1:17" s="466" customFormat="1">
      <c r="A27" s="464" t="s">
        <v>579</v>
      </c>
      <c r="B27" s="772">
        <f t="shared" ca="1" si="2"/>
        <v>0.59231566626047027</v>
      </c>
      <c r="C27" s="465">
        <f t="shared" ca="1" si="3"/>
        <v>0</v>
      </c>
      <c r="D27" s="465">
        <f t="shared" si="4"/>
        <v>1.6492992647371174</v>
      </c>
      <c r="E27" s="465">
        <f t="shared" si="5"/>
        <v>124.97775079736</v>
      </c>
      <c r="F27" s="465">
        <f t="shared" si="6"/>
        <v>0</v>
      </c>
      <c r="G27" s="465">
        <f t="shared" si="7"/>
        <v>31603.220567578985</v>
      </c>
      <c r="H27" s="465">
        <f t="shared" si="8"/>
        <v>4696.7722359997497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36427.212169307095</v>
      </c>
    </row>
    <row r="28" spans="1:17">
      <c r="A28" s="460" t="s">
        <v>569</v>
      </c>
      <c r="B28" s="461">
        <f t="shared" ca="1" si="2"/>
        <v>0</v>
      </c>
      <c r="C28" s="461">
        <f t="shared" ca="1" si="3"/>
        <v>0</v>
      </c>
      <c r="D28" s="461">
        <f t="shared" si="4"/>
        <v>0</v>
      </c>
      <c r="E28" s="461">
        <f t="shared" si="5"/>
        <v>0</v>
      </c>
      <c r="F28" s="461">
        <f t="shared" si="6"/>
        <v>0</v>
      </c>
      <c r="G28" s="461">
        <f t="shared" si="7"/>
        <v>284.58304637930246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284.58304637930246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60.211933740700253</v>
      </c>
      <c r="C32" s="461">
        <f t="shared" ca="1" si="3"/>
        <v>0</v>
      </c>
      <c r="D32" s="461">
        <f t="shared" si="4"/>
        <v>184.66698600000001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244.87891974070027</v>
      </c>
    </row>
    <row r="33" spans="1:17" s="473" customFormat="1">
      <c r="A33" s="470" t="s">
        <v>573</v>
      </c>
      <c r="B33" s="471">
        <f ca="1">SUM(B22:B32)</f>
        <v>5790.1211451511454</v>
      </c>
      <c r="C33" s="471">
        <f t="shared" ref="C33:Q33" ca="1" si="18">SUM(C22:C32)</f>
        <v>0</v>
      </c>
      <c r="D33" s="471">
        <f t="shared" ca="1" si="18"/>
        <v>10590.24680744193</v>
      </c>
      <c r="E33" s="471">
        <f t="shared" si="18"/>
        <v>668.57517252054754</v>
      </c>
      <c r="F33" s="471">
        <f t="shared" ca="1" si="18"/>
        <v>2772.8375632372249</v>
      </c>
      <c r="G33" s="471">
        <f t="shared" si="18"/>
        <v>31887.803613958287</v>
      </c>
      <c r="H33" s="471">
        <f t="shared" si="18"/>
        <v>4696.7722359997497</v>
      </c>
      <c r="I33" s="471">
        <f t="shared" si="18"/>
        <v>0</v>
      </c>
      <c r="J33" s="471">
        <f t="shared" si="18"/>
        <v>426.60367870991024</v>
      </c>
      <c r="K33" s="471">
        <f t="shared" si="18"/>
        <v>0</v>
      </c>
      <c r="L33" s="471">
        <f t="shared" ca="1" si="18"/>
        <v>0</v>
      </c>
      <c r="M33" s="471">
        <f t="shared" si="18"/>
        <v>0</v>
      </c>
      <c r="N33" s="471">
        <f t="shared" ca="1" si="18"/>
        <v>0</v>
      </c>
      <c r="O33" s="471">
        <f t="shared" si="18"/>
        <v>0</v>
      </c>
      <c r="P33" s="471">
        <f t="shared" si="18"/>
        <v>0</v>
      </c>
      <c r="Q33" s="471">
        <f t="shared" ca="1" si="18"/>
        <v>56832.960217018794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3915.135822201365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3915.135822201365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0.19226842550181136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0.19226842550181136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2019-06-29T16:13:13Z</dcterms:modified>
</cp:coreProperties>
</file>