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2"/>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J10" i="18" l="1"/>
  <c r="J76" i="14"/>
  <c r="F8" i="56"/>
  <c r="F10" s="1"/>
  <c r="F78" i="14"/>
  <c r="E8" i="56"/>
  <c r="E10" s="1"/>
  <c r="N78" i="14"/>
  <c r="N8" i="56"/>
  <c r="N10" s="1"/>
  <c r="M78" i="14"/>
  <c r="M8" i="56"/>
  <c r="M10" s="1"/>
  <c r="P31" i="48"/>
  <c r="P25"/>
  <c r="P28"/>
  <c r="Q14"/>
  <c r="Q11"/>
  <c r="F90" i="14"/>
  <c r="I10" i="18"/>
  <c r="I76" i="14"/>
  <c r="I8" i="56" s="1"/>
  <c r="I10" s="1"/>
  <c r="P29" i="48"/>
  <c r="P27"/>
  <c r="H78" i="14"/>
  <c r="H9" i="56"/>
  <c r="H10" s="1"/>
  <c r="Q87" i="14"/>
  <c r="P17" i="56" s="1"/>
  <c r="P20"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E55"/>
  <c r="R25"/>
  <c r="E90"/>
  <c r="I90"/>
  <c r="M90"/>
  <c r="D90"/>
  <c r="J8" i="56" l="1"/>
  <c r="J10" s="1"/>
  <c r="J78" i="14"/>
  <c r="Q78"/>
  <c r="B9" i="6" s="1"/>
  <c r="P9" i="56"/>
  <c r="P10" s="1"/>
  <c r="B76" i="14"/>
  <c r="C20" i="56"/>
  <c r="C76" i="14"/>
  <c r="J90"/>
  <c r="J17" i="56"/>
  <c r="J20" s="1"/>
  <c r="Q90" i="14"/>
  <c r="B17" i="6" s="1"/>
  <c r="I78" i="14"/>
  <c r="C90"/>
  <c r="B87"/>
  <c r="B90" l="1"/>
  <c r="B17" i="56"/>
  <c r="B20" s="1"/>
  <c r="B8"/>
  <c r="B10" s="1"/>
  <c r="B78" i="14"/>
  <c r="B4" i="6" s="1"/>
  <c r="C8" i="56"/>
  <c r="C10" s="1"/>
  <c r="C78"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K28" i="48" l="1"/>
  <c r="K32"/>
  <c r="K27"/>
  <c r="K31"/>
  <c r="K26"/>
  <c r="K29"/>
  <c r="K24"/>
  <c r="K22"/>
  <c r="K25"/>
  <c r="K30"/>
  <c r="J10" i="14"/>
  <c r="J16" s="1"/>
  <c r="J27" s="1"/>
  <c r="I5" i="48"/>
  <c r="J32"/>
  <c r="J30"/>
  <c r="J27"/>
  <c r="J31"/>
  <c r="J24"/>
  <c r="J28"/>
  <c r="J29"/>
  <c r="P4"/>
  <c r="Q11" i="14"/>
  <c r="B7" i="48"/>
  <c r="C24" i="14"/>
  <c r="C26" s="1"/>
  <c r="O4" i="48"/>
  <c r="P11" i="14"/>
  <c r="I32" i="48"/>
  <c r="I22"/>
  <c r="I31"/>
  <c r="I25"/>
  <c r="I26"/>
  <c r="I29"/>
  <c r="I30"/>
  <c r="I24"/>
  <c r="I27"/>
  <c r="I28"/>
  <c r="E11" i="14"/>
  <c r="D4" i="48"/>
  <c r="D22" s="1"/>
  <c r="H32"/>
  <c r="H25"/>
  <c r="H26"/>
  <c r="H29"/>
  <c r="H24"/>
  <c r="H22"/>
  <c r="H30"/>
  <c r="H28"/>
  <c r="H23"/>
  <c r="D11" i="14"/>
  <c r="C4" i="48"/>
  <c r="G32"/>
  <c r="G25"/>
  <c r="G26"/>
  <c r="G30"/>
  <c r="G22"/>
  <c r="G29"/>
  <c r="G24"/>
  <c r="G23"/>
  <c r="C11" i="14"/>
  <c r="B4" i="48"/>
  <c r="F30"/>
  <c r="F28"/>
  <c r="F32"/>
  <c r="F24"/>
  <c r="F29"/>
  <c r="F27"/>
  <c r="F31"/>
  <c r="N24"/>
  <c r="N32"/>
  <c r="N30"/>
  <c r="N31"/>
  <c r="N28"/>
  <c r="N29"/>
  <c r="N27"/>
  <c r="C19" i="14"/>
  <c r="B10" i="48"/>
  <c r="E32"/>
  <c r="E28"/>
  <c r="E24"/>
  <c r="E31"/>
  <c r="E29"/>
  <c r="E30"/>
  <c r="M12" i="13"/>
  <c r="N41" i="14" s="1"/>
  <c r="M17" i="48"/>
  <c r="L10" i="14"/>
  <c r="L16" s="1"/>
  <c r="L27" s="1"/>
  <c r="K5" i="48"/>
  <c r="D30"/>
  <c r="D28"/>
  <c r="D31"/>
  <c r="D32"/>
  <c r="D29"/>
  <c r="D24"/>
  <c r="L28"/>
  <c r="L31"/>
  <c r="L32"/>
  <c r="L27"/>
  <c r="L24"/>
  <c r="L29"/>
  <c r="L22"/>
  <c r="L30"/>
  <c r="P5"/>
  <c r="P23" s="1"/>
  <c r="Q10" i="14"/>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M32" i="48"/>
  <c r="M22"/>
  <c r="M24"/>
  <c r="M25"/>
  <c r="M29"/>
  <c r="M30"/>
  <c r="M26"/>
  <c r="M23"/>
  <c r="F4"/>
  <c r="F22" s="1"/>
  <c r="G11" i="14"/>
  <c r="I18"/>
  <c r="H13" i="48"/>
  <c r="H31" s="1"/>
  <c r="P8"/>
  <c r="P26" s="1"/>
  <c r="Q13" i="14"/>
  <c r="Q16" s="1"/>
  <c r="Q27" s="1"/>
  <c r="K15" i="48"/>
  <c r="K23"/>
  <c r="P22"/>
  <c r="I23"/>
  <c r="I15"/>
  <c r="H18" i="14"/>
  <c r="G13" i="48"/>
  <c r="N18" i="14"/>
  <c r="M13" i="48"/>
  <c r="M31" s="1"/>
  <c r="J12" i="17"/>
  <c r="K54" i="14" s="1"/>
  <c r="K56" s="1"/>
  <c r="J7" i="48"/>
  <c r="J25" s="1"/>
  <c r="K24" i="14"/>
  <c r="K26" s="1"/>
  <c r="O22" i="48"/>
  <c r="I33"/>
  <c r="L63" i="14"/>
  <c r="J63"/>
  <c r="J46"/>
  <c r="J61" s="1"/>
  <c r="K33" i="48"/>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F11"/>
  <c r="R11" s="1"/>
  <c r="E4" i="48"/>
  <c r="O11" i="14"/>
  <c r="N4" i="48"/>
  <c r="N22" s="1"/>
  <c r="E9"/>
  <c r="E27" s="1"/>
  <c r="F20" i="14"/>
  <c r="F22" s="1"/>
  <c r="I20"/>
  <c r="H9" i="48"/>
  <c r="R18" i="14"/>
  <c r="P13"/>
  <c r="P16" s="1"/>
  <c r="P27" s="1"/>
  <c r="O8" i="48"/>
  <c r="G31"/>
  <c r="Q13"/>
  <c r="N19" i="14"/>
  <c r="M10" i="48"/>
  <c r="M28" s="1"/>
  <c r="D9"/>
  <c r="D27" s="1"/>
  <c r="E20" i="14"/>
  <c r="E22" s="1"/>
  <c r="B9" i="48"/>
  <c r="C20" i="14"/>
  <c r="H19"/>
  <c r="R19" s="1"/>
  <c r="G10" i="48"/>
  <c r="K11" i="14"/>
  <c r="J4" i="48"/>
  <c r="F24" i="14"/>
  <c r="F26" s="1"/>
  <c r="E7" i="48"/>
  <c r="E25" s="1"/>
  <c r="D18" i="22"/>
  <c r="E50" i="14" s="1"/>
  <c r="E52" s="1"/>
  <c r="Q46"/>
  <c r="Q61" s="1"/>
  <c r="Q63" s="1"/>
  <c r="P15" i="48"/>
  <c r="P33"/>
  <c r="M14" i="22"/>
  <c r="I22" i="14"/>
  <c r="I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P63" l="1"/>
  <c r="J22" i="48"/>
  <c r="H27"/>
  <c r="H33" s="1"/>
  <c r="H15"/>
  <c r="H20" i="14"/>
  <c r="H22" s="1"/>
  <c r="H27" s="1"/>
  <c r="G9" i="48"/>
  <c r="K10" i="14"/>
  <c r="J5" i="48"/>
  <c r="J23" s="1"/>
  <c r="E22"/>
  <c r="Q4"/>
  <c r="E5"/>
  <c r="E23" s="1"/>
  <c r="F10" i="14"/>
  <c r="C22"/>
  <c r="O26" i="48"/>
  <c r="O33" s="1"/>
  <c r="O15"/>
  <c r="G28"/>
  <c r="Q10"/>
  <c r="M9"/>
  <c r="N20" i="14"/>
  <c r="N22" s="1"/>
  <c r="N27" s="1"/>
  <c r="N63" s="1"/>
  <c r="E46"/>
  <c r="E61" s="1"/>
  <c r="G18" i="22"/>
  <c r="H50" i="14" s="1"/>
  <c r="H52" s="1"/>
  <c r="H61" s="1"/>
  <c r="H63" s="1"/>
  <c r="D15" i="48"/>
  <c r="E16" i="14"/>
  <c r="E27"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J26" s="1"/>
  <c r="J33" s="1"/>
  <c r="M27"/>
  <c r="M33" s="1"/>
  <c r="M15"/>
  <c r="E8"/>
  <c r="F13" i="14"/>
  <c r="F16" s="1"/>
  <c r="F27" s="1"/>
  <c r="F63" s="1"/>
  <c r="G27" i="48"/>
  <c r="G33" s="1"/>
  <c r="G15"/>
  <c r="K46" i="14"/>
  <c r="K61" s="1"/>
  <c r="Q5" i="48"/>
  <c r="E63" i="14"/>
  <c r="R20"/>
  <c r="R22" s="1"/>
  <c r="Q9" i="48"/>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<sst xmlns="http://schemas.openxmlformats.org/spreadsheetml/2006/main" count="2492" uniqueCount="951">
  <si>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</si>
  <si>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</si>
  <si>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</si>
  <si>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</si>
  <si>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</si>
  <si>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</si>
  <si>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</si>
  <si>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</si>
  <si>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</si>
  <si>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</si>
  <si>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</si>
  <si>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</si>
  <si>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</si>
  <si>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</si>
  <si>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</si>
  <si>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</si>
  <si>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</si>
  <si>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</si>
  <si>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</si>
  <si>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</si>
  <si>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</si>
  <si>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</si>
  <si>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</si>
  <si>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</si>
  <si>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</si>
  <si>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</si>
  <si>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</si>
  <si>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</si>
  <si>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</si>
  <si>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</si>
  <si>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</si>
  <si>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</si>
  <si>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</si>
  <si>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</si>
  <si>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</si>
  <si>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</si>
  <si>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</si>
  <si>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</si>
  <si>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</si>
  <si>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</si>
  <si>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</si>
  <si>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</si>
  <si>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</si>
  <si>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</si>
  <si>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</si>
  <si>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</si>
  <si>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</si>
  <si>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</si>
  <si>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</si>
  <si>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</si>
  <si>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</si>
  <si>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</si>
  <si>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</si>
  <si>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</si>
  <si>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</si>
  <si>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</si>
  <si>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</si>
  <si>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</si>
  <si>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</si>
  <si>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</si>
  <si>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</si>
  <si>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</si>
  <si>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</si>
  <si>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</si>
  <si>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</si>
  <si>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</si>
  <si>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</si>
  <si>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</si>
  <si>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</si>
  <si>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</si>
  <si>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</si>
  <si>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</si>
  <si>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</si>
  <si>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</si>
  <si>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</si>
  <si>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</si>
  <si>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</si>
  <si>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</si>
  <si>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</si>
  <si>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</si>
  <si>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</si>
  <si>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</si>
  <si>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</si>
  <si>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</si>
  <si>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</si>
  <si>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</si>
  <si>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</si>
  <si>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</si>
  <si>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</si>
  <si>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</si>
  <si>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</si>
  <si>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</si>
  <si>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</si>
  <si>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</si>
  <si>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</si>
  <si>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</si>
  <si>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</si>
  <si>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</si>
  <si>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</si>
  <si>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</si>
  <si>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</si>
  <si>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</si>
  <si>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</si>
  <si>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</si>
  <si>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</si>
  <si>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</si>
  <si>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</si>
  <si>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</si>
  <si>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</si>
  <si>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</si>
  <si>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</si>
  <si>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</si>
  <si>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</si>
  <si>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</si>
  <si>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</si>
  <si>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</si>
  <si>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</si>
  <si>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</si>
  <si>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</si>
  <si>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</si>
  <si>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</si>
  <si>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</si>
  <si>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</si>
  <si>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</si>
  <si>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</si>
  <si>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</si>
  <si>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</si>
  <si>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</si>
  <si>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</si>
  <si>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</si>
  <si>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</si>
  <si>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</si>
  <si>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</si>
  <si>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</si>
  <si>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</si>
  <si>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</si>
  <si>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</si>
  <si>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</si>
  <si>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</si>
  <si>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</si>
  <si>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</si>
  <si>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</si>
  <si>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</si>
  <si>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</si>
  <si>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</si>
  <si>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</si>
  <si>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</si>
  <si>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</si>
  <si>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</si>
  <si>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</si>
  <si>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</si>
  <si>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</si>
  <si>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</si>
  <si>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</si>
  <si>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</si>
  <si>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</si>
  <si>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</si>
  <si>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</si>
  <si>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</si>
  <si>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</si>
  <si>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</si>
  <si>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</si>
  <si>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</si>
  <si>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</si>
  <si>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</si>
  <si>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</si>
  <si>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</si>
  <si>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</si>
  <si>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</si>
  <si>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</si>
  <si>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</si>
  <si>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</si>
  <si>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</si>
  <si>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</si>
  <si>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</si>
  <si>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</si>
  <si>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</si>
  <si>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</si>
  <si>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</si>
  <si>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</si>
  <si>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</si>
  <si>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</si>
  <si>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</si>
  <si>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</si>
  <si>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</si>
  <si>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</si>
  <si>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</si>
  <si>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</si>
  <si>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</si>
  <si>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</si>
  <si>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</si>
  <si>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</si>
  <si>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</si>
  <si>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</si>
  <si>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</si>
  <si>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</si>
  <si>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</si>
  <si>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</si>
  <si>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</si>
  <si>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</si>
  <si>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</si>
  <si>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</si>
  <si>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</si>
  <si>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</si>
  <si>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</si>
  <si>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</si>
  <si>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</si>
  <si>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</si>
  <si>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</si>
  <si>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</si>
  <si>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</si>
  <si>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</si>
  <si>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</si>
  <si>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</si>
  <si>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</si>
  <si>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</si>
  <si>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</si>
  <si>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</si>
  <si>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</si>
  <si>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</si>
  <si>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</si>
  <si>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</si>
  <si>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</si>
  <si>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</si>
  <si>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</si>
  <si>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</si>
  <si>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</si>
  <si>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</si>
  <si>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</si>
  <si>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</si>
  <si>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</si>
  <si>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</si>
  <si>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</si>
  <si>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</si>
  <si>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</si>
  <si>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</si>
  <si>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</si>
  <si>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</si>
  <si>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</si>
  <si>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</si>
  <si>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</si>
  <si>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</si>
  <si>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</si>
  <si>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</si>
  <si>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</si>
  <si>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</si>
  <si>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</si>
  <si>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</si>
  <si>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</si>
  <si>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</si>
  <si>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</si>
  <si>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</si>
  <si>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</si>
  <si>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</si>
  <si>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</si>
  <si>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</si>
  <si>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</si>
  <si>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</si>
  <si>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</si>
  <si>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</si>
  <si>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</si>
  <si>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</si>
  <si>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</si>
  <si>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</si>
  <si>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</si>
  <si>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</si>
  <si>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</si>
  <si>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</si>
  <si>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</si>
  <si>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</si>
  <si>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</si>
  <si>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</si>
  <si>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</si>
  <si>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</si>
  <si>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</si>
  <si>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</si>
  <si>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</si>
  <si>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</si>
  <si>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</si>
  <si>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</si>
  <si>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</si>
  <si>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</si>
  <si>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</si>
  <si>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</si>
  <si>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</si>
  <si>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</si>
  <si>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</si>
  <si>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</si>
  <si>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</si>
  <si>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</si>
  <si>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</si>
  <si>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</si>
  <si>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</si>
  <si>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</si>
  <si>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</si>
  <si>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</si>
  <si>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</si>
  <si>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</si>
  <si>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</si>
  <si>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</si>
  <si>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</si>
  <si>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</si>
  <si>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</si>
  <si>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</si>
  <si>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</si>
  <si>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</si>
  <si>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</si>
  <si>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</si>
  <si>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</si>
  <si>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</si>
  <si>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</si>
  <si>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</si>
  <si>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</si>
  <si>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</si>
  <si>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</si>
  <si>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</si>
  <si>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</si>
  <si>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</si>
  <si>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</si>
  <si>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</si>
  <si>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</si>
  <si>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</si>
  <si>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</si>
  <si>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</si>
  <si>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</si>
  <si>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</si>
  <si>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</si>
  <si>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</si>
  <si>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</si>
  <si>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</si>
  <si>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</si>
  <si>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</si>
  <si>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</si>
  <si>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</si>
  <si>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</si>
  <si>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</si>
  <si>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</si>
  <si>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</si>
  <si>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</si>
  <si>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</si>
  <si>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</si>
  <si>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</si>
  <si>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</si>
  <si>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</si>
  <si>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</si>
  <si>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</si>
  <si>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</si>
  <si>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</si>
  <si>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</si>
  <si>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</si>
  <si>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</si>
  <si>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</si>
  <si>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</si>
  <si>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</si>
  <si>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</si>
  <si>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</si>
  <si>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</si>
  <si>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</si>
  <si>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</si>
  <si>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</si>
  <si>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</si>
  <si>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</si>
  <si>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</si>
  <si>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</si>
  <si>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</si>
  <si>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</si>
  <si>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</si>
  <si>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</si>
  <si>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</si>
  <si>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</si>
  <si>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</si>
  <si>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</si>
  <si>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</si>
  <si>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</si>
  <si>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</si>
  <si>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</si>
  <si>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</si>
  <si>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</si>
  <si>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</si>
  <si>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</si>
  <si>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</si>
  <si>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</si>
  <si>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</si>
  <si>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</si>
  <si>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</si>
  <si>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</si>
  <si>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</si>
  <si>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</si>
  <si>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</si>
  <si>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</si>
  <si>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</si>
  <si>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</si>
  <si>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</si>
  <si>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</si>
  <si>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</si>
  <si>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</si>
  <si>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</si>
  <si>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</si>
  <si>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</si>
  <si>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</si>
  <si>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</si>
  <si>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</si>
  <si>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</si>
  <si>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</si>
  <si>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</si>
  <si>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</si>
  <si>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</si>
  <si>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</si>
  <si>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</si>
  <si>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</si>
  <si>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</si>
  <si>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</si>
  <si>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</si>
  <si>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</si>
  <si>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</si>
  <si>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</si>
  <si>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</si>
  <si>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</si>
  <si>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</si>
  <si>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</si>
  <si>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</si>
  <si>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</si>
  <si>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</si>
  <si>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</si>
  <si>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</si>
  <si>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</si>
  <si>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</si>
  <si>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</si>
  <si>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</si>
  <si>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</si>
  <si>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</si>
  <si>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</si>
  <si>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</si>
  <si>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</si>
  <si>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</si>
  <si>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</si>
  <si>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</si>
  <si>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</si>
  <si>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</si>
  <si>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</si>
  <si>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</si>
  <si>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</si>
  <si>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</si>
  <si>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</si>
  <si>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</si>
  <si>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</si>
  <si>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</si>
  <si>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</si>
  <si>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</si>
  <si>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</si>
  <si>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</si>
  <si>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</si>
  <si>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</si>
  <si>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</si>
  <si>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</si>
  <si>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</si>
  <si>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</si>
  <si>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</si>
  <si>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</si>
  <si>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</si>
  <si>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</si>
  <si>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</si>
  <si>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</si>
  <si>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</si>
  <si>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</si>
  <si>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</si>
  <si>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</si>
  <si>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</si>
  <si>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</si>
  <si>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</si>
  <si>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</si>
  <si>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</si>
  <si>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</si>
  <si>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</si>
  <si>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</si>
  <si>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</si>
  <si>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</si>
  <si>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</si>
  <si>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</si>
  <si>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</si>
  <si>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</si>
  <si>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</si>
  <si>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</si>
  <si>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</si>
  <si>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</si>
  <si>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</si>
  <si>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</si>
  <si>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</si>
  <si>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</si>
  <si>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</si>
  <si>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</si>
  <si>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</si>
  <si>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</si>
  <si>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</si>
  <si>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</si>
  <si>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</si>
  <si>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</si>
  <si>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</si>
  <si>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</si>
  <si>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</si>
  <si>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</si>
  <si>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</si>
  <si>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</si>
  <si>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</si>
  <si>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</si>
  <si>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</si>
  <si>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</si>
  <si>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</si>
  <si>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</si>
  <si>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</si>
  <si>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</si>
  <si>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</si>
  <si>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</si>
  <si>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</si>
  <si>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</si>
  <si>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</si>
  <si>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</si>
  <si>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</si>
  <si>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</si>
  <si>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</si>
  <si>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</si>
  <si>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</si>
  <si>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</si>
  <si>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</si>
  <si>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</si>
  <si>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</si>
  <si>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</si>
  <si>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</si>
  <si>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</si>
  <si>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</si>
  <si>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</si>
  <si>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</si>
  <si>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</si>
  <si>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</si>
  <si>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</si>
  <si>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</si>
  <si>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</si>
  <si>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</si>
  <si>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</si>
  <si>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</si>
  <si>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</si>
  <si>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</si>
  <si>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</si>
  <si>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</si>
  <si>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</si>
  <si>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</si>
  <si>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</si>
  <si>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</si>
  <si>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</si>
  <si>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</si>
  <si>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</si>
  <si>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</si>
  <si>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</si>
  <si>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</si>
  <si>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</si>
  <si>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</si>
  <si>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</si>
  <si>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</si>
  <si>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</si>
  <si>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</si>
  <si>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</si>
  <si>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</si>
  <si>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</si>
  <si>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</si>
  <si>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</si>
  <si>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</si>
  <si>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</si>
  <si>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</si>
  <si>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</si>
  <si>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</si>
  <si>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</si>
  <si>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</si>
  <si>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</si>
  <si>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</si>
  <si>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</si>
  <si>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</si>
  <si>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</si>
  <si>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</si>
  <si>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</si>
  <si>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</si>
  <si>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</si>
  <si>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</si>
  <si>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</si>
  <si>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</si>
  <si>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</si>
  <si>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</si>
  <si>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</si>
  <si>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</si>
  <si>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</si>
  <si>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</si>
  <si>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</si>
  <si>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</si>
  <si>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</si>
  <si>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</si>
  <si>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</si>
  <si>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</si>
  <si>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</si>
  <si>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</si>
  <si>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</si>
  <si>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</si>
  <si>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</si>
  <si>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</si>
  <si>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</si>
  <si>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</si>
  <si>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</si>
  <si>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</si>
  <si>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</si>
  <si>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</si>
  <si>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</si>
  <si>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</si>
  <si>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</si>
  <si>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</si>
  <si>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</si>
  <si>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</si>
  <si>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</si>
  <si>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</si>
  <si>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</si>
  <si>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</si>
  <si>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</si>
  <si>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</si>
  <si>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</si>
  <si>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</si>
  <si>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</si>
  <si>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</si>
  <si>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</si>
  <si>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</si>
  <si>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</si>
  <si>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</si>
  <si>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</si>
  <si>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</si>
  <si>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</si>
  <si>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</si>
  <si>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</si>
  <si>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</si>
  <si>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</si>
  <si>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</si>
  <si>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</si>
  <si>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</si>
  <si>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</si>
  <si>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</si>
  <si>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</si>
  <si>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</si>
  <si>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</si>
  <si>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</si>
  <si>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</si>
  <si>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</si>
  <si>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</si>
  <si>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</si>
  <si>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</si>
  <si>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</si>
  <si>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</si>
  <si>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</si>
  <si>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</si>
  <si>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</si>
  <si>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</si>
  <si>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</si>
  <si>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</si>
  <si>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</si>
  <si>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</si>
  <si>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</si>
  <si>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</si>
  <si>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</si>
  <si>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</si>
  <si>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</si>
  <si>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</si>
  <si>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</si>
  <si>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</si>
  <si>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</si>
  <si>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</si>
  <si>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</si>
  <si>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</si>
  <si>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</si>
  <si>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</si>
  <si>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</si>
  <si>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</si>
  <si>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</si>
  <si>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</si>
  <si>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</si>
  <si>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</si>
  <si>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</si>
  <si>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</si>
  <si>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</si>
  <si>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</si>
  <si>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</si>
  <si>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</si>
  <si>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</si>
  <si>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</si>
  <si>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</si>
  <si>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</si>
  <si>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</si>
  <si>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</si>
  <si>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</si>
  <si>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</si>
  <si>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</si>
  <si>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</si>
  <si>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</si>
  <si>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</si>
  <si>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</si>
  <si>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</si>
  <si>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</si>
  <si>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</si>
  <si>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</si>
  <si>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</si>
  <si>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</si>
  <si>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</si>
  <si>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</si>
  <si>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</si>
  <si>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</si>
  <si>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</si>
  <si>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</si>
  <si>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</si>
  <si>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</si>
  <si>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</si>
  <si>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</si>
  <si>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</si>
  <si>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</si>
  <si>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</si>
  <si>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</si>
  <si>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</si>
  <si>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</si>
  <si>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</si>
  <si>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</si>
  <si>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</si>
  <si>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</si>
  <si>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</si>
  <si>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</si>
  <si>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</si>
  <si>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</si>
  <si>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</si>
  <si>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</si>
  <si>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</si>
  <si>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</si>
  <si>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</si>
  <si>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</si>
  <si>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</si>
  <si>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</si>
  <si>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</si>
  <si>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</si>
  <si>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</si>
  <si>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</si>
  <si>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</si>
  <si>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</si>
  <si>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</si>
  <si>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</si>
  <si>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</si>
  <si>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</si>
  <si>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</si>
  <si>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</si>
  <si>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</si>
  <si>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</si>
  <si>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</si>
  <si>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</si>
  <si>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</si>
  <si>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</si>
  <si>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</si>
  <si>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</si>
  <si>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</si>
  <si>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</si>
  <si>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</si>
  <si>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</si>
  <si>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</si>
  <si>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</si>
  <si>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</si>
  <si>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</si>
  <si>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</si>
  <si>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</si>
  <si>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</si>
  <si>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</si>
  <si>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</si>
  <si>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</si>
  <si>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</si>
  <si>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</si>
  <si>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</si>
  <si>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</si>
  <si>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</si>
  <si>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</si>
  <si>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</si>
  <si>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</si>
  <si>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</si>
  <si>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</si>
  <si>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</si>
  <si>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</si>
  <si>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</si>
  <si>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</si>
  <si>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</si>
  <si>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</si>
  <si>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</si>
  <si>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</si>
  <si>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</si>
  <si>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</si>
  <si>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</si>
  <si>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</si>
  <si>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</si>
  <si>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</si>
  <si>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</si>
  <si>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</si>
  <si>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</si>
  <si>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</si>
  <si>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</si>
  <si>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</si>
  <si>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</si>
  <si>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</si>
  <si>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</si>
  <si>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</si>
  <si>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</si>
  <si>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</si>
  <si>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</si>
  <si>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</si>
  <si>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</si>
  <si>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</si>
  <si>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</si>
  <si>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</si>
  <si>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</si>
  <si>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</si>
  <si>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</si>
  <si>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</si>
  <si>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</si>
  <si>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</si>
  <si>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</si>
  <si>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</si>
  <si>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</si>
  <si>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</si>
  <si>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</si>
  <si>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</si>
  <si>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</si>
  <si>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</si>
  <si>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</si>
  <si>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</si>
  <si>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</si>
  <si>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</si>
  <si>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</si>
  <si>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</si>
  <si>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</si>
  <si>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</si>
  <si>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</si>
  <si>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</si>
  <si>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</si>
  <si>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</si>
  <si>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</si>
  <si>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</si>
  <si>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</si>
  <si>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</si>
  <si>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</si>
  <si>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</si>
  <si>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</si>
  <si>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</si>
  <si>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</si>
  <si>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</si>
  <si>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</si>
  <si>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</si>
  <si>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</si>
  <si>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</si>
  <si>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</si>
  <si>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</si>
  <si>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</si>
  <si>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</si>
  <si>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</si>
  <si>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</si>
  <si>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</si>
  <si>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</si>
  <si>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</si>
  <si>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</si>
  <si>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</si>
  <si>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</si>
  <si>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</si>
  <si>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</si>
  <si>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</si>
  <si>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</si>
  <si>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</si>
  <si>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</si>
  <si>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</si>
  <si>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</si>
  <si>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</si>
  <si>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</si>
  <si>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</si>
  <si>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</si>
  <si>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</si>
  <si>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</si>
  <si>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</si>
  <si>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</si>
  <si>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</si>
  <si>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</si>
  <si>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</si>
  <si>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</si>
  <si>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</si>
  <si>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</si>
  <si>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</si>
  <si>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</si>
  <si>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</si>
  <si>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</si>
  <si>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</si>
  <si>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</si>
  <si>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</si>
  <si>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</si>
  <si>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</si>
  <si>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</si>
  <si>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</si>
  <si>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</si>
  <si>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</si>
  <si>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</si>
  <si>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</si>
  <si>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</si>
  <si>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</si>
  <si>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</si>
  <si>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</si>
  <si>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</si>
  <si>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</si>
  <si>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</si>
  <si>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</si>
  <si>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</si>
  <si>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</si>
  <si>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</si>
  <si>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</si>
  <si>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</si>
  <si>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</si>
  <si>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</si>
  <si>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</si>
  <si>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</si>
  <si>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</si>
  <si>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</si>
  <si>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</si>
  <si>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</si>
  <si>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</si>
  <si>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</si>
  <si>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</si>
  <si>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</si>
  <si>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</si>
  <si>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</si>
  <si>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</si>
  <si>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</si>
  <si>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</si>
  <si>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</si>
  <si>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</si>
  <si>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</si>
  <si>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</si>
  <si>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</si>
  <si>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</si>
  <si>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</si>
  <si>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</si>
  <si>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</si>
  <si>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35002</t>
  </si>
  <si>
    <t>BREDENE</t>
  </si>
  <si>
    <t>Paarden&amp;pony's 200 - 600 kg</t>
  </si>
  <si>
    <t>Paarden&amp;pony's &lt; 200 kg</t>
  </si>
  <si>
    <t>op basis van VEA (maart 2018) en Inventaris Hernieuwbare Energiebronnen (juni 2018)</t>
  </si>
  <si>
    <t>VEA (juni 2018)</t>
  </si>
  <si>
    <t>Michel Despagne</t>
  </si>
  <si>
    <t>Benedictijnenstraat 37 , 8450 Bredene</t>
  </si>
  <si>
    <t>WKK-0424 Michel Despagne</t>
  </si>
  <si>
    <t>stirlingmotor</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</si>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</sst>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35002</v>
      </c>
      <c r="B6" s="397"/>
      <c r="C6" s="398"/>
    </row>
    <row r="7" spans="1:7" s="395" customFormat="1" ht="15.75" customHeight="1">
      <c r="A7" s="399" t="str">
        <f>txtMunicipality</f>
        <v>BREDENE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0.21248646609180605</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0.21248646609180605</v>
      </c>
      <c r="C29" s="511">
        <f ca="1">'EF ele_warmte'!B22</f>
        <v>0.22444444444444447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35002</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7145</v>
      </c>
      <c r="C9" s="338">
        <v>7638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505</v>
      </c>
    </row>
    <row r="15" spans="1:6">
      <c r="A15" s="1286" t="s">
        <v>184</v>
      </c>
      <c r="B15" s="335">
        <v>1</v>
      </c>
    </row>
    <row r="16" spans="1:6">
      <c r="A16" s="1286" t="s">
        <v>6</v>
      </c>
      <c r="B16" s="335">
        <v>70</v>
      </c>
    </row>
    <row r="17" spans="1:6">
      <c r="A17" s="1286" t="s">
        <v>7</v>
      </c>
      <c r="B17" s="335">
        <v>48</v>
      </c>
    </row>
    <row r="18" spans="1:6">
      <c r="A18" s="1286" t="s">
        <v>8</v>
      </c>
      <c r="B18" s="335">
        <v>88</v>
      </c>
    </row>
    <row r="19" spans="1:6">
      <c r="A19" s="1286" t="s">
        <v>9</v>
      </c>
      <c r="B19" s="335">
        <v>74</v>
      </c>
    </row>
    <row r="20" spans="1:6">
      <c r="A20" s="1286" t="s">
        <v>10</v>
      </c>
      <c r="B20" s="335">
        <v>57</v>
      </c>
    </row>
    <row r="21" spans="1:6">
      <c r="A21" s="1286" t="s">
        <v>11</v>
      </c>
      <c r="B21" s="335">
        <v>0</v>
      </c>
    </row>
    <row r="22" spans="1:6">
      <c r="A22" s="1286" t="s">
        <v>12</v>
      </c>
      <c r="B22" s="335">
        <v>1</v>
      </c>
    </row>
    <row r="23" spans="1:6">
      <c r="A23" s="1286" t="s">
        <v>13</v>
      </c>
      <c r="B23" s="335">
        <v>0</v>
      </c>
    </row>
    <row r="24" spans="1:6">
      <c r="A24" s="1286" t="s">
        <v>14</v>
      </c>
      <c r="B24" s="335">
        <v>0</v>
      </c>
    </row>
    <row r="25" spans="1:6">
      <c r="A25" s="1286" t="s">
        <v>15</v>
      </c>
      <c r="B25" s="335">
        <v>0</v>
      </c>
    </row>
    <row r="26" spans="1:6">
      <c r="A26" s="1286" t="s">
        <v>16</v>
      </c>
      <c r="B26" s="335">
        <v>23</v>
      </c>
    </row>
    <row r="27" spans="1:6">
      <c r="A27" s="1286" t="s">
        <v>17</v>
      </c>
      <c r="B27" s="335">
        <v>5</v>
      </c>
    </row>
    <row r="28" spans="1:6" s="341" customFormat="1">
      <c r="A28" s="1287" t="s">
        <v>18</v>
      </c>
      <c r="B28" s="1287">
        <v>35</v>
      </c>
    </row>
    <row r="29" spans="1:6">
      <c r="A29" s="1287" t="s">
        <v>942</v>
      </c>
      <c r="B29" s="1287">
        <v>134</v>
      </c>
      <c r="C29" s="341"/>
      <c r="D29" s="341"/>
      <c r="E29" s="341"/>
      <c r="F29" s="341"/>
    </row>
    <row r="30" spans="1:6">
      <c r="A30" s="1282" t="s">
        <v>943</v>
      </c>
      <c r="B30" s="1282">
        <v>5</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6</v>
      </c>
      <c r="F38" s="335">
        <v>51708.383640995999</v>
      </c>
    </row>
    <row r="39" spans="1:6">
      <c r="A39" s="1286" t="s">
        <v>30</v>
      </c>
      <c r="B39" s="1286" t="s">
        <v>31</v>
      </c>
      <c r="C39" s="335">
        <v>4851</v>
      </c>
      <c r="D39" s="335">
        <v>72588159.215451807</v>
      </c>
      <c r="E39" s="335">
        <v>8646</v>
      </c>
      <c r="F39" s="335">
        <v>37568029.012804903</v>
      </c>
    </row>
    <row r="40" spans="1:6">
      <c r="A40" s="1286" t="s">
        <v>30</v>
      </c>
      <c r="B40" s="1286" t="s">
        <v>29</v>
      </c>
      <c r="C40" s="335">
        <v>0</v>
      </c>
      <c r="D40" s="335">
        <v>0</v>
      </c>
      <c r="E40" s="335">
        <v>0</v>
      </c>
      <c r="F40" s="335">
        <v>0</v>
      </c>
    </row>
    <row r="41" spans="1:6">
      <c r="A41" s="1286" t="s">
        <v>32</v>
      </c>
      <c r="B41" s="1286" t="s">
        <v>33</v>
      </c>
      <c r="C41" s="335">
        <v>46</v>
      </c>
      <c r="D41" s="335">
        <v>1033228.37673518</v>
      </c>
      <c r="E41" s="335">
        <v>163</v>
      </c>
      <c r="F41" s="335">
        <v>1708350.84534578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59365</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14</v>
      </c>
      <c r="D48" s="335">
        <v>2405184.2416858701</v>
      </c>
      <c r="E48" s="335">
        <v>28</v>
      </c>
      <c r="F48" s="335">
        <v>4694366.4777796101</v>
      </c>
    </row>
    <row r="49" spans="1:6">
      <c r="A49" s="1286" t="s">
        <v>32</v>
      </c>
      <c r="B49" s="1286" t="s">
        <v>40</v>
      </c>
      <c r="C49" s="335">
        <v>0</v>
      </c>
      <c r="D49" s="335">
        <v>0</v>
      </c>
      <c r="E49" s="335">
        <v>0</v>
      </c>
      <c r="F49" s="335">
        <v>0</v>
      </c>
    </row>
    <row r="50" spans="1:6">
      <c r="A50" s="1286" t="s">
        <v>32</v>
      </c>
      <c r="B50" s="1286" t="s">
        <v>41</v>
      </c>
      <c r="C50" s="335">
        <v>9</v>
      </c>
      <c r="D50" s="335">
        <v>1204425.30856053</v>
      </c>
      <c r="E50" s="335">
        <v>19</v>
      </c>
      <c r="F50" s="335">
        <v>693456.29206356697</v>
      </c>
    </row>
    <row r="51" spans="1:6">
      <c r="A51" s="1286" t="s">
        <v>42</v>
      </c>
      <c r="B51" s="1286" t="s">
        <v>43</v>
      </c>
      <c r="C51" s="335">
        <v>0</v>
      </c>
      <c r="D51" s="335">
        <v>0</v>
      </c>
      <c r="E51" s="335">
        <v>4</v>
      </c>
      <c r="F51" s="335">
        <v>27334.0568899725</v>
      </c>
    </row>
    <row r="52" spans="1:6">
      <c r="A52" s="1286" t="s">
        <v>42</v>
      </c>
      <c r="B52" s="1286" t="s">
        <v>29</v>
      </c>
      <c r="C52" s="335">
        <v>3</v>
      </c>
      <c r="D52" s="335">
        <v>48863.5996034696</v>
      </c>
      <c r="E52" s="335">
        <v>5</v>
      </c>
      <c r="F52" s="335">
        <v>38081.617809347503</v>
      </c>
    </row>
    <row r="53" spans="1:6">
      <c r="A53" s="1286" t="s">
        <v>44</v>
      </c>
      <c r="B53" s="1286" t="s">
        <v>45</v>
      </c>
      <c r="C53" s="335">
        <v>79</v>
      </c>
      <c r="D53" s="335">
        <v>1605153.0767226</v>
      </c>
      <c r="E53" s="335">
        <v>197</v>
      </c>
      <c r="F53" s="335">
        <v>953708.62593948899</v>
      </c>
    </row>
    <row r="54" spans="1:6">
      <c r="A54" s="1286" t="s">
        <v>46</v>
      </c>
      <c r="B54" s="1286" t="s">
        <v>47</v>
      </c>
      <c r="C54" s="335">
        <v>0</v>
      </c>
      <c r="D54" s="335">
        <v>0</v>
      </c>
      <c r="E54" s="335">
        <v>1</v>
      </c>
      <c r="F54" s="335">
        <v>1658784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13</v>
      </c>
      <c r="D57" s="335">
        <v>453025.74811069202</v>
      </c>
      <c r="E57" s="335">
        <v>38</v>
      </c>
      <c r="F57" s="335">
        <v>407210.436281848</v>
      </c>
    </row>
    <row r="58" spans="1:6">
      <c r="A58" s="1286" t="s">
        <v>49</v>
      </c>
      <c r="B58" s="1286" t="s">
        <v>51</v>
      </c>
      <c r="C58" s="335">
        <v>10</v>
      </c>
      <c r="D58" s="335">
        <v>279897.92410621</v>
      </c>
      <c r="E58" s="335">
        <v>16</v>
      </c>
      <c r="F58" s="335">
        <v>252382.03405926601</v>
      </c>
    </row>
    <row r="59" spans="1:6">
      <c r="A59" s="1286" t="s">
        <v>49</v>
      </c>
      <c r="B59" s="1286" t="s">
        <v>52</v>
      </c>
      <c r="C59" s="335">
        <v>48</v>
      </c>
      <c r="D59" s="335">
        <v>1672459.7594451699</v>
      </c>
      <c r="E59" s="335">
        <v>127</v>
      </c>
      <c r="F59" s="335">
        <v>3638406.4418495898</v>
      </c>
    </row>
    <row r="60" spans="1:6">
      <c r="A60" s="1286" t="s">
        <v>49</v>
      </c>
      <c r="B60" s="1286" t="s">
        <v>53</v>
      </c>
      <c r="C60" s="335">
        <v>59</v>
      </c>
      <c r="D60" s="335">
        <v>2899436.6769244201</v>
      </c>
      <c r="E60" s="335">
        <v>128</v>
      </c>
      <c r="F60" s="335">
        <v>6450244.5260951295</v>
      </c>
    </row>
    <row r="61" spans="1:6">
      <c r="A61" s="1286" t="s">
        <v>49</v>
      </c>
      <c r="B61" s="1286" t="s">
        <v>54</v>
      </c>
      <c r="C61" s="335">
        <v>106</v>
      </c>
      <c r="D61" s="335">
        <v>6982889.9072562996</v>
      </c>
      <c r="E61" s="335">
        <v>329</v>
      </c>
      <c r="F61" s="335">
        <v>3324669.2693929798</v>
      </c>
    </row>
    <row r="62" spans="1:6">
      <c r="A62" s="1286" t="s">
        <v>49</v>
      </c>
      <c r="B62" s="1286" t="s">
        <v>55</v>
      </c>
      <c r="C62" s="335">
        <v>3</v>
      </c>
      <c r="D62" s="335">
        <v>214228.38137711299</v>
      </c>
      <c r="E62" s="335">
        <v>9</v>
      </c>
      <c r="F62" s="335">
        <v>177511.95021073701</v>
      </c>
    </row>
    <row r="63" spans="1:6">
      <c r="A63" s="1286" t="s">
        <v>49</v>
      </c>
      <c r="B63" s="1286" t="s">
        <v>29</v>
      </c>
      <c r="C63" s="335">
        <v>70</v>
      </c>
      <c r="D63" s="335">
        <v>4691393.7126264405</v>
      </c>
      <c r="E63" s="335">
        <v>107</v>
      </c>
      <c r="F63" s="335">
        <v>2898105.3231750699</v>
      </c>
    </row>
    <row r="64" spans="1:6">
      <c r="A64" s="1286" t="s">
        <v>56</v>
      </c>
      <c r="B64" s="1286" t="s">
        <v>57</v>
      </c>
      <c r="C64" s="335">
        <v>0</v>
      </c>
      <c r="D64" s="335">
        <v>0</v>
      </c>
      <c r="E64" s="335">
        <v>0</v>
      </c>
      <c r="F64" s="335">
        <v>0</v>
      </c>
    </row>
    <row r="65" spans="1:6">
      <c r="A65" s="1286" t="s">
        <v>56</v>
      </c>
      <c r="B65" s="1286" t="s">
        <v>29</v>
      </c>
      <c r="C65" s="335">
        <v>4</v>
      </c>
      <c r="D65" s="335">
        <v>74134.055013536898</v>
      </c>
      <c r="E65" s="335">
        <v>2</v>
      </c>
      <c r="F65" s="335">
        <v>13385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11</v>
      </c>
      <c r="F68" s="335">
        <v>99550.784672686699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25707899</v>
      </c>
      <c r="E73" s="335">
        <v>28130945.729021013</v>
      </c>
    </row>
    <row r="74" spans="1:6">
      <c r="A74" s="1286" t="s">
        <v>64</v>
      </c>
      <c r="B74" s="1286" t="s">
        <v>772</v>
      </c>
      <c r="C74" s="1297" t="s">
        <v>766</v>
      </c>
      <c r="D74" s="335">
        <v>2572029.1426596213</v>
      </c>
      <c r="E74" s="335">
        <v>2823174.9053531233</v>
      </c>
    </row>
    <row r="75" spans="1:6">
      <c r="A75" s="1286" t="s">
        <v>65</v>
      </c>
      <c r="B75" s="1286" t="s">
        <v>771</v>
      </c>
      <c r="C75" s="1297" t="s">
        <v>767</v>
      </c>
      <c r="D75" s="335">
        <v>5834952</v>
      </c>
      <c r="E75" s="335">
        <v>6463695.5311647803</v>
      </c>
    </row>
    <row r="76" spans="1:6">
      <c r="A76" s="1286" t="s">
        <v>65</v>
      </c>
      <c r="B76" s="1286" t="s">
        <v>772</v>
      </c>
      <c r="C76" s="1297" t="s">
        <v>768</v>
      </c>
      <c r="D76" s="335">
        <v>19972.400000000001</v>
      </c>
      <c r="E76" s="335">
        <v>23088.01706818497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413565.71468075702</v>
      </c>
      <c r="C83" s="335">
        <v>390343.3116736479</v>
      </c>
    </row>
    <row r="84" spans="1:6">
      <c r="A84" s="1282" t="s">
        <v>337</v>
      </c>
      <c r="B84" s="338">
        <v>97911.160780265272</v>
      </c>
      <c r="C84" s="338">
        <v>99015.990452934144</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2052.1631197168081</v>
      </c>
    </row>
    <row r="92" spans="1:6">
      <c r="A92" s="1282" t="s">
        <v>69</v>
      </c>
      <c r="B92" s="338">
        <v>527.27410603574367</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2961</v>
      </c>
    </row>
    <row r="98" spans="1:6">
      <c r="A98" s="1286" t="s">
        <v>72</v>
      </c>
      <c r="B98" s="335">
        <v>1</v>
      </c>
    </row>
    <row r="99" spans="1:6">
      <c r="A99" s="1286" t="s">
        <v>73</v>
      </c>
      <c r="B99" s="335">
        <v>39</v>
      </c>
    </row>
    <row r="100" spans="1:6">
      <c r="A100" s="1286" t="s">
        <v>74</v>
      </c>
      <c r="B100" s="335">
        <v>1232</v>
      </c>
    </row>
    <row r="101" spans="1:6">
      <c r="A101" s="1286" t="s">
        <v>75</v>
      </c>
      <c r="B101" s="335">
        <v>44</v>
      </c>
    </row>
    <row r="102" spans="1:6">
      <c r="A102" s="1286" t="s">
        <v>76</v>
      </c>
      <c r="B102" s="335">
        <v>123</v>
      </c>
    </row>
    <row r="103" spans="1:6">
      <c r="A103" s="1286" t="s">
        <v>77</v>
      </c>
      <c r="B103" s="335">
        <v>123</v>
      </c>
    </row>
    <row r="104" spans="1:6">
      <c r="A104" s="1286" t="s">
        <v>78</v>
      </c>
      <c r="B104" s="335">
        <v>1184</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7</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23</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66947.969533653857</v>
      </c>
      <c r="C3" s="44" t="s">
        <v>170</v>
      </c>
      <c r="D3" s="44"/>
      <c r="E3" s="157"/>
      <c r="F3" s="44"/>
      <c r="G3" s="44"/>
      <c r="H3" s="44"/>
      <c r="I3" s="44"/>
      <c r="J3" s="44"/>
      <c r="K3" s="97"/>
    </row>
    <row r="4" spans="1:11">
      <c r="A4" s="365" t="s">
        <v>171</v>
      </c>
      <c r="B4" s="50">
        <f>IF(ISERROR('SEAP template'!B78),0,'SEAP template'!B78)</f>
        <v>2579.437225752552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9.181818181818184E-2</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0.21248646609180605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0.45909090909090916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2.0454545454545454</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1658.7840000000001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1658.7840000000001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0.21248646609180605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352.46915016963044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37568.029012804902</v>
      </c>
      <c r="C5" s="18">
        <f>IF(ISERROR('Eigen informatie GS &amp; warmtenet'!B57),0,'Eigen informatie GS &amp; warmtenet'!B57)</f>
        <v>0</v>
      </c>
      <c r="D5" s="31">
        <f>(SUM(HH_hh_gas_kWh,HH_rest_gas_kWh)/1000)*0.902</f>
        <v>65474.519612337528</v>
      </c>
      <c r="E5" s="18">
        <f>B46*B57</f>
        <v>1490.751921603747</v>
      </c>
      <c r="F5" s="18">
        <f>B51*B62</f>
        <v>0</v>
      </c>
      <c r="G5" s="19"/>
      <c r="H5" s="18"/>
      <c r="I5" s="18"/>
      <c r="J5" s="18">
        <f>B50*B61+C50*C61</f>
        <v>0</v>
      </c>
      <c r="K5" s="18"/>
      <c r="L5" s="18"/>
      <c r="M5" s="18"/>
      <c r="N5" s="18">
        <f>B48*B59+C48*C59</f>
        <v>5461.9570631191809</v>
      </c>
      <c r="O5" s="18">
        <f>B69*B70*B71</f>
        <v>48.463333333333338</v>
      </c>
      <c r="P5" s="18">
        <f>B77*B78*B79/1000-B77*B78*B79/1000/B80</f>
        <v>247.86666666666667</v>
      </c>
    </row>
    <row r="6" spans="1:16">
      <c r="A6" s="17" t="s">
        <v>639</v>
      </c>
      <c r="B6" s="780">
        <f>kWh_PV_kleiner_dan_10kW</f>
        <v>2052.1631197168081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39620.192132521712</v>
      </c>
      <c r="C8" s="22">
        <f>C5</f>
        <v>0</v>
      </c>
      <c r="D8" s="22">
        <f>D5</f>
        <v>65474.519612337528</v>
      </c>
      <c r="E8" s="22">
        <f>E5</f>
        <v>1490.751921603747</v>
      </c>
      <c r="F8" s="22">
        <f>F5</f>
        <v>0</v>
      </c>
      <c r="G8" s="22"/>
      <c r="H8" s="22"/>
      <c r="I8" s="22"/>
      <c r="J8" s="22">
        <f>J5</f>
        <v>0</v>
      </c>
      <c r="K8" s="22"/>
      <c r="L8" s="22">
        <f>L5</f>
        <v>0</v>
      </c>
      <c r="M8" s="22">
        <f>M5</f>
        <v>0</v>
      </c>
      <c r="N8" s="22">
        <f>N5</f>
        <v>5461.9570631191809</v>
      </c>
      <c r="O8" s="22">
        <f>O5</f>
        <v>48.463333333333338</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0.21248646609180605</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8418.7546121179148</v>
      </c>
      <c r="C12" s="24">
        <f ca="1">C10*C8</f>
        <v>0</v>
      </c>
      <c r="D12" s="24">
        <f>D8*D10</f>
        <v>13225.852961692182</v>
      </c>
      <c r="E12" s="24">
        <f>E10*E8</f>
        <v>338.40068620405054</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2961</v>
      </c>
      <c r="C18" s="169" t="s">
        <v>111</v>
      </c>
      <c r="D18" s="231"/>
      <c r="E18" s="16"/>
    </row>
    <row r="19" spans="1:7">
      <c r="A19" s="174" t="s">
        <v>72</v>
      </c>
      <c r="B19" s="38">
        <f>aantalw2001_ander</f>
        <v>1</v>
      </c>
      <c r="C19" s="169" t="s">
        <v>111</v>
      </c>
      <c r="D19" s="232"/>
      <c r="E19" s="16"/>
    </row>
    <row r="20" spans="1:7">
      <c r="A20" s="174" t="s">
        <v>73</v>
      </c>
      <c r="B20" s="38">
        <f>aantalw2001_propaan</f>
        <v>39</v>
      </c>
      <c r="C20" s="170">
        <f>IF(ISERROR(B20/SUM($B$20,$B$21,$B$22)*100),0,B20/SUM($B$20,$B$21,$B$22)*100)</f>
        <v>2.9657794676806084</v>
      </c>
      <c r="D20" s="232"/>
      <c r="E20" s="16"/>
    </row>
    <row r="21" spans="1:7">
      <c r="A21" s="174" t="s">
        <v>74</v>
      </c>
      <c r="B21" s="38">
        <f>aantalw2001_elektriciteit</f>
        <v>1232</v>
      </c>
      <c r="C21" s="170">
        <f>IF(ISERROR(B21/SUM($B$20,$B$21,$B$22)*100),0,B21/SUM($B$20,$B$21,$B$22)*100)</f>
        <v>93.688212927756652</v>
      </c>
      <c r="D21" s="232"/>
      <c r="E21" s="16"/>
    </row>
    <row r="22" spans="1:7">
      <c r="A22" s="174" t="s">
        <v>75</v>
      </c>
      <c r="B22" s="38">
        <f>aantalw2001_hout</f>
        <v>44</v>
      </c>
      <c r="C22" s="170">
        <f>IF(ISERROR(B22/SUM($B$20,$B$21,$B$22)*100),0,B22/SUM($B$20,$B$21,$B$22)*100)</f>
        <v>3.3460076045627374</v>
      </c>
      <c r="D22" s="232"/>
      <c r="E22" s="16"/>
    </row>
    <row r="23" spans="1:7">
      <c r="A23" s="174" t="s">
        <v>76</v>
      </c>
      <c r="B23" s="38">
        <f>aantalw2001_niet_gespec</f>
        <v>123</v>
      </c>
      <c r="C23" s="169" t="s">
        <v>111</v>
      </c>
      <c r="D23" s="231"/>
      <c r="E23" s="16"/>
    </row>
    <row r="24" spans="1:7">
      <c r="A24" s="174" t="s">
        <v>77</v>
      </c>
      <c r="B24" s="38">
        <f>aantalw2001_steenkool</f>
        <v>123</v>
      </c>
      <c r="C24" s="169" t="s">
        <v>111</v>
      </c>
      <c r="D24" s="232"/>
      <c r="E24" s="16"/>
    </row>
    <row r="25" spans="1:7">
      <c r="A25" s="174" t="s">
        <v>78</v>
      </c>
      <c r="B25" s="38">
        <f>aantalw2001_stookolie</f>
        <v>1184</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7145</v>
      </c>
      <c r="C28" s="37"/>
      <c r="D28" s="231"/>
    </row>
    <row r="29" spans="1:7" s="16" customFormat="1">
      <c r="A29" s="233" t="s">
        <v>666</v>
      </c>
      <c r="B29" s="38">
        <f>SUM(HH_hh_gas_aantal,HH_rest_gas_aantal)</f>
        <v>4851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4851</v>
      </c>
      <c r="C32" s="170">
        <f>IF(ISERROR(B32/SUM($B$32,$B$34,$B$35,$B$36,$B$38,$B$39)*100),0,B32/SUM($B$32,$B$34,$B$35,$B$36,$B$38,$B$39)*100)</f>
        <v>68.017386427369601</v>
      </c>
      <c r="D32" s="236"/>
      <c r="G32" s="16"/>
    </row>
    <row r="33" spans="1:7">
      <c r="A33" s="174" t="s">
        <v>72</v>
      </c>
      <c r="B33" s="35" t="s">
        <v>111</v>
      </c>
      <c r="C33" s="170"/>
      <c r="D33" s="236"/>
      <c r="G33" s="16"/>
    </row>
    <row r="34" spans="1:7">
      <c r="A34" s="174" t="s">
        <v>73</v>
      </c>
      <c r="B34" s="34">
        <f>IF((($B$28-$B$32-$B$39-$B$77-$B$38)*C20/100)&lt;0,0,($B$28-$B$32-$B$39-$B$77-$B$38)*C20/100)</f>
        <v>67.649429657794684</v>
      </c>
      <c r="C34" s="170">
        <f>IF(ISERROR(B34/SUM($B$32,$B$34,$B$35,$B$36,$B$38,$B$39)*100),0,B34/SUM($B$32,$B$34,$B$35,$B$36,$B$38,$B$39)*100)</f>
        <v>0.948533786564704</v>
      </c>
      <c r="D34" s="236"/>
      <c r="G34" s="16"/>
    </row>
    <row r="35" spans="1:7">
      <c r="A35" s="174" t="s">
        <v>74</v>
      </c>
      <c r="B35" s="34">
        <f>IF((($B$28-$B$32-$B$39-$B$77-$B$38)*C21/100)&lt;0,0,($B$28-$B$32-$B$39-$B$77-$B$38)*C21/100)</f>
        <v>2137.0281368821293</v>
      </c>
      <c r="C35" s="170">
        <f>IF(ISERROR(B35/SUM($B$32,$B$34,$B$35,$B$36,$B$38,$B$39)*100),0,B35/SUM($B$32,$B$34,$B$35,$B$36,$B$38,$B$39)*100)</f>
        <v>29.963939103787567</v>
      </c>
      <c r="D35" s="236"/>
      <c r="G35" s="16"/>
    </row>
    <row r="36" spans="1:7">
      <c r="A36" s="174" t="s">
        <v>75</v>
      </c>
      <c r="B36" s="34">
        <f>IF((($B$28-$B$32-$B$39-$B$77-$B$38)*C22/100)&lt;0,0,($B$28-$B$32-$B$39-$B$77-$B$38)*C22/100)</f>
        <v>76.322433460076041</v>
      </c>
      <c r="C36" s="170">
        <f>IF(ISERROR(B36/SUM($B$32,$B$34,$B$35,$B$36,$B$38,$B$39)*100),0,B36/SUM($B$32,$B$34,$B$35,$B$36,$B$38,$B$39)*100)</f>
        <v>1.0701406822781274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4851</v>
      </c>
      <c r="C44" s="35" t="s">
        <v>111</v>
      </c>
      <c r="D44" s="177"/>
    </row>
    <row r="45" spans="1:7">
      <c r="A45" s="174" t="s">
        <v>72</v>
      </c>
      <c r="B45" s="34" t="str">
        <f t="shared" si="0"/>
        <v>-</v>
      </c>
      <c r="C45" s="35" t="s">
        <v>111</v>
      </c>
      <c r="D45" s="177"/>
    </row>
    <row r="46" spans="1:7">
      <c r="A46" s="174" t="s">
        <v>73</v>
      </c>
      <c r="B46" s="34">
        <f t="shared" si="0"/>
        <v>67.649429657794684</v>
      </c>
      <c r="C46" s="35" t="s">
        <v>111</v>
      </c>
      <c r="D46" s="177"/>
    </row>
    <row r="47" spans="1:7">
      <c r="A47" s="174" t="s">
        <v>74</v>
      </c>
      <c r="B47" s="34">
        <f t="shared" si="0"/>
        <v>2137.0281368821293</v>
      </c>
      <c r="C47" s="35" t="s">
        <v>111</v>
      </c>
      <c r="D47" s="177"/>
    </row>
    <row r="48" spans="1:7">
      <c r="A48" s="174" t="s">
        <v>75</v>
      </c>
      <c r="B48" s="34">
        <f t="shared" si="0"/>
        <v>76.322433460076041</v>
      </c>
      <c r="C48" s="34">
        <f>B48*10</f>
        <v>763.22433460076036</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31</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17148.529981064621</v>
      </c>
      <c r="C5" s="18">
        <f>IF(ISERROR('Eigen informatie GS &amp; warmtenet'!B58),0,'Eigen informatie GS &amp; warmtenet'!B58)</f>
        <v>0</v>
      </c>
      <c r="D5" s="31">
        <f>SUM(D6:D12)</f>
        <v>15508.385563081403</v>
      </c>
      <c r="E5" s="18">
        <f>SUM(E6:E12)</f>
        <v>388.5022678686725</v>
      </c>
      <c r="F5" s="18">
        <f>SUM(F6:F12)</f>
        <v>3458.3459637399433</v>
      </c>
      <c r="G5" s="19"/>
      <c r="H5" s="18"/>
      <c r="I5" s="18"/>
      <c r="J5" s="18">
        <f>SUM(J6:J12)</f>
        <v>0</v>
      </c>
      <c r="K5" s="18"/>
      <c r="L5" s="18"/>
      <c r="M5" s="18"/>
      <c r="N5" s="18">
        <f>SUM(N6:N12)</f>
        <v>447.72068370661196</v>
      </c>
      <c r="O5" s="18">
        <f>B38*B39*B40</f>
        <v>0</v>
      </c>
      <c r="P5" s="18">
        <f>B46*B47*B48/1000-B46*B47*B48/1000/B49</f>
        <v>0</v>
      </c>
      <c r="R5" s="33"/>
    </row>
    <row r="6" spans="1:18">
      <c r="A6" s="33" t="s">
        <v>54</v>
      </c>
      <c r="B6" s="38">
        <f>B26</f>
        <v>3324.6692693929799</v>
      </c>
      <c r="C6" s="34"/>
      <c r="D6" s="38">
        <f>IF(ISERROR(TER_kantoor_gas_kWh/1000),0,TER_kantoor_gas_kWh/1000)*0.902</f>
        <v>6298.5666963451831</v>
      </c>
      <c r="E6" s="34">
        <f>$C$26*'E Balans VL '!I12/100/3.6*1000000</f>
        <v>5.4564561012406294</v>
      </c>
      <c r="F6" s="34">
        <f>$C$26*('E Balans VL '!L12+'E Balans VL '!N12)/100/3.6*1000000</f>
        <v>391.90028164150846</v>
      </c>
      <c r="G6" s="35"/>
      <c r="H6" s="34"/>
      <c r="I6" s="34"/>
      <c r="J6" s="34">
        <f>$C$26*('E Balans VL '!D12+'E Balans VL '!E12)/100/3.6*1000000</f>
        <v>0</v>
      </c>
      <c r="K6" s="34"/>
      <c r="L6" s="34"/>
      <c r="M6" s="34"/>
      <c r="N6" s="34">
        <f>$C$26*'E Balans VL '!Y12/100/3.6*1000000</f>
        <v>0.6717336822829737</v>
      </c>
      <c r="O6" s="34"/>
      <c r="P6" s="34"/>
      <c r="R6" s="33"/>
    </row>
    <row r="7" spans="1:18">
      <c r="A7" s="33" t="s">
        <v>53</v>
      </c>
      <c r="B7" s="38">
        <f t="shared" ref="B7:B12" si="0">B27</f>
        <v>6450.2445260951299</v>
      </c>
      <c r="C7" s="34"/>
      <c r="D7" s="38">
        <f>IF(ISERROR(TER_horeca_gas_kWh/1000),0,TER_horeca_gas_kWh/1000)*0.902</f>
        <v>2615.2918825858269</v>
      </c>
      <c r="E7" s="34">
        <f>$C$27*'E Balans VL '!I9/100/3.6*1000000</f>
        <v>334.72101593613928</v>
      </c>
      <c r="F7" s="34">
        <f>$C$27*('E Balans VL '!L9+'E Balans VL '!N9)/100/3.6*1000000</f>
        <v>1471.9504811755332</v>
      </c>
      <c r="G7" s="35"/>
      <c r="H7" s="34"/>
      <c r="I7" s="34"/>
      <c r="J7" s="34">
        <f>$C$27*('E Balans VL '!D9+'E Balans VL '!E9)/100/3.6*1000000</f>
        <v>0</v>
      </c>
      <c r="K7" s="34"/>
      <c r="L7" s="34"/>
      <c r="M7" s="34"/>
      <c r="N7" s="34">
        <f>$C$27*'E Balans VL '!Y9/100/3.6*1000000</f>
        <v>0.68114286600213125</v>
      </c>
      <c r="O7" s="34"/>
      <c r="P7" s="34"/>
      <c r="R7" s="33"/>
    </row>
    <row r="8" spans="1:18">
      <c r="A8" s="6" t="s">
        <v>52</v>
      </c>
      <c r="B8" s="38">
        <f t="shared" si="0"/>
        <v>3638.40644184959</v>
      </c>
      <c r="C8" s="34"/>
      <c r="D8" s="38">
        <f>IF(ISERROR(TER_handel_gas_kWh/1000),0,TER_handel_gas_kWh/1000)*0.902</f>
        <v>1508.5587030195434</v>
      </c>
      <c r="E8" s="34">
        <f>$C$28*'E Balans VL '!I13/100/3.6*1000000</f>
        <v>19.593265790087251</v>
      </c>
      <c r="F8" s="34">
        <f>$C$28*('E Balans VL '!L13+'E Balans VL '!N13)/100/3.6*1000000</f>
        <v>741.97919719423135</v>
      </c>
      <c r="G8" s="35"/>
      <c r="H8" s="34"/>
      <c r="I8" s="34"/>
      <c r="J8" s="34">
        <f>$C$28*('E Balans VL '!D13+'E Balans VL '!E13)/100/3.6*1000000</f>
        <v>0</v>
      </c>
      <c r="K8" s="34"/>
      <c r="L8" s="34"/>
      <c r="M8" s="34"/>
      <c r="N8" s="34">
        <f>$C$28*'E Balans VL '!Y13/100/3.6*1000000</f>
        <v>18.091873847924933</v>
      </c>
      <c r="O8" s="34"/>
      <c r="P8" s="34"/>
      <c r="R8" s="33"/>
    </row>
    <row r="9" spans="1:18">
      <c r="A9" s="33" t="s">
        <v>51</v>
      </c>
      <c r="B9" s="38">
        <f t="shared" si="0"/>
        <v>252.382034059266</v>
      </c>
      <c r="C9" s="34"/>
      <c r="D9" s="38">
        <f>IF(ISERROR(TER_gezond_gas_kWh/1000),0,TER_gezond_gas_kWh/1000)*0.902</f>
        <v>252.46792754380141</v>
      </c>
      <c r="E9" s="34">
        <f>$C$29*'E Balans VL '!I10/100/3.6*1000000</f>
        <v>0.25011346582934574</v>
      </c>
      <c r="F9" s="34">
        <f>$C$29*('E Balans VL '!L10+'E Balans VL '!N10)/100/3.6*1000000</f>
        <v>87.569291185520157</v>
      </c>
      <c r="G9" s="35"/>
      <c r="H9" s="34"/>
      <c r="I9" s="34"/>
      <c r="J9" s="34">
        <f>$C$29*('E Balans VL '!D10+'E Balans VL '!E10)/100/3.6*1000000</f>
        <v>0</v>
      </c>
      <c r="K9" s="34"/>
      <c r="L9" s="34"/>
      <c r="M9" s="34"/>
      <c r="N9" s="34">
        <f>$C$29*'E Balans VL '!Y10/100/3.6*1000000</f>
        <v>2.1747541237379062</v>
      </c>
      <c r="O9" s="34"/>
      <c r="P9" s="34"/>
      <c r="R9" s="33"/>
    </row>
    <row r="10" spans="1:18">
      <c r="A10" s="33" t="s">
        <v>50</v>
      </c>
      <c r="B10" s="38">
        <f t="shared" si="0"/>
        <v>407.21043628184799</v>
      </c>
      <c r="C10" s="34"/>
      <c r="D10" s="38">
        <f>IF(ISERROR(TER_ander_gas_kWh/1000),0,TER_ander_gas_kWh/1000)*0.902</f>
        <v>408.62922479584421</v>
      </c>
      <c r="E10" s="34">
        <f>$C$30*'E Balans VL '!I14/100/3.6*1000000</f>
        <v>3.3313883466324978</v>
      </c>
      <c r="F10" s="34">
        <f>$C$30*('E Balans VL '!L14+'E Balans VL '!N14)/100/3.6*1000000</f>
        <v>119.05175334533935</v>
      </c>
      <c r="G10" s="35"/>
      <c r="H10" s="34"/>
      <c r="I10" s="34"/>
      <c r="J10" s="34">
        <f>$C$30*('E Balans VL '!D14+'E Balans VL '!E14)/100/3.6*1000000</f>
        <v>0</v>
      </c>
      <c r="K10" s="34"/>
      <c r="L10" s="34"/>
      <c r="M10" s="34"/>
      <c r="N10" s="34">
        <f>$C$30*'E Balans VL '!Y14/100/3.6*1000000</f>
        <v>234.90699121080451</v>
      </c>
      <c r="O10" s="34"/>
      <c r="P10" s="34"/>
      <c r="R10" s="33"/>
    </row>
    <row r="11" spans="1:18">
      <c r="A11" s="33" t="s">
        <v>55</v>
      </c>
      <c r="B11" s="38">
        <f t="shared" si="0"/>
        <v>177.51195021073701</v>
      </c>
      <c r="C11" s="34"/>
      <c r="D11" s="38">
        <f>IF(ISERROR(TER_onderwijs_gas_kWh/1000),0,TER_onderwijs_gas_kWh/1000)*0.902</f>
        <v>193.23400000215591</v>
      </c>
      <c r="E11" s="34">
        <f>$C$31*'E Balans VL '!I11/100/3.6*1000000</f>
        <v>0.10941087613710078</v>
      </c>
      <c r="F11" s="34">
        <f>$C$31*('E Balans VL '!L11+'E Balans VL '!N11)/100/3.6*1000000</f>
        <v>68.628994698804021</v>
      </c>
      <c r="G11" s="35"/>
      <c r="H11" s="34"/>
      <c r="I11" s="34"/>
      <c r="J11" s="34">
        <f>$C$31*('E Balans VL '!D11+'E Balans VL '!E11)/100/3.6*1000000</f>
        <v>0</v>
      </c>
      <c r="K11" s="34"/>
      <c r="L11" s="34"/>
      <c r="M11" s="34"/>
      <c r="N11" s="34">
        <f>$C$31*'E Balans VL '!Y11/100/3.6*1000000</f>
        <v>0.57740833403680614</v>
      </c>
      <c r="O11" s="34"/>
      <c r="P11" s="34"/>
      <c r="R11" s="33"/>
    </row>
    <row r="12" spans="1:18">
      <c r="A12" s="33" t="s">
        <v>260</v>
      </c>
      <c r="B12" s="38">
        <f t="shared" si="0"/>
        <v>2898.1053231750698</v>
      </c>
      <c r="C12" s="34"/>
      <c r="D12" s="38">
        <f>IF(ISERROR(TER_rest_gas_kWh/1000),0,TER_rest_gas_kWh/1000)*0.902</f>
        <v>4231.6371287890497</v>
      </c>
      <c r="E12" s="34">
        <f>$C$32*'E Balans VL '!I8/100/3.6*1000000</f>
        <v>25.040617352606453</v>
      </c>
      <c r="F12" s="34">
        <f>$C$32*('E Balans VL '!L8+'E Balans VL '!N8)/100/3.6*1000000</f>
        <v>577.26596449900615</v>
      </c>
      <c r="G12" s="35"/>
      <c r="H12" s="34"/>
      <c r="I12" s="34"/>
      <c r="J12" s="34">
        <f>$C$32*('E Balans VL '!D8+'E Balans VL '!E8)/100/3.6*1000000</f>
        <v>0</v>
      </c>
      <c r="K12" s="34"/>
      <c r="L12" s="34"/>
      <c r="M12" s="34"/>
      <c r="N12" s="34">
        <f>$C$32*'E Balans VL '!Y8/100/3.6*1000000</f>
        <v>190.61677964182269</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17148.529981064621</v>
      </c>
      <c r="C16" s="22">
        <f t="shared" ca="1" si="1"/>
        <v>0</v>
      </c>
      <c r="D16" s="22">
        <f t="shared" ca="1" si="1"/>
        <v>15508.385563081403</v>
      </c>
      <c r="E16" s="22">
        <f t="shared" si="1"/>
        <v>388.5022678686725</v>
      </c>
      <c r="F16" s="22">
        <f t="shared" ca="1" si="1"/>
        <v>3458.3459637399433</v>
      </c>
      <c r="G16" s="22">
        <f t="shared" si="1"/>
        <v>0</v>
      </c>
      <c r="H16" s="22">
        <f t="shared" si="1"/>
        <v>0</v>
      </c>
      <c r="I16" s="22">
        <f t="shared" si="1"/>
        <v>0</v>
      </c>
      <c r="J16" s="22">
        <f t="shared" si="1"/>
        <v>0</v>
      </c>
      <c r="K16" s="22">
        <f t="shared" si="1"/>
        <v>0</v>
      </c>
      <c r="L16" s="22">
        <f t="shared" ca="1" si="1"/>
        <v>0</v>
      </c>
      <c r="M16" s="22">
        <f t="shared" si="1"/>
        <v>0</v>
      </c>
      <c r="N16" s="22">
        <f t="shared" ca="1" si="1"/>
        <v>447.72068370661196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0.21248646609180605</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3643.8305343458069</v>
      </c>
      <c r="C20" s="24">
        <f t="shared" ref="C20:P20" ca="1" si="2">C16*C18</f>
        <v>0</v>
      </c>
      <c r="D20" s="24">
        <f t="shared" ca="1" si="2"/>
        <v>3132.6938837424436</v>
      </c>
      <c r="E20" s="24">
        <f t="shared" si="2"/>
        <v>88.190014806188657</v>
      </c>
      <c r="F20" s="24">
        <f t="shared" ca="1" si="2"/>
        <v>923.37837231856486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3324.6692693929799</v>
      </c>
      <c r="C26" s="40">
        <f>IF(ISERROR(B26*3.6/1000000/'E Balans VL '!Z12*100),0,B26*3.6/1000000/'E Balans VL '!Z12*100)</f>
        <v>7.0646837751057706E-2</v>
      </c>
      <c r="D26" s="240" t="s">
        <v>707</v>
      </c>
      <c r="F26" s="6"/>
    </row>
    <row r="27" spans="1:18">
      <c r="A27" s="234" t="s">
        <v>53</v>
      </c>
      <c r="B27" s="34">
        <f>IF(ISERROR(TER_horeca_ele_kWh/1000),0,TER_horeca_ele_kWh/1000)</f>
        <v>6450.2445260951299</v>
      </c>
      <c r="C27" s="40">
        <f>IF(ISERROR(B27*3.6/1000000/'E Balans VL '!Z9*100),0,B27*3.6/1000000/'E Balans VL '!Z9*100)</f>
        <v>0.50768412372829652</v>
      </c>
      <c r="D27" s="240" t="s">
        <v>707</v>
      </c>
      <c r="F27" s="6"/>
    </row>
    <row r="28" spans="1:18">
      <c r="A28" s="174" t="s">
        <v>52</v>
      </c>
      <c r="B28" s="34">
        <f>IF(ISERROR(TER_handel_ele_kWh/1000),0,TER_handel_ele_kWh/1000)</f>
        <v>3638.40644184959</v>
      </c>
      <c r="C28" s="40">
        <f>IF(ISERROR(B28*3.6/1000000/'E Balans VL '!Z13*100),0,B28*3.6/1000000/'E Balans VL '!Z13*100)</f>
        <v>0.10191371163445986</v>
      </c>
      <c r="D28" s="240" t="s">
        <v>707</v>
      </c>
      <c r="F28" s="6"/>
    </row>
    <row r="29" spans="1:18">
      <c r="A29" s="234" t="s">
        <v>51</v>
      </c>
      <c r="B29" s="34">
        <f>IF(ISERROR(TER_gezond_ele_kWh/1000),0,TER_gezond_ele_kWh/1000)</f>
        <v>252.382034059266</v>
      </c>
      <c r="C29" s="40">
        <f>IF(ISERROR(B29*3.6/1000000/'E Balans VL '!Z10*100),0,B29*3.6/1000000/'E Balans VL '!Z10*100)</f>
        <v>3.2287293881526978E-2</v>
      </c>
      <c r="D29" s="240" t="s">
        <v>707</v>
      </c>
      <c r="F29" s="6"/>
    </row>
    <row r="30" spans="1:18">
      <c r="A30" s="234" t="s">
        <v>50</v>
      </c>
      <c r="B30" s="34">
        <f>IF(ISERROR(TER_ander_ele_kWh/1000),0,TER_ander_ele_kWh/1000)</f>
        <v>407.21043628184799</v>
      </c>
      <c r="C30" s="40">
        <f>IF(ISERROR(B30*3.6/1000000/'E Balans VL '!Z14*100),0,B30*3.6/1000000/'E Balans VL '!Z14*100)</f>
        <v>3.0455909418806566E-2</v>
      </c>
      <c r="D30" s="240" t="s">
        <v>707</v>
      </c>
      <c r="F30" s="6"/>
    </row>
    <row r="31" spans="1:18">
      <c r="A31" s="234" t="s">
        <v>55</v>
      </c>
      <c r="B31" s="34">
        <f>IF(ISERROR(TER_onderwijs_ele_kWh/1000),0,TER_onderwijs_ele_kWh/1000)</f>
        <v>177.51195021073701</v>
      </c>
      <c r="C31" s="40">
        <f>IF(ISERROR(B31*3.6/1000000/'E Balans VL '!Z11*100),0,B31*3.6/1000000/'E Balans VL '!Z11*100)</f>
        <v>3.7481878223745935E-2</v>
      </c>
      <c r="D31" s="240" t="s">
        <v>707</v>
      </c>
    </row>
    <row r="32" spans="1:18">
      <c r="A32" s="234" t="s">
        <v>260</v>
      </c>
      <c r="B32" s="34">
        <f>IF(ISERROR(TER_rest_ele_kWh/1000),0,TER_rest_ele_kWh/1000)</f>
        <v>2898.1053231750698</v>
      </c>
      <c r="C32" s="40">
        <f>IF(ISERROR(B32*3.6/1000000/'E Balans VL '!Z8*100),0,B32*3.6/1000000/'E Balans VL '!Z8*100)</f>
        <v>2.3874394770805291E-2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7155.538615188957</v>
      </c>
      <c r="C5" s="18">
        <f>IF(ISERROR('Eigen informatie GS &amp; warmtenet'!B59),0,'Eigen informatie GS &amp; warmtenet'!B59)</f>
        <v>0</v>
      </c>
      <c r="D5" s="31">
        <f>SUM(D6:D15)</f>
        <v>4187.839810137385</v>
      </c>
      <c r="E5" s="18">
        <f>SUM(E6:E15)</f>
        <v>59.415765427753442</v>
      </c>
      <c r="F5" s="18">
        <f>SUM(F6:F15)</f>
        <v>2368.339320633514</v>
      </c>
      <c r="G5" s="19"/>
      <c r="H5" s="18"/>
      <c r="I5" s="18"/>
      <c r="J5" s="18">
        <f>SUM(J6:J15)</f>
        <v>24.744715250120887</v>
      </c>
      <c r="K5" s="18"/>
      <c r="L5" s="18"/>
      <c r="M5" s="18"/>
      <c r="N5" s="18">
        <f>SUM(N6:N15)</f>
        <v>284.01058369872459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59.365000000000002</v>
      </c>
      <c r="C8" s="34"/>
      <c r="D8" s="38">
        <f>IF( ISERROR(IND_metaal_Gas_kWH/1000),0,IND_metaal_Gas_kWH/1000)*0.902</f>
        <v>0</v>
      </c>
      <c r="E8" s="34">
        <f>C30*'E Balans VL '!I18/100/3.6*1000000</f>
        <v>0.54062635669357906</v>
      </c>
      <c r="F8" s="34">
        <f>C30*'E Balans VL '!L18/100/3.6*1000000+C30*'E Balans VL '!N18/100/3.6*1000000</f>
        <v>7.8297926744468267</v>
      </c>
      <c r="G8" s="35"/>
      <c r="H8" s="34"/>
      <c r="I8" s="34"/>
      <c r="J8" s="41">
        <f>C30*'E Balans VL '!D18/100/3.6*1000000+C30*'E Balans VL '!E18/100/3.6*1000000</f>
        <v>0.97349980512378442</v>
      </c>
      <c r="K8" s="34"/>
      <c r="L8" s="34"/>
      <c r="M8" s="34"/>
      <c r="N8" s="34">
        <f>C30*'E Balans VL '!Y18/100/3.6*1000000</f>
        <v>0.20401392231424412</v>
      </c>
      <c r="O8" s="34"/>
      <c r="P8" s="34"/>
      <c r="R8" s="33"/>
    </row>
    <row r="9" spans="1:18">
      <c r="A9" s="6" t="s">
        <v>33</v>
      </c>
      <c r="B9" s="38">
        <f t="shared" si="0"/>
        <v>1708.35084534578</v>
      </c>
      <c r="C9" s="34"/>
      <c r="D9" s="38">
        <f>IF( ISERROR(IND_andere_gas_kWh/1000),0,IND_andere_gas_kWh/1000)*0.902</f>
        <v>931.97199581513246</v>
      </c>
      <c r="E9" s="34">
        <f>C31*'E Balans VL '!I19/100/3.6*1000000</f>
        <v>9.8745231780164868</v>
      </c>
      <c r="F9" s="34">
        <f>C31*'E Balans VL '!L19/100/3.6*1000000+C31*'E Balans VL '!N19/100/3.6*1000000</f>
        <v>1359.0753000623699</v>
      </c>
      <c r="G9" s="35"/>
      <c r="H9" s="34"/>
      <c r="I9" s="34"/>
      <c r="J9" s="41">
        <f>C31*'E Balans VL '!D19/100/3.6*1000000+C31*'E Balans VL '!E19/100/3.6*1000000</f>
        <v>0.16159101414598806</v>
      </c>
      <c r="K9" s="34"/>
      <c r="L9" s="34"/>
      <c r="M9" s="34"/>
      <c r="N9" s="34">
        <f>C31*'E Balans VL '!Y19/100/3.6*1000000</f>
        <v>129.43342953317705</v>
      </c>
      <c r="O9" s="34"/>
      <c r="P9" s="34"/>
      <c r="R9" s="33"/>
    </row>
    <row r="10" spans="1:18">
      <c r="A10" s="6" t="s">
        <v>41</v>
      </c>
      <c r="B10" s="38">
        <f t="shared" si="0"/>
        <v>693.45629206356693</v>
      </c>
      <c r="C10" s="34"/>
      <c r="D10" s="38">
        <f>IF( ISERROR(IND_voed_gas_kWh/1000),0,IND_voed_gas_kWh/1000)*0.902</f>
        <v>1086.3916283215979</v>
      </c>
      <c r="E10" s="34">
        <f>C32*'E Balans VL '!I20/100/3.6*1000000</f>
        <v>6.8184895375750392</v>
      </c>
      <c r="F10" s="34">
        <f>C32*'E Balans VL '!L20/100/3.6*1000000+C32*'E Balans VL '!N20/100/3.6*1000000</f>
        <v>77.017372672040523</v>
      </c>
      <c r="G10" s="35"/>
      <c r="H10" s="34"/>
      <c r="I10" s="34"/>
      <c r="J10" s="41">
        <f>C32*'E Balans VL '!D20/100/3.6*1000000+C32*'E Balans VL '!E20/100/3.6*1000000</f>
        <v>2.7332260572362588E-3</v>
      </c>
      <c r="K10" s="34"/>
      <c r="L10" s="34"/>
      <c r="M10" s="34"/>
      <c r="N10" s="34">
        <f>C32*'E Balans VL '!Y20/100/3.6*1000000</f>
        <v>10.268456504323398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4694.3664777796102</v>
      </c>
      <c r="C15" s="34"/>
      <c r="D15" s="38">
        <f>IF( ISERROR(IND_rest_gas_kWh/1000),0,IND_rest_gas_kWh/1000)*0.902</f>
        <v>2169.4761860006547</v>
      </c>
      <c r="E15" s="34">
        <f>C37*'E Balans VL '!I15/100/3.6*1000000</f>
        <v>42.182126355468341</v>
      </c>
      <c r="F15" s="34">
        <f>C37*'E Balans VL '!L15/100/3.6*1000000+C37*'E Balans VL '!N15/100/3.6*1000000</f>
        <v>924.4168552246565</v>
      </c>
      <c r="G15" s="35"/>
      <c r="H15" s="34"/>
      <c r="I15" s="34"/>
      <c r="J15" s="41">
        <f>C37*'E Balans VL '!D15/100/3.6*1000000+C37*'E Balans VL '!E15/100/3.6*1000000</f>
        <v>23.606891204793879</v>
      </c>
      <c r="K15" s="34"/>
      <c r="L15" s="34"/>
      <c r="M15" s="34"/>
      <c r="N15" s="34">
        <f>C37*'E Balans VL '!Y15/100/3.6*1000000</f>
        <v>144.1046837389099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7155.538615188957</v>
      </c>
      <c r="C18" s="22">
        <f>C5+C16</f>
        <v>0</v>
      </c>
      <c r="D18" s="22">
        <f>MAX((D5+D16),0)</f>
        <v>4187.839810137385</v>
      </c>
      <c r="E18" s="22">
        <f>MAX((E5+E16),0)</f>
        <v>59.415765427753442</v>
      </c>
      <c r="F18" s="22">
        <f>MAX((F5+F16),0)</f>
        <v>2368.339320633514</v>
      </c>
      <c r="G18" s="22"/>
      <c r="H18" s="22"/>
      <c r="I18" s="22"/>
      <c r="J18" s="22">
        <f>MAX((J5+J16),0)</f>
        <v>24.744715250120887</v>
      </c>
      <c r="K18" s="22"/>
      <c r="L18" s="22">
        <f>MAX((L5+L16),0)</f>
        <v>0</v>
      </c>
      <c r="M18" s="22"/>
      <c r="N18" s="22">
        <f>MAX((N5+N16),0)</f>
        <v>284.01058369872459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0.21248646609180605</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1520.4551133249572</v>
      </c>
      <c r="C22" s="24">
        <f ca="1">C18*C20</f>
        <v>0</v>
      </c>
      <c r="D22" s="24">
        <f>D18*D20</f>
        <v>845.94364164775186</v>
      </c>
      <c r="E22" s="24">
        <f>E18*E20</f>
        <v>13.487378752100032</v>
      </c>
      <c r="F22" s="24">
        <f>F18*F20</f>
        <v>632.34659860914826</v>
      </c>
      <c r="G22" s="24"/>
      <c r="H22" s="24"/>
      <c r="I22" s="24"/>
      <c r="J22" s="24">
        <f>J18*J20</f>
        <v>8.7596291985427932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59.365000000000002</v>
      </c>
      <c r="C30" s="40">
        <f>IF(ISERROR(B30*3.6/1000000/'E Balans VL '!Z18*100),0,B30*3.6/1000000/'E Balans VL '!Z18*100)</f>
        <v>3.3032652796509019E-3</v>
      </c>
      <c r="D30" s="240" t="s">
        <v>707</v>
      </c>
    </row>
    <row r="31" spans="1:18">
      <c r="A31" s="6" t="s">
        <v>33</v>
      </c>
      <c r="B31" s="38">
        <f>IF( ISERROR(IND_ander_ele_kWh/1000),0,IND_ander_ele_kWh/1000)</f>
        <v>1708.35084534578</v>
      </c>
      <c r="C31" s="40">
        <f>IF(ISERROR(B31*3.6/1000000/'E Balans VL '!Z19*100),0,B31*3.6/1000000/'E Balans VL '!Z19*100)</f>
        <v>7.9416744153659666E-2</v>
      </c>
      <c r="D31" s="240" t="s">
        <v>707</v>
      </c>
    </row>
    <row r="32" spans="1:18">
      <c r="A32" s="174" t="s">
        <v>41</v>
      </c>
      <c r="B32" s="38">
        <f>IF( ISERROR(IND_voed_ele_kWh/1000),0,IND_voed_ele_kWh/1000)</f>
        <v>693.45629206356693</v>
      </c>
      <c r="C32" s="40">
        <f>IF(ISERROR(B32*3.6/1000000/'E Balans VL '!Z20*100),0,B32*3.6/1000000/'E Balans VL '!Z20*100)</f>
        <v>2.4512279430153727E-2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4694.3664777796102</v>
      </c>
      <c r="C37" s="40">
        <f>IF(ISERROR(B37*3.6/1000000/'E Balans VL '!Z15*100),0,B37*3.6/1000000/'E Balans VL '!Z15*100)</f>
        <v>3.5449401535143268E-2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65.415674699320007</v>
      </c>
      <c r="C5" s="18">
        <f>'Eigen informatie GS &amp; warmtenet'!B60</f>
        <v>0</v>
      </c>
      <c r="D5" s="31">
        <f>IF(ISERROR(SUM(LB_lb_gas_kWh,LB_rest_gas_kWh)/1000),0,SUM(LB_lb_gas_kWh,LB_rest_gas_kWh)/1000)*0.902</f>
        <v>44.07496684232958</v>
      </c>
      <c r="E5" s="18">
        <f>B17*'E Balans VL '!I25/3.6*1000000/100</f>
        <v>0.61625948560740074</v>
      </c>
      <c r="F5" s="18">
        <f>B17*('E Balans VL '!L25/3.6*1000000+'E Balans VL '!N25/3.6*1000000)/100</f>
        <v>213.47305609970988</v>
      </c>
      <c r="G5" s="19"/>
      <c r="H5" s="18"/>
      <c r="I5" s="18"/>
      <c r="J5" s="18">
        <f>('E Balans VL '!D25+'E Balans VL '!E25)/3.6*1000000*landbouw!B17/100</f>
        <v>8.0922371420865016</v>
      </c>
      <c r="K5" s="18"/>
      <c r="L5" s="18">
        <f>L6*(-1)</f>
        <v>0</v>
      </c>
      <c r="M5" s="18"/>
      <c r="N5" s="18">
        <f>N6*(-1)</f>
        <v>0</v>
      </c>
      <c r="O5" s="18"/>
      <c r="P5" s="18"/>
      <c r="R5" s="33"/>
    </row>
    <row r="6" spans="1:18">
      <c r="A6" s="17" t="s">
        <v>502</v>
      </c>
      <c r="B6" s="18" t="s">
        <v>211</v>
      </c>
      <c r="C6" s="18">
        <f>'lokale energieproductie'!O92+'lokale energieproductie'!O61</f>
        <v>2.0454545454545454</v>
      </c>
      <c r="D6" s="312">
        <f>('lokale energieproductie'!P61+'lokale energieproductie'!P92)*(-1)</f>
        <v>-2.7272727272727275</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65.415674699320007</v>
      </c>
      <c r="C8" s="22">
        <f>C5+C6</f>
        <v>2.0454545454545454</v>
      </c>
      <c r="D8" s="22">
        <f>MAX((D5+D6),0)</f>
        <v>41.347694115056854</v>
      </c>
      <c r="E8" s="22">
        <f>MAX((E5+E6),0)</f>
        <v>0.61625948560740074</v>
      </c>
      <c r="F8" s="22">
        <f>MAX((F5+F6),0)</f>
        <v>213.47305609970988</v>
      </c>
      <c r="G8" s="22"/>
      <c r="H8" s="22"/>
      <c r="I8" s="22"/>
      <c r="J8" s="22">
        <f>MAX((J5+J6),0)</f>
        <v>8.0922371420865016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0.21248646609180605</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13.899945543869675</v>
      </c>
      <c r="C12" s="24">
        <f ca="1">C8*C10</f>
        <v>0.45909090909090916</v>
      </c>
      <c r="D12" s="24">
        <f>D8*D10</f>
        <v>8.3522342112414858</v>
      </c>
      <c r="E12" s="24">
        <f>E8*E10</f>
        <v>0.13989090323287998</v>
      </c>
      <c r="F12" s="24">
        <f>F8*F10</f>
        <v>56.997305978622542</v>
      </c>
      <c r="G12" s="24"/>
      <c r="H12" s="24"/>
      <c r="I12" s="24"/>
      <c r="J12" s="24">
        <f>J8*J10</f>
        <v>2.8646519482986212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8.8562370452215967E-3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26.209560332496945</v>
      </c>
      <c r="C26" s="250">
        <f>B26*'GWP N2O_CH4'!B5</f>
        <v>550.40076698243581</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3.9511541298085073</v>
      </c>
      <c r="C27" s="250">
        <f>B27*'GWP N2O_CH4'!B5</f>
        <v>82.974236725978656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0.32381912842316735</v>
      </c>
      <c r="C28" s="250">
        <f>B28*'GWP N2O_CH4'!B4</f>
        <v>100.38392981118187</v>
      </c>
      <c r="D28" s="51"/>
    </row>
    <row r="29" spans="1:4">
      <c r="A29" s="42" t="s">
        <v>277</v>
      </c>
      <c r="B29" s="250">
        <f>B34*'ha_N2O bodem landbouw'!B4</f>
        <v>2.7852592513409355</v>
      </c>
      <c r="C29" s="250">
        <f>B29*'GWP N2O_CH4'!B4</f>
        <v>863.43036791569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7.5193231715760646E-4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2.3891849615413175E-6</v>
      </c>
      <c r="C5" s="447" t="s">
        <v>211</v>
      </c>
      <c r="D5" s="432">
        <f>SUM(D6:D11)</f>
        <v>6.6915626113025513E-6</v>
      </c>
      <c r="E5" s="432">
        <f>SUM(E6:E11)</f>
        <v>3.8716033724203112E-4</v>
      </c>
      <c r="F5" s="445" t="s">
        <v>211</v>
      </c>
      <c r="G5" s="432">
        <f>SUM(G6:G11)</f>
        <v>7.9297547271610092E-2</v>
      </c>
      <c r="H5" s="432">
        <f>SUM(H6:H11)</f>
        <v>1.4852295169525732E-2</v>
      </c>
      <c r="I5" s="447" t="s">
        <v>211</v>
      </c>
      <c r="J5" s="447" t="s">
        <v>211</v>
      </c>
      <c r="K5" s="447" t="s">
        <v>211</v>
      </c>
      <c r="L5" s="447" t="s">
        <v>211</v>
      </c>
      <c r="M5" s="432">
        <f>SUM(M6:M11)</f>
        <v>4.2105334508039946E-3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1.9472217550538815E-6</v>
      </c>
      <c r="C6" s="433"/>
      <c r="D6" s="433">
        <f>vkm_2011_GW_PW*SUMIFS(TableVerdeelsleutelVkm[CNG],TableVerdeelsleutelVkm[Voertuigtype],"Lichte voertuigen")*SUMIFS(TableECFTransport[EnergieConsumptieFactor (PJ per km)],TableECFTransport[Index],CONCATENATE($A6,"_CNG_CNG"))</f>
        <v>4.7551481361715874E-6</v>
      </c>
      <c r="E6" s="435">
        <f>vkm_2011_GW_PW*SUMIFS(TableVerdeelsleutelVkm[LPG],TableVerdeelsleutelVkm[Voertuigtype],"Lichte voertuigen")*SUMIFS(TableECFTransport[EnergieConsumptieFactor (PJ per km)],TableECFTransport[Index],CONCATENATE($A6,"_LPG_LPG"))</f>
        <v>2.8186060756754439E-4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4.0746266484490236E-2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1.0678425827033279E-2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2.3028924260895156E-3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2.3913545003696895E-2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9.6481830982365862E-6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1.0653410311156789E-3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4.4196320648743618E-7</v>
      </c>
      <c r="C8" s="433"/>
      <c r="D8" s="435">
        <f>vkm_2011_NGW_PW*SUMIFS(TableVerdeelsleutelVkm[CNG],TableVerdeelsleutelVkm[Voertuigtype],"Lichte voertuigen")*SUMIFS(TableECFTransport[EnergieConsumptieFactor (PJ per km)],TableECFTransport[Index],CONCATENATE($A8,"_CNG_CNG"))</f>
        <v>1.9364144751309643E-6</v>
      </c>
      <c r="E8" s="435">
        <f>vkm_2011_NGW_PW*SUMIFS(TableVerdeelsleutelVkm[LPG],TableVerdeelsleutelVkm[Voertuigtype],"Lichte voertuigen")*SUMIFS(TableECFTransport[EnergieConsumptieFactor (PJ per km)],TableECFTransport[Index],CONCATENATE($A8,"_LPG_LPG"))</f>
        <v>1.0529972967448674E-4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1.4380291644589538E-2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4.1641307213978107E-3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8.3083155115989472E-4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2.5744413883343239E-4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9.0437996403710836E-8</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1.1468442438905406E-5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0.66366248931703264</v>
      </c>
      <c r="C14" s="22"/>
      <c r="D14" s="22">
        <f t="shared" ref="D14:M14" si="0">((D5)*10^9/3600)+D12</f>
        <v>1.8587673920284864</v>
      </c>
      <c r="E14" s="22">
        <f t="shared" si="0"/>
        <v>107.54453812278642</v>
      </c>
      <c r="F14" s="22"/>
      <c r="G14" s="22">
        <f t="shared" si="0"/>
        <v>22027.096464336137</v>
      </c>
      <c r="H14" s="22">
        <f t="shared" si="0"/>
        <v>4125.6375470904813</v>
      </c>
      <c r="I14" s="22"/>
      <c r="J14" s="22"/>
      <c r="K14" s="22"/>
      <c r="L14" s="22"/>
      <c r="M14" s="22">
        <f t="shared" si="0"/>
        <v>1169.5926252233317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0.21248646609180605</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0.14101929703266725</v>
      </c>
      <c r="C18" s="24"/>
      <c r="D18" s="24">
        <f t="shared" ref="D18:M18" si="1">D14*D16</f>
        <v>0.37547101318975429</v>
      </c>
      <c r="E18" s="24">
        <f t="shared" si="1"/>
        <v>24.412610153872517</v>
      </c>
      <c r="F18" s="24"/>
      <c r="G18" s="24">
        <f t="shared" si="1"/>
        <v>5881.234755977749</v>
      </c>
      <c r="H18" s="24">
        <f t="shared" si="1"/>
        <v>1027.2837492255298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1.2424926303015664E-3</v>
      </c>
      <c r="C50" s="323">
        <f t="shared" ref="C50:P50" si="2">SUM(C51:C52)</f>
        <v>0</v>
      </c>
      <c r="D50" s="323">
        <f t="shared" si="2"/>
        <v>0</v>
      </c>
      <c r="E50" s="323">
        <f t="shared" si="2"/>
        <v>0</v>
      </c>
      <c r="F50" s="323">
        <f t="shared" si="2"/>
        <v>0</v>
      </c>
      <c r="G50" s="323">
        <f t="shared" si="2"/>
        <v>5.4207168194054991E-3</v>
      </c>
      <c r="H50" s="323">
        <f t="shared" si="2"/>
        <v>0</v>
      </c>
      <c r="I50" s="323">
        <f t="shared" si="2"/>
        <v>0</v>
      </c>
      <c r="J50" s="323">
        <f t="shared" si="2"/>
        <v>0</v>
      </c>
      <c r="K50" s="323">
        <f t="shared" si="2"/>
        <v>0</v>
      </c>
      <c r="L50" s="323">
        <f t="shared" si="2"/>
        <v>0</v>
      </c>
      <c r="M50" s="323">
        <f t="shared" si="2"/>
        <v>2.3803261757182292E-4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5.4207168194054991E-3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2.3803261757182292E-4</v>
      </c>
      <c r="N51" s="325"/>
      <c r="O51" s="325"/>
      <c r="P51" s="328"/>
    </row>
    <row r="52" spans="1:18">
      <c r="A52" s="4" t="s">
        <v>330</v>
      </c>
      <c r="B52" s="329">
        <f>vkm_2011_tram*SUMIFS(TableECFTransport[EnergieConsumptieFactor (PJ per km)],TableECFTransport[Index],"Tram_gemiddeld_Electric_Electric")</f>
        <v>1.2424926303015664E-3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345.13684175043511</v>
      </c>
      <c r="C54" s="22">
        <f t="shared" ref="C54:P54" si="3">(C50)*10^9/3600</f>
        <v>0</v>
      </c>
      <c r="D54" s="22">
        <f t="shared" si="3"/>
        <v>0</v>
      </c>
      <c r="E54" s="22">
        <f t="shared" si="3"/>
        <v>0</v>
      </c>
      <c r="F54" s="22">
        <f t="shared" si="3"/>
        <v>0</v>
      </c>
      <c r="G54" s="22">
        <f t="shared" si="3"/>
        <v>1505.7546720570831</v>
      </c>
      <c r="H54" s="22">
        <f t="shared" si="3"/>
        <v>0</v>
      </c>
      <c r="I54" s="22">
        <f t="shared" si="3"/>
        <v>0</v>
      </c>
      <c r="J54" s="22">
        <f t="shared" si="3"/>
        <v>0</v>
      </c>
      <c r="K54" s="22">
        <f t="shared" si="3"/>
        <v>0</v>
      </c>
      <c r="L54" s="22">
        <f t="shared" si="3"/>
        <v>0</v>
      </c>
      <c r="M54" s="22">
        <f t="shared" si="3"/>
        <v>66.120171547728589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0.21248646609180605</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73.336907821636856</v>
      </c>
      <c r="C58" s="24">
        <f t="shared" ref="C58:P58" ca="1" si="4">C54*C56</f>
        <v>0</v>
      </c>
      <c r="D58" s="24">
        <f t="shared" si="4"/>
        <v>0</v>
      </c>
      <c r="E58" s="24">
        <f t="shared" si="4"/>
        <v>0</v>
      </c>
      <c r="F58" s="24">
        <f t="shared" si="4"/>
        <v>0</v>
      </c>
      <c r="G58" s="24">
        <f t="shared" si="4"/>
        <v>402.0364974392412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18807.313981064621</v>
      </c>
      <c r="D10" s="688">
        <f ca="1">tertiair!C16</f>
        <v>0</v>
      </c>
      <c r="E10" s="688">
        <f ca="1">tertiair!D16</f>
        <v>15508.385563081403</v>
      </c>
      <c r="F10" s="688">
        <f>tertiair!E16</f>
        <v>388.5022678686725</v>
      </c>
      <c r="G10" s="688">
        <f ca="1">tertiair!F16</f>
        <v>3458.3459637399433</v>
      </c>
      <c r="H10" s="688">
        <f>tertiair!G16</f>
        <v>0</v>
      </c>
      <c r="I10" s="688">
        <f>tertiair!H16</f>
        <v>0</v>
      </c>
      <c r="J10" s="688">
        <f>tertiair!I16</f>
        <v>0</v>
      </c>
      <c r="K10" s="688">
        <f>tertiair!J16</f>
        <v>0</v>
      </c>
      <c r="L10" s="688">
        <f>tertiair!K16</f>
        <v>0</v>
      </c>
      <c r="M10" s="688">
        <f ca="1">tertiair!L16</f>
        <v>0</v>
      </c>
      <c r="N10" s="688">
        <f>tertiair!M16</f>
        <v>0</v>
      </c>
      <c r="O10" s="688">
        <f ca="1">tertiair!N16</f>
        <v>447.72068370661196</v>
      </c>
      <c r="P10" s="688">
        <f>tertiair!O16</f>
        <v>0</v>
      </c>
      <c r="Q10" s="689">
        <f>tertiair!P16</f>
        <v>0</v>
      </c>
      <c r="R10" s="691">
        <f ca="1">SUM(C10:Q10)</f>
        <v>38610.268459461251</v>
      </c>
      <c r="S10" s="68"/>
    </row>
    <row r="11" spans="1:19" s="457" customFormat="1">
      <c r="A11" s="803" t="s">
        <v>225</v>
      </c>
      <c r="B11" s="808"/>
      <c r="C11" s="688">
        <f>huishoudens!B8</f>
        <v>39620.192132521712</v>
      </c>
      <c r="D11" s="688">
        <f>huishoudens!C8</f>
        <v>0</v>
      </c>
      <c r="E11" s="688">
        <f>huishoudens!D8</f>
        <v>65474.519612337528</v>
      </c>
      <c r="F11" s="688">
        <f>huishoudens!E8</f>
        <v>1490.751921603747</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5461.9570631191809</v>
      </c>
      <c r="P11" s="688">
        <f>huishoudens!O8</f>
        <v>48.463333333333338</v>
      </c>
      <c r="Q11" s="689">
        <f>huishoudens!P8</f>
        <v>247.86666666666667</v>
      </c>
      <c r="R11" s="691">
        <f>SUM(C11:Q11)</f>
        <v>112343.75072958216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7155.538615188957</v>
      </c>
      <c r="D13" s="688">
        <f>industrie!C18</f>
        <v>0</v>
      </c>
      <c r="E13" s="688">
        <f>industrie!D18</f>
        <v>4187.839810137385</v>
      </c>
      <c r="F13" s="688">
        <f>industrie!E18</f>
        <v>59.415765427753442</v>
      </c>
      <c r="G13" s="688">
        <f>industrie!F18</f>
        <v>2368.339320633514</v>
      </c>
      <c r="H13" s="688">
        <f>industrie!G18</f>
        <v>0</v>
      </c>
      <c r="I13" s="688">
        <f>industrie!H18</f>
        <v>0</v>
      </c>
      <c r="J13" s="688">
        <f>industrie!I18</f>
        <v>0</v>
      </c>
      <c r="K13" s="688">
        <f>industrie!J18</f>
        <v>24.744715250120887</v>
      </c>
      <c r="L13" s="688">
        <f>industrie!K18</f>
        <v>0</v>
      </c>
      <c r="M13" s="688">
        <f>industrie!L18</f>
        <v>0</v>
      </c>
      <c r="N13" s="688">
        <f>industrie!M18</f>
        <v>0</v>
      </c>
      <c r="O13" s="688">
        <f>industrie!N18</f>
        <v>284.01058369872459</v>
      </c>
      <c r="P13" s="688">
        <f>industrie!O18</f>
        <v>0</v>
      </c>
      <c r="Q13" s="689">
        <f>industrie!P18</f>
        <v>0</v>
      </c>
      <c r="R13" s="691">
        <f>SUM(C13:Q13)</f>
        <v>14079.888810336453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65583.04472877529</v>
      </c>
      <c r="D16" s="721">
        <f t="shared" ref="D16:R16" ca="1" si="0">SUM(D9:D15)</f>
        <v>0</v>
      </c>
      <c r="E16" s="721">
        <f t="shared" ca="1" si="0"/>
        <v>85170.744985556317</v>
      </c>
      <c r="F16" s="721">
        <f t="shared" si="0"/>
        <v>1938.669954900173</v>
      </c>
      <c r="G16" s="721">
        <f t="shared" ca="1" si="0"/>
        <v>5826.6852843734578</v>
      </c>
      <c r="H16" s="721">
        <f t="shared" si="0"/>
        <v>0</v>
      </c>
      <c r="I16" s="721">
        <f t="shared" si="0"/>
        <v>0</v>
      </c>
      <c r="J16" s="721">
        <f t="shared" si="0"/>
        <v>0</v>
      </c>
      <c r="K16" s="721">
        <f t="shared" si="0"/>
        <v>24.744715250120887</v>
      </c>
      <c r="L16" s="721">
        <f t="shared" si="0"/>
        <v>0</v>
      </c>
      <c r="M16" s="721">
        <f t="shared" ca="1" si="0"/>
        <v>0</v>
      </c>
      <c r="N16" s="721">
        <f t="shared" si="0"/>
        <v>0</v>
      </c>
      <c r="O16" s="721">
        <f t="shared" ca="1" si="0"/>
        <v>6193.6883305245183</v>
      </c>
      <c r="P16" s="721">
        <f t="shared" si="0"/>
        <v>48.463333333333338</v>
      </c>
      <c r="Q16" s="721">
        <f t="shared" si="0"/>
        <v>247.86666666666667</v>
      </c>
      <c r="R16" s="721">
        <f t="shared" ca="1" si="0"/>
        <v>165033.90799937985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345.13684175043511</v>
      </c>
      <c r="D19" s="688">
        <f>transport!C54</f>
        <v>0</v>
      </c>
      <c r="E19" s="688">
        <f>transport!D54</f>
        <v>0</v>
      </c>
      <c r="F19" s="688">
        <f>transport!E54</f>
        <v>0</v>
      </c>
      <c r="G19" s="688">
        <f>transport!F54</f>
        <v>0</v>
      </c>
      <c r="H19" s="688">
        <f>transport!G54</f>
        <v>1505.7546720570831</v>
      </c>
      <c r="I19" s="688">
        <f>transport!H54</f>
        <v>0</v>
      </c>
      <c r="J19" s="688">
        <f>transport!I54</f>
        <v>0</v>
      </c>
      <c r="K19" s="688">
        <f>transport!J54</f>
        <v>0</v>
      </c>
      <c r="L19" s="688">
        <f>transport!K54</f>
        <v>0</v>
      </c>
      <c r="M19" s="688">
        <f>transport!L54</f>
        <v>0</v>
      </c>
      <c r="N19" s="688">
        <f>transport!M54</f>
        <v>66.120171547728589</v>
      </c>
      <c r="O19" s="688">
        <f>transport!N54</f>
        <v>0</v>
      </c>
      <c r="P19" s="688">
        <f>transport!O54</f>
        <v>0</v>
      </c>
      <c r="Q19" s="689">
        <f>transport!P54</f>
        <v>0</v>
      </c>
      <c r="R19" s="691">
        <f>SUM(C19:Q19)</f>
        <v>1917.0116853552468</v>
      </c>
      <c r="S19" s="68"/>
    </row>
    <row r="20" spans="1:19" s="457" customFormat="1">
      <c r="A20" s="803" t="s">
        <v>307</v>
      </c>
      <c r="B20" s="808"/>
      <c r="C20" s="688">
        <f>transport!B14</f>
        <v>0.66366248931703264</v>
      </c>
      <c r="D20" s="688">
        <f>transport!C14</f>
        <v>0</v>
      </c>
      <c r="E20" s="688">
        <f>transport!D14</f>
        <v>1.8587673920284864</v>
      </c>
      <c r="F20" s="688">
        <f>transport!E14</f>
        <v>107.54453812278642</v>
      </c>
      <c r="G20" s="688">
        <f>transport!F14</f>
        <v>0</v>
      </c>
      <c r="H20" s="688">
        <f>transport!G14</f>
        <v>22027.096464336137</v>
      </c>
      <c r="I20" s="688">
        <f>transport!H14</f>
        <v>4125.6375470904813</v>
      </c>
      <c r="J20" s="688">
        <f>transport!I14</f>
        <v>0</v>
      </c>
      <c r="K20" s="688">
        <f>transport!J14</f>
        <v>0</v>
      </c>
      <c r="L20" s="688">
        <f>transport!K14</f>
        <v>0</v>
      </c>
      <c r="M20" s="688">
        <f>transport!L14</f>
        <v>0</v>
      </c>
      <c r="N20" s="688">
        <f>transport!M14</f>
        <v>1169.5926252233317</v>
      </c>
      <c r="O20" s="688">
        <f>transport!N14</f>
        <v>0</v>
      </c>
      <c r="P20" s="688">
        <f>transport!O14</f>
        <v>0</v>
      </c>
      <c r="Q20" s="689">
        <f>transport!P14</f>
        <v>0</v>
      </c>
      <c r="R20" s="691">
        <f>SUM(C20:Q20)</f>
        <v>27432.393604654084</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345.80050423975212</v>
      </c>
      <c r="D22" s="806">
        <f t="shared" ref="D22:R22" si="1">SUM(D18:D21)</f>
        <v>0</v>
      </c>
      <c r="E22" s="806">
        <f t="shared" si="1"/>
        <v>1.8587673920284864</v>
      </c>
      <c r="F22" s="806">
        <f t="shared" si="1"/>
        <v>107.54453812278642</v>
      </c>
      <c r="G22" s="806">
        <f t="shared" si="1"/>
        <v>0</v>
      </c>
      <c r="H22" s="806">
        <f t="shared" si="1"/>
        <v>23532.851136393219</v>
      </c>
      <c r="I22" s="806">
        <f t="shared" si="1"/>
        <v>4125.6375470904813</v>
      </c>
      <c r="J22" s="806">
        <f t="shared" si="1"/>
        <v>0</v>
      </c>
      <c r="K22" s="806">
        <f t="shared" si="1"/>
        <v>0</v>
      </c>
      <c r="L22" s="806">
        <f t="shared" si="1"/>
        <v>0</v>
      </c>
      <c r="M22" s="806">
        <f t="shared" si="1"/>
        <v>0</v>
      </c>
      <c r="N22" s="806">
        <f t="shared" si="1"/>
        <v>1235.7127967710603</v>
      </c>
      <c r="O22" s="806">
        <f t="shared" si="1"/>
        <v>0</v>
      </c>
      <c r="P22" s="806">
        <f t="shared" si="1"/>
        <v>0</v>
      </c>
      <c r="Q22" s="806">
        <f t="shared" si="1"/>
        <v>0</v>
      </c>
      <c r="R22" s="806">
        <f t="shared" si="1"/>
        <v>29349.40529000933</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65.415674699320007</v>
      </c>
      <c r="D24" s="688">
        <f>+landbouw!C8</f>
        <v>2.0454545454545454</v>
      </c>
      <c r="E24" s="688">
        <f>+landbouw!D8</f>
        <v>41.347694115056854</v>
      </c>
      <c r="F24" s="688">
        <f>+landbouw!E8</f>
        <v>0.61625948560740074</v>
      </c>
      <c r="G24" s="688">
        <f>+landbouw!F8</f>
        <v>213.47305609970988</v>
      </c>
      <c r="H24" s="688">
        <f>+landbouw!G8</f>
        <v>0</v>
      </c>
      <c r="I24" s="688">
        <f>+landbouw!H8</f>
        <v>0</v>
      </c>
      <c r="J24" s="688">
        <f>+landbouw!I8</f>
        <v>0</v>
      </c>
      <c r="K24" s="688">
        <f>+landbouw!J8</f>
        <v>8.0922371420865016</v>
      </c>
      <c r="L24" s="688">
        <f>+landbouw!K8</f>
        <v>0</v>
      </c>
      <c r="M24" s="688">
        <f>+landbouw!L8</f>
        <v>0</v>
      </c>
      <c r="N24" s="688">
        <f>+landbouw!M8</f>
        <v>0</v>
      </c>
      <c r="O24" s="688">
        <f>+landbouw!N8</f>
        <v>0</v>
      </c>
      <c r="P24" s="688">
        <f>+landbouw!O8</f>
        <v>0</v>
      </c>
      <c r="Q24" s="689">
        <f>+landbouw!P8</f>
        <v>0</v>
      </c>
      <c r="R24" s="691">
        <f>SUM(C24:Q24)</f>
        <v>330.99037608723518</v>
      </c>
      <c r="S24" s="68"/>
    </row>
    <row r="25" spans="1:19" s="457" customFormat="1" ht="15" thickBot="1">
      <c r="A25" s="825" t="s">
        <v>912</v>
      </c>
      <c r="B25" s="1001"/>
      <c r="C25" s="1002">
        <f>IF(Onbekend_ele_kWh="---",0,Onbekend_ele_kWh)/1000+IF(REST_rest_ele_kWh="---",0,REST_rest_ele_kWh)/1000</f>
        <v>953.70862593948902</v>
      </c>
      <c r="D25" s="1002"/>
      <c r="E25" s="1002">
        <f>IF(onbekend_gas_kWh="---",0,onbekend_gas_kWh)/1000+IF(REST_rest_gas_kWh="---",0,REST_rest_gas_kWh)/1000</f>
        <v>1605.1530767226</v>
      </c>
      <c r="F25" s="1002"/>
      <c r="G25" s="1002"/>
      <c r="H25" s="1002"/>
      <c r="I25" s="1002"/>
      <c r="J25" s="1002"/>
      <c r="K25" s="1002"/>
      <c r="L25" s="1002"/>
      <c r="M25" s="1002"/>
      <c r="N25" s="1002"/>
      <c r="O25" s="1002"/>
      <c r="P25" s="1002"/>
      <c r="Q25" s="1003"/>
      <c r="R25" s="691">
        <f>SUM(C25:Q25)</f>
        <v>2558.8617026620891</v>
      </c>
      <c r="S25" s="68"/>
    </row>
    <row r="26" spans="1:19" s="457" customFormat="1" ht="15.75" thickBot="1">
      <c r="A26" s="694" t="s">
        <v>913</v>
      </c>
      <c r="B26" s="811"/>
      <c r="C26" s="806">
        <f>SUM(C24:C25)</f>
        <v>1019.124300638809</v>
      </c>
      <c r="D26" s="806">
        <f t="shared" ref="D26:R26" si="2">SUM(D24:D25)</f>
        <v>2.0454545454545454</v>
      </c>
      <c r="E26" s="806">
        <f t="shared" si="2"/>
        <v>1646.5007708376568</v>
      </c>
      <c r="F26" s="806">
        <f t="shared" si="2"/>
        <v>0.61625948560740074</v>
      </c>
      <c r="G26" s="806">
        <f t="shared" si="2"/>
        <v>213.47305609970988</v>
      </c>
      <c r="H26" s="806">
        <f t="shared" si="2"/>
        <v>0</v>
      </c>
      <c r="I26" s="806">
        <f t="shared" si="2"/>
        <v>0</v>
      </c>
      <c r="J26" s="806">
        <f t="shared" si="2"/>
        <v>0</v>
      </c>
      <c r="K26" s="806">
        <f t="shared" si="2"/>
        <v>8.0922371420865016</v>
      </c>
      <c r="L26" s="806">
        <f t="shared" si="2"/>
        <v>0</v>
      </c>
      <c r="M26" s="806">
        <f t="shared" si="2"/>
        <v>0</v>
      </c>
      <c r="N26" s="806">
        <f t="shared" si="2"/>
        <v>0</v>
      </c>
      <c r="O26" s="806">
        <f t="shared" si="2"/>
        <v>0</v>
      </c>
      <c r="P26" s="806">
        <f t="shared" si="2"/>
        <v>0</v>
      </c>
      <c r="Q26" s="806">
        <f t="shared" si="2"/>
        <v>0</v>
      </c>
      <c r="R26" s="806">
        <f t="shared" si="2"/>
        <v>2889.8520787493244</v>
      </c>
      <c r="S26" s="68"/>
    </row>
    <row r="27" spans="1:19" s="457" customFormat="1" ht="17.25" thickTop="1" thickBot="1">
      <c r="A27" s="695" t="s">
        <v>116</v>
      </c>
      <c r="B27" s="798"/>
      <c r="C27" s="696">
        <f ca="1">C22+C16+C26</f>
        <v>66947.969533653857</v>
      </c>
      <c r="D27" s="696">
        <f t="shared" ref="D27:R27" ca="1" si="3">D22+D16+D26</f>
        <v>2.0454545454545454</v>
      </c>
      <c r="E27" s="696">
        <f t="shared" ca="1" si="3"/>
        <v>86819.104523785994</v>
      </c>
      <c r="F27" s="696">
        <f t="shared" si="3"/>
        <v>2046.8307525085668</v>
      </c>
      <c r="G27" s="696">
        <f t="shared" ca="1" si="3"/>
        <v>6040.1583404731673</v>
      </c>
      <c r="H27" s="696">
        <f t="shared" si="3"/>
        <v>23532.851136393219</v>
      </c>
      <c r="I27" s="696">
        <f t="shared" si="3"/>
        <v>4125.6375470904813</v>
      </c>
      <c r="J27" s="696">
        <f t="shared" si="3"/>
        <v>0</v>
      </c>
      <c r="K27" s="696">
        <f t="shared" si="3"/>
        <v>32.836952392207387</v>
      </c>
      <c r="L27" s="696">
        <f t="shared" si="3"/>
        <v>0</v>
      </c>
      <c r="M27" s="696">
        <f t="shared" ca="1" si="3"/>
        <v>0</v>
      </c>
      <c r="N27" s="696">
        <f t="shared" si="3"/>
        <v>1235.7127967710603</v>
      </c>
      <c r="O27" s="696">
        <f t="shared" ca="1" si="3"/>
        <v>6193.6883305245183</v>
      </c>
      <c r="P27" s="696">
        <f t="shared" si="3"/>
        <v>48.463333333333338</v>
      </c>
      <c r="Q27" s="696">
        <f t="shared" si="3"/>
        <v>247.86666666666667</v>
      </c>
      <c r="R27" s="696">
        <f t="shared" ca="1" si="3"/>
        <v>197273.16536813852</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3996.2996845154375</v>
      </c>
      <c r="D40" s="688">
        <f ca="1">tertiair!C20</f>
        <v>0</v>
      </c>
      <c r="E40" s="688">
        <f ca="1">tertiair!D20</f>
        <v>3132.6938837424436</v>
      </c>
      <c r="F40" s="688">
        <f>tertiair!E20</f>
        <v>88.190014806188657</v>
      </c>
      <c r="G40" s="688">
        <f ca="1">tertiair!F20</f>
        <v>923.37837231856486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8140.5619553826355</v>
      </c>
    </row>
    <row r="41" spans="1:18">
      <c r="A41" s="816" t="s">
        <v>225</v>
      </c>
      <c r="B41" s="823"/>
      <c r="C41" s="688">
        <f ca="1">huishoudens!B12</f>
        <v>8418.7546121179148</v>
      </c>
      <c r="D41" s="688">
        <f ca="1">huishoudens!C12</f>
        <v>0</v>
      </c>
      <c r="E41" s="688">
        <f>huishoudens!D12</f>
        <v>13225.852961692182</v>
      </c>
      <c r="F41" s="688">
        <f>huishoudens!E12</f>
        <v>338.40068620405054</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21983.00826001415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1520.4551133249572</v>
      </c>
      <c r="D43" s="688">
        <f ca="1">industrie!C22</f>
        <v>0</v>
      </c>
      <c r="E43" s="688">
        <f>industrie!D22</f>
        <v>845.94364164775186</v>
      </c>
      <c r="F43" s="688">
        <f>industrie!E22</f>
        <v>13.487378752100032</v>
      </c>
      <c r="G43" s="688">
        <f>industrie!F22</f>
        <v>632.34659860914826</v>
      </c>
      <c r="H43" s="688">
        <f>industrie!G22</f>
        <v>0</v>
      </c>
      <c r="I43" s="688">
        <f>industrie!H22</f>
        <v>0</v>
      </c>
      <c r="J43" s="688">
        <f>industrie!I22</f>
        <v>0</v>
      </c>
      <c r="K43" s="688">
        <f>industrie!J22</f>
        <v>8.7596291985427932</v>
      </c>
      <c r="L43" s="688">
        <f>industrie!K22</f>
        <v>0</v>
      </c>
      <c r="M43" s="688">
        <f>industrie!L22</f>
        <v>0</v>
      </c>
      <c r="N43" s="688">
        <f>industrie!M22</f>
        <v>0</v>
      </c>
      <c r="O43" s="688">
        <f>industrie!N22</f>
        <v>0</v>
      </c>
      <c r="P43" s="688">
        <f>industrie!O22</f>
        <v>0</v>
      </c>
      <c r="Q43" s="763">
        <f>industrie!P22</f>
        <v>0</v>
      </c>
      <c r="R43" s="843">
        <f t="shared" ca="1" si="4"/>
        <v>3020.9923615325001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13935.509409958309</v>
      </c>
      <c r="D46" s="721">
        <f t="shared" ref="D46:Q46" ca="1" si="5">SUM(D39:D45)</f>
        <v>0</v>
      </c>
      <c r="E46" s="721">
        <f t="shared" ca="1" si="5"/>
        <v>17204.490487082378</v>
      </c>
      <c r="F46" s="721">
        <f t="shared" si="5"/>
        <v>440.0780797623392</v>
      </c>
      <c r="G46" s="721">
        <f t="shared" ca="1" si="5"/>
        <v>1555.724970927713</v>
      </c>
      <c r="H46" s="721">
        <f t="shared" si="5"/>
        <v>0</v>
      </c>
      <c r="I46" s="721">
        <f t="shared" si="5"/>
        <v>0</v>
      </c>
      <c r="J46" s="721">
        <f t="shared" si="5"/>
        <v>0</v>
      </c>
      <c r="K46" s="721">
        <f t="shared" si="5"/>
        <v>8.7596291985427932</v>
      </c>
      <c r="L46" s="721">
        <f t="shared" si="5"/>
        <v>0</v>
      </c>
      <c r="M46" s="721">
        <f t="shared" ca="1" si="5"/>
        <v>0</v>
      </c>
      <c r="N46" s="721">
        <f t="shared" si="5"/>
        <v>0</v>
      </c>
      <c r="O46" s="721">
        <f t="shared" ca="1" si="5"/>
        <v>0</v>
      </c>
      <c r="P46" s="721">
        <f t="shared" si="5"/>
        <v>0</v>
      </c>
      <c r="Q46" s="721">
        <f t="shared" si="5"/>
        <v>0</v>
      </c>
      <c r="R46" s="721">
        <f ca="1">SUM(R39:R45)</f>
        <v>33144.562576929289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73.336907821636856</v>
      </c>
      <c r="D49" s="688">
        <f ca="1">transport!C58</f>
        <v>0</v>
      </c>
      <c r="E49" s="688">
        <f>transport!D58</f>
        <v>0</v>
      </c>
      <c r="F49" s="688">
        <f>transport!E58</f>
        <v>0</v>
      </c>
      <c r="G49" s="688">
        <f>transport!F58</f>
        <v>0</v>
      </c>
      <c r="H49" s="688">
        <f>transport!G58</f>
        <v>402.0364974392412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475.37340526087803</v>
      </c>
    </row>
    <row r="50" spans="1:18">
      <c r="A50" s="819" t="s">
        <v>307</v>
      </c>
      <c r="B50" s="829"/>
      <c r="C50" s="1008">
        <f ca="1">transport!B18</f>
        <v>0.14101929703266725</v>
      </c>
      <c r="D50" s="1008">
        <f>transport!C18</f>
        <v>0</v>
      </c>
      <c r="E50" s="1008">
        <f>transport!D18</f>
        <v>0.37547101318975429</v>
      </c>
      <c r="F50" s="1008">
        <f>transport!E18</f>
        <v>24.412610153872517</v>
      </c>
      <c r="G50" s="1008">
        <f>transport!F18</f>
        <v>0</v>
      </c>
      <c r="H50" s="1008">
        <f>transport!G18</f>
        <v>5881.234755977749</v>
      </c>
      <c r="I50" s="1008">
        <f>transport!H18</f>
        <v>1027.2837492255298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6933.4476056673739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73.477927118669527</v>
      </c>
      <c r="D52" s="721">
        <f t="shared" ref="D52:Q52" ca="1" si="6">SUM(D48:D51)</f>
        <v>0</v>
      </c>
      <c r="E52" s="721">
        <f t="shared" si="6"/>
        <v>0.37547101318975429</v>
      </c>
      <c r="F52" s="721">
        <f t="shared" si="6"/>
        <v>24.412610153872517</v>
      </c>
      <c r="G52" s="721">
        <f t="shared" si="6"/>
        <v>0</v>
      </c>
      <c r="H52" s="721">
        <f t="shared" si="6"/>
        <v>6283.2712534169905</v>
      </c>
      <c r="I52" s="721">
        <f t="shared" si="6"/>
        <v>1027.2837492255298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7408.8210109282518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13.899945543869675</v>
      </c>
      <c r="D54" s="1008">
        <f ca="1">+landbouw!C12</f>
        <v>0.45909090909090916</v>
      </c>
      <c r="E54" s="1008">
        <f>+landbouw!D12</f>
        <v>8.3522342112414858</v>
      </c>
      <c r="F54" s="1008">
        <f>+landbouw!E12</f>
        <v>0.13989090323287998</v>
      </c>
      <c r="G54" s="1008">
        <f>+landbouw!F12</f>
        <v>56.997305978622542</v>
      </c>
      <c r="H54" s="1008">
        <f>+landbouw!G12</f>
        <v>0</v>
      </c>
      <c r="I54" s="1008">
        <f>+landbouw!H12</f>
        <v>0</v>
      </c>
      <c r="J54" s="1008">
        <f>+landbouw!I12</f>
        <v>0</v>
      </c>
      <c r="K54" s="1008">
        <f>+landbouw!J12</f>
        <v>2.8646519482986212</v>
      </c>
      <c r="L54" s="1008">
        <f>+landbouw!K12</f>
        <v>0</v>
      </c>
      <c r="M54" s="1008">
        <f>+landbouw!L12</f>
        <v>0</v>
      </c>
      <c r="N54" s="1008">
        <f>+landbouw!M12</f>
        <v>0</v>
      </c>
      <c r="O54" s="1008">
        <f>+landbouw!N12</f>
        <v>0</v>
      </c>
      <c r="P54" s="1008">
        <f>+landbouw!O12</f>
        <v>0</v>
      </c>
      <c r="Q54" s="1009">
        <f>+landbouw!P12</f>
        <v>0</v>
      </c>
      <c r="R54" s="720">
        <f ca="1">SUM(C54:Q54)</f>
        <v>82.713119494356107</v>
      </c>
    </row>
    <row r="55" spans="1:18" ht="15" thickBot="1">
      <c r="A55" s="819" t="s">
        <v>912</v>
      </c>
      <c r="B55" s="829"/>
      <c r="C55" s="1008">
        <f ca="1">C25*'EF ele_warmte'!B12</f>
        <v>202.65017560715418</v>
      </c>
      <c r="D55" s="1008"/>
      <c r="E55" s="1008">
        <f>E25*EF_CO2_aardgas</f>
        <v>324.24092149796519</v>
      </c>
      <c r="F55" s="1008"/>
      <c r="G55" s="1008"/>
      <c r="H55" s="1008"/>
      <c r="I55" s="1008"/>
      <c r="J55" s="1008"/>
      <c r="K55" s="1008"/>
      <c r="L55" s="1008"/>
      <c r="M55" s="1008"/>
      <c r="N55" s="1008"/>
      <c r="O55" s="1008"/>
      <c r="P55" s="1008"/>
      <c r="Q55" s="1009"/>
      <c r="R55" s="720">
        <f ca="1">SUM(C55:Q55)</f>
        <v>526.89109710511934</v>
      </c>
    </row>
    <row r="56" spans="1:18" ht="15.75" thickBot="1">
      <c r="A56" s="817" t="s">
        <v>913</v>
      </c>
      <c r="B56" s="830"/>
      <c r="C56" s="721">
        <f ca="1">SUM(C54:C55)</f>
        <v>216.55012115102386</v>
      </c>
      <c r="D56" s="721">
        <f t="shared" ref="D56:Q56" ca="1" si="7">SUM(D54:D55)</f>
        <v>0.45909090909090916</v>
      </c>
      <c r="E56" s="721">
        <f t="shared" si="7"/>
        <v>332.59315570920666</v>
      </c>
      <c r="F56" s="721">
        <f t="shared" si="7"/>
        <v>0.13989090323287998</v>
      </c>
      <c r="G56" s="721">
        <f t="shared" si="7"/>
        <v>56.997305978622542</v>
      </c>
      <c r="H56" s="721">
        <f t="shared" si="7"/>
        <v>0</v>
      </c>
      <c r="I56" s="721">
        <f t="shared" si="7"/>
        <v>0</v>
      </c>
      <c r="J56" s="721">
        <f t="shared" si="7"/>
        <v>0</v>
      </c>
      <c r="K56" s="721">
        <f t="shared" si="7"/>
        <v>2.8646519482986212</v>
      </c>
      <c r="L56" s="721">
        <f t="shared" si="7"/>
        <v>0</v>
      </c>
      <c r="M56" s="721">
        <f t="shared" si="7"/>
        <v>0</v>
      </c>
      <c r="N56" s="721">
        <f t="shared" si="7"/>
        <v>0</v>
      </c>
      <c r="O56" s="721">
        <f t="shared" si="7"/>
        <v>0</v>
      </c>
      <c r="P56" s="721">
        <f t="shared" si="7"/>
        <v>0</v>
      </c>
      <c r="Q56" s="722">
        <f t="shared" si="7"/>
        <v>0</v>
      </c>
      <c r="R56" s="723">
        <f ca="1">SUM(R54:R55)</f>
        <v>609.60421659947542</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14225.537458228002</v>
      </c>
      <c r="D61" s="729">
        <f t="shared" ref="D61:Q61" ca="1" si="8">D46+D52+D56</f>
        <v>0.45909090909090916</v>
      </c>
      <c r="E61" s="729">
        <f t="shared" ca="1" si="8"/>
        <v>17537.459113804776</v>
      </c>
      <c r="F61" s="729">
        <f t="shared" si="8"/>
        <v>464.63058081944456</v>
      </c>
      <c r="G61" s="729">
        <f t="shared" ca="1" si="8"/>
        <v>1612.7222769063355</v>
      </c>
      <c r="H61" s="729">
        <f t="shared" si="8"/>
        <v>6283.2712534169905</v>
      </c>
      <c r="I61" s="729">
        <f t="shared" si="8"/>
        <v>1027.2837492255298</v>
      </c>
      <c r="J61" s="729">
        <f t="shared" si="8"/>
        <v>0</v>
      </c>
      <c r="K61" s="729">
        <f t="shared" si="8"/>
        <v>11.624281146841415</v>
      </c>
      <c r="L61" s="729">
        <f t="shared" si="8"/>
        <v>0</v>
      </c>
      <c r="M61" s="729">
        <f t="shared" ca="1" si="8"/>
        <v>0</v>
      </c>
      <c r="N61" s="729">
        <f t="shared" si="8"/>
        <v>0</v>
      </c>
      <c r="O61" s="729">
        <f t="shared" ca="1" si="8"/>
        <v>0</v>
      </c>
      <c r="P61" s="729">
        <f t="shared" si="8"/>
        <v>0</v>
      </c>
      <c r="Q61" s="729">
        <f t="shared" si="8"/>
        <v>0</v>
      </c>
      <c r="R61" s="729">
        <f ca="1">R46+R52+R56</f>
        <v>41162.987804457014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0.21248646609180602</v>
      </c>
      <c r="D63" s="773">
        <f t="shared" ca="1" si="9"/>
        <v>0.22444444444444447</v>
      </c>
      <c r="E63" s="1010">
        <f t="shared" ca="1" si="9"/>
        <v>0.20200000000000007</v>
      </c>
      <c r="F63" s="773">
        <f t="shared" si="9"/>
        <v>0.22699999999999995</v>
      </c>
      <c r="G63" s="773">
        <f t="shared" ca="1" si="9"/>
        <v>0.26699999999999996</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2579.437225752552</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0.40909090909090912</v>
      </c>
      <c r="D76" s="1020">
        <f>'lokale energieproductie'!C8</f>
        <v>0.45454545454545464</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9.181818181818184E-2</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2579.437225752552</v>
      </c>
      <c r="C78" s="744">
        <f>SUM(C72:C77)</f>
        <v>0.40909090909090912</v>
      </c>
      <c r="D78" s="745">
        <f t="shared" ref="D78:H78" si="10">SUM(D76:D77)</f>
        <v>0.45454545454545464</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9.181818181818184E-2</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2.0454545454545454</v>
      </c>
      <c r="D87" s="766">
        <f>'lokale energieproductie'!C17</f>
        <v>2.2727272727272729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0.45909090909090916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2.0454545454545454</v>
      </c>
      <c r="D90" s="744">
        <f t="shared" ref="D90:H90" si="12">SUM(D87:D89)</f>
        <v>2.2727272727272729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0.45909090909090916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2579.437225752552</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0.40909090909090912</v>
      </c>
      <c r="C8" s="558">
        <f>B101</f>
        <v>0.45454545454545464</v>
      </c>
      <c r="D8" s="991"/>
      <c r="E8" s="991">
        <f>E101</f>
        <v>0</v>
      </c>
      <c r="F8" s="992"/>
      <c r="G8" s="559"/>
      <c r="H8" s="991">
        <f>I101</f>
        <v>0</v>
      </c>
      <c r="I8" s="991">
        <f>G101+F101</f>
        <v>0</v>
      </c>
      <c r="J8" s="991">
        <f>H101+D101+C101</f>
        <v>0</v>
      </c>
      <c r="K8" s="991"/>
      <c r="L8" s="991"/>
      <c r="M8" s="991"/>
      <c r="N8" s="560"/>
      <c r="O8" s="561">
        <f>C8*$C$12+D8*$D$12+E8*$E$12+F8*$F$12+G8*$G$12+H8*$H$12+I8*$I$12+J8*$J$12</f>
        <v>9.181818181818184E-2</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2579.846316661643</v>
      </c>
      <c r="C10" s="570">
        <f t="shared" ref="C10:L10" si="0">SUM(C8:C9)</f>
        <v>0.45454545454545464</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9.181818181818184E-2</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2.0454545454545454</v>
      </c>
      <c r="C17" s="582">
        <f>B102</f>
        <v>2.2727272727272729</v>
      </c>
      <c r="D17" s="583"/>
      <c r="E17" s="583">
        <f>E102</f>
        <v>0</v>
      </c>
      <c r="F17" s="584"/>
      <c r="G17" s="585"/>
      <c r="H17" s="582">
        <f>I102</f>
        <v>0</v>
      </c>
      <c r="I17" s="583">
        <f>G102+F102</f>
        <v>0</v>
      </c>
      <c r="J17" s="583">
        <f>H102+D102+C102</f>
        <v>0</v>
      </c>
      <c r="K17" s="583"/>
      <c r="L17" s="583"/>
      <c r="M17" s="583"/>
      <c r="N17" s="998"/>
      <c r="O17" s="586">
        <f>C17*$C$22+E17*$E$22+H17*$H$22+I17*$I$22+J17*$J$22+D17*$D$22+F17*$F$22+G17*$G$22+K17*$K$22+L17*$L$22</f>
        <v>0.45909090909090916</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2.0454545454545454</v>
      </c>
      <c r="C20" s="569">
        <f>SUM(C17:C19)</f>
        <v>2.2727272727272729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0.45909090909090916</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35002</v>
      </c>
      <c r="C28" s="789">
        <v>8450</v>
      </c>
      <c r="D28" s="642" t="s">
        <v>946</v>
      </c>
      <c r="E28" s="641" t="s">
        <v>947</v>
      </c>
      <c r="F28" s="641" t="s">
        <v>948</v>
      </c>
      <c r="G28" s="641" t="s">
        <v>949</v>
      </c>
      <c r="H28" s="641" t="s">
        <v>949</v>
      </c>
      <c r="I28" s="641" t="s">
        <v>947</v>
      </c>
      <c r="J28" s="788">
        <v>40984</v>
      </c>
      <c r="K28" s="788">
        <v>41214</v>
      </c>
      <c r="L28" s="641" t="s">
        <v>950</v>
      </c>
      <c r="M28" s="641">
        <v>1</v>
      </c>
      <c r="N28" s="641">
        <v>0.40909090909090912</v>
      </c>
      <c r="O28" s="641">
        <v>2.0454545454545454</v>
      </c>
      <c r="P28" s="641">
        <v>2.7272727272727275</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0.40909090909090912</v>
      </c>
      <c r="O58" s="599">
        <f t="shared" ref="O58:W58" si="2">SUM(O28:O57)</f>
        <v>2.0454545454545454</v>
      </c>
      <c r="P58" s="599">
        <f t="shared" si="2"/>
        <v>2.7272727272727275</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0.40909090909090912</v>
      </c>
      <c r="O61" s="604">
        <f t="shared" si="4"/>
        <v>2.0454545454545454</v>
      </c>
      <c r="P61" s="604">
        <f t="shared" si="4"/>
        <v>2.7272727272727275</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0.83333333333333326</v>
      </c>
      <c r="C98" s="624">
        <f>IF(ISERROR(N58/(O58+N58)),0,N58/(N58+O58))</f>
        <v>0.16666666666666669</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0.45454545454545464</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2.2727272727272729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39620.192132521712</v>
      </c>
      <c r="C4" s="461">
        <f>huishoudens!C8</f>
        <v>0</v>
      </c>
      <c r="D4" s="461">
        <f>huishoudens!D8</f>
        <v>65474.519612337528</v>
      </c>
      <c r="E4" s="461">
        <f>huishoudens!E8</f>
        <v>1490.751921603747</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5461.9570631191809</v>
      </c>
      <c r="O4" s="461">
        <f>huishoudens!O8</f>
        <v>48.463333333333338</v>
      </c>
      <c r="P4" s="462">
        <f>huishoudens!P8</f>
        <v>247.86666666666667</v>
      </c>
      <c r="Q4" s="463">
        <f>SUM(B4:P4)</f>
        <v>112343.75072958216</v>
      </c>
    </row>
    <row r="5" spans="1:17">
      <c r="A5" s="460" t="s">
        <v>156</v>
      </c>
      <c r="B5" s="461">
        <f ca="1">tertiair!B16</f>
        <v>17148.529981064621</v>
      </c>
      <c r="C5" s="461">
        <f ca="1">tertiair!C16</f>
        <v>0</v>
      </c>
      <c r="D5" s="461">
        <f ca="1">tertiair!D16</f>
        <v>15508.385563081403</v>
      </c>
      <c r="E5" s="461">
        <f>tertiair!E16</f>
        <v>388.5022678686725</v>
      </c>
      <c r="F5" s="461">
        <f ca="1">tertiair!F16</f>
        <v>3458.3459637399433</v>
      </c>
      <c r="G5" s="461">
        <f>tertiair!G16</f>
        <v>0</v>
      </c>
      <c r="H5" s="461">
        <f>tertiair!H16</f>
        <v>0</v>
      </c>
      <c r="I5" s="461">
        <f>tertiair!I16</f>
        <v>0</v>
      </c>
      <c r="J5" s="461">
        <f>tertiair!J16</f>
        <v>0</v>
      </c>
      <c r="K5" s="461">
        <f>tertiair!K16</f>
        <v>0</v>
      </c>
      <c r="L5" s="461">
        <f ca="1">tertiair!L16</f>
        <v>0</v>
      </c>
      <c r="M5" s="461">
        <f>tertiair!M16</f>
        <v>0</v>
      </c>
      <c r="N5" s="461">
        <f ca="1">tertiair!N16</f>
        <v>447.72068370661196</v>
      </c>
      <c r="O5" s="461">
        <f>tertiair!O16</f>
        <v>0</v>
      </c>
      <c r="P5" s="462">
        <f>tertiair!P16</f>
        <v>0</v>
      </c>
      <c r="Q5" s="460">
        <f t="shared" ref="Q5:Q14" ca="1" si="0">SUM(B5:P5)</f>
        <v>36951.484459461251</v>
      </c>
    </row>
    <row r="6" spans="1:17">
      <c r="A6" s="460" t="s">
        <v>194</v>
      </c>
      <c r="B6" s="461">
        <f>'openbare verlichting'!B8</f>
        <v>1658.7840000000001</v>
      </c>
      <c r="C6" s="461"/>
      <c r="D6" s="461"/>
      <c r="E6" s="461"/>
      <c r="F6" s="461"/>
      <c r="G6" s="461"/>
      <c r="H6" s="461"/>
      <c r="I6" s="461"/>
      <c r="J6" s="461"/>
      <c r="K6" s="461"/>
      <c r="L6" s="461"/>
      <c r="M6" s="461"/>
      <c r="N6" s="461"/>
      <c r="O6" s="461"/>
      <c r="P6" s="462"/>
      <c r="Q6" s="460">
        <f t="shared" si="0"/>
        <v>1658.7840000000001</v>
      </c>
    </row>
    <row r="7" spans="1:17">
      <c r="A7" s="460" t="s">
        <v>112</v>
      </c>
      <c r="B7" s="461">
        <f>landbouw!B8</f>
        <v>65.415674699320007</v>
      </c>
      <c r="C7" s="461">
        <f>landbouw!C8</f>
        <v>2.0454545454545454</v>
      </c>
      <c r="D7" s="461">
        <f>landbouw!D8</f>
        <v>41.347694115056854</v>
      </c>
      <c r="E7" s="461">
        <f>landbouw!E8</f>
        <v>0.61625948560740074</v>
      </c>
      <c r="F7" s="461">
        <f>landbouw!F8</f>
        <v>213.47305609970988</v>
      </c>
      <c r="G7" s="461">
        <f>landbouw!G8</f>
        <v>0</v>
      </c>
      <c r="H7" s="461">
        <f>landbouw!H8</f>
        <v>0</v>
      </c>
      <c r="I7" s="461">
        <f>landbouw!I8</f>
        <v>0</v>
      </c>
      <c r="J7" s="461">
        <f>landbouw!J8</f>
        <v>8.0922371420865016</v>
      </c>
      <c r="K7" s="461">
        <f>landbouw!K8</f>
        <v>0</v>
      </c>
      <c r="L7" s="461">
        <f>landbouw!L8</f>
        <v>0</v>
      </c>
      <c r="M7" s="461">
        <f>landbouw!M8</f>
        <v>0</v>
      </c>
      <c r="N7" s="461">
        <f>landbouw!N8</f>
        <v>0</v>
      </c>
      <c r="O7" s="461">
        <f>landbouw!O8</f>
        <v>0</v>
      </c>
      <c r="P7" s="462">
        <f>landbouw!P8</f>
        <v>0</v>
      </c>
      <c r="Q7" s="460">
        <f t="shared" si="0"/>
        <v>330.99037608723518</v>
      </c>
    </row>
    <row r="8" spans="1:17">
      <c r="A8" s="460" t="s">
        <v>685</v>
      </c>
      <c r="B8" s="461">
        <f>industrie!B18</f>
        <v>7155.538615188957</v>
      </c>
      <c r="C8" s="461">
        <f>industrie!C18</f>
        <v>0</v>
      </c>
      <c r="D8" s="461">
        <f>industrie!D18</f>
        <v>4187.839810137385</v>
      </c>
      <c r="E8" s="461">
        <f>industrie!E18</f>
        <v>59.415765427753442</v>
      </c>
      <c r="F8" s="461">
        <f>industrie!F18</f>
        <v>2368.339320633514</v>
      </c>
      <c r="G8" s="461">
        <f>industrie!G18</f>
        <v>0</v>
      </c>
      <c r="H8" s="461">
        <f>industrie!H18</f>
        <v>0</v>
      </c>
      <c r="I8" s="461">
        <f>industrie!I18</f>
        <v>0</v>
      </c>
      <c r="J8" s="461">
        <f>industrie!J18</f>
        <v>24.744715250120887</v>
      </c>
      <c r="K8" s="461">
        <f>industrie!K18</f>
        <v>0</v>
      </c>
      <c r="L8" s="461">
        <f>industrie!L18</f>
        <v>0</v>
      </c>
      <c r="M8" s="461">
        <f>industrie!M18</f>
        <v>0</v>
      </c>
      <c r="N8" s="461">
        <f>industrie!N18</f>
        <v>284.01058369872459</v>
      </c>
      <c r="O8" s="461">
        <f>industrie!O18</f>
        <v>0</v>
      </c>
      <c r="P8" s="462">
        <f>industrie!P18</f>
        <v>0</v>
      </c>
      <c r="Q8" s="460">
        <f t="shared" si="0"/>
        <v>14079.888810336453</v>
      </c>
    </row>
    <row r="9" spans="1:17" s="466" customFormat="1">
      <c r="A9" s="464" t="s">
        <v>579</v>
      </c>
      <c r="B9" s="465">
        <f>transport!B14</f>
        <v>0.66366248931703264</v>
      </c>
      <c r="C9" s="465">
        <f>transport!C14</f>
        <v>0</v>
      </c>
      <c r="D9" s="465">
        <f>transport!D14</f>
        <v>1.8587673920284864</v>
      </c>
      <c r="E9" s="465">
        <f>transport!E14</f>
        <v>107.54453812278642</v>
      </c>
      <c r="F9" s="465">
        <f>transport!F14</f>
        <v>0</v>
      </c>
      <c r="G9" s="465">
        <f>transport!G14</f>
        <v>22027.096464336137</v>
      </c>
      <c r="H9" s="465">
        <f>transport!H14</f>
        <v>4125.6375470904813</v>
      </c>
      <c r="I9" s="465">
        <f>transport!I14</f>
        <v>0</v>
      </c>
      <c r="J9" s="465">
        <f>transport!J14</f>
        <v>0</v>
      </c>
      <c r="K9" s="465">
        <f>transport!K14</f>
        <v>0</v>
      </c>
      <c r="L9" s="465">
        <f>transport!L14</f>
        <v>0</v>
      </c>
      <c r="M9" s="465">
        <f>transport!M14</f>
        <v>1169.5926252233317</v>
      </c>
      <c r="N9" s="465">
        <f>transport!N14</f>
        <v>0</v>
      </c>
      <c r="O9" s="465">
        <f>transport!O14</f>
        <v>0</v>
      </c>
      <c r="P9" s="465">
        <f>transport!P14</f>
        <v>0</v>
      </c>
      <c r="Q9" s="464">
        <f>SUM(B9:P9)</f>
        <v>27432.393604654084</v>
      </c>
    </row>
    <row r="10" spans="1:17">
      <c r="A10" s="460" t="s">
        <v>569</v>
      </c>
      <c r="B10" s="461">
        <f>transport!B54</f>
        <v>345.13684175043511</v>
      </c>
      <c r="C10" s="461">
        <f>transport!C54</f>
        <v>0</v>
      </c>
      <c r="D10" s="461">
        <f>transport!D54</f>
        <v>0</v>
      </c>
      <c r="E10" s="461">
        <f>transport!E54</f>
        <v>0</v>
      </c>
      <c r="F10" s="461">
        <f>transport!F54</f>
        <v>0</v>
      </c>
      <c r="G10" s="461">
        <f>transport!G54</f>
        <v>1505.7546720570831</v>
      </c>
      <c r="H10" s="461">
        <f>transport!H54</f>
        <v>0</v>
      </c>
      <c r="I10" s="461">
        <f>transport!I54</f>
        <v>0</v>
      </c>
      <c r="J10" s="461">
        <f>transport!J54</f>
        <v>0</v>
      </c>
      <c r="K10" s="461">
        <f>transport!K54</f>
        <v>0</v>
      </c>
      <c r="L10" s="461">
        <f>transport!L54</f>
        <v>0</v>
      </c>
      <c r="M10" s="461">
        <f>transport!M54</f>
        <v>66.120171547728589</v>
      </c>
      <c r="N10" s="461">
        <f>transport!N54</f>
        <v>0</v>
      </c>
      <c r="O10" s="461">
        <f>transport!O54</f>
        <v>0</v>
      </c>
      <c r="P10" s="462">
        <f>transport!P54</f>
        <v>0</v>
      </c>
      <c r="Q10" s="460">
        <f t="shared" si="0"/>
        <v>1917.0116853552468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953.70862593948902</v>
      </c>
      <c r="C14" s="468"/>
      <c r="D14" s="468">
        <f>'SEAP template'!E25</f>
        <v>1605.1530767226</v>
      </c>
      <c r="E14" s="468"/>
      <c r="F14" s="468"/>
      <c r="G14" s="468"/>
      <c r="H14" s="468"/>
      <c r="I14" s="468"/>
      <c r="J14" s="468"/>
      <c r="K14" s="468"/>
      <c r="L14" s="468"/>
      <c r="M14" s="468"/>
      <c r="N14" s="468"/>
      <c r="O14" s="468"/>
      <c r="P14" s="469"/>
      <c r="Q14" s="460">
        <f t="shared" si="0"/>
        <v>2558.8617026620891</v>
      </c>
    </row>
    <row r="15" spans="1:17" s="473" customFormat="1">
      <c r="A15" s="470" t="s">
        <v>573</v>
      </c>
      <c r="B15" s="471">
        <f ca="1">SUM(B4:B14)</f>
        <v>66947.969533653857</v>
      </c>
      <c r="C15" s="471">
        <f t="shared" ref="C15:Q15" ca="1" si="1">SUM(C4:C14)</f>
        <v>2.0454545454545454</v>
      </c>
      <c r="D15" s="471">
        <f t="shared" ca="1" si="1"/>
        <v>86819.104523786009</v>
      </c>
      <c r="E15" s="471">
        <f t="shared" si="1"/>
        <v>2046.8307525085668</v>
      </c>
      <c r="F15" s="471">
        <f t="shared" ca="1" si="1"/>
        <v>6040.1583404731673</v>
      </c>
      <c r="G15" s="471">
        <f t="shared" si="1"/>
        <v>23532.851136393219</v>
      </c>
      <c r="H15" s="471">
        <f t="shared" si="1"/>
        <v>4125.6375470904813</v>
      </c>
      <c r="I15" s="471">
        <f t="shared" si="1"/>
        <v>0</v>
      </c>
      <c r="J15" s="471">
        <f t="shared" si="1"/>
        <v>32.836952392207387</v>
      </c>
      <c r="K15" s="471">
        <f t="shared" si="1"/>
        <v>0</v>
      </c>
      <c r="L15" s="471">
        <f t="shared" ca="1" si="1"/>
        <v>0</v>
      </c>
      <c r="M15" s="471">
        <f t="shared" si="1"/>
        <v>1235.7127967710603</v>
      </c>
      <c r="N15" s="471">
        <f t="shared" ca="1" si="1"/>
        <v>6193.6883305245183</v>
      </c>
      <c r="O15" s="471">
        <f t="shared" si="1"/>
        <v>48.463333333333338</v>
      </c>
      <c r="P15" s="471">
        <f t="shared" si="1"/>
        <v>247.86666666666667</v>
      </c>
      <c r="Q15" s="471">
        <f t="shared" ca="1" si="1"/>
        <v>197273.16536813849</v>
      </c>
    </row>
    <row r="17" spans="1:17">
      <c r="A17" s="474" t="s">
        <v>574</v>
      </c>
      <c r="B17" s="778">
        <f ca="1">huishoudens!B10</f>
        <v>0.21248646609180605</v>
      </c>
      <c r="C17" s="778">
        <f ca="1">huishoudens!C10</f>
        <v>0.22444444444444447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8418.7546121179148</v>
      </c>
      <c r="C22" s="461">
        <f t="shared" ref="C22:C32" ca="1" si="3">C4*$C$17</f>
        <v>0</v>
      </c>
      <c r="D22" s="461">
        <f t="shared" ref="D22:D32" si="4">D4*$D$17</f>
        <v>13225.852961692182</v>
      </c>
      <c r="E22" s="461">
        <f t="shared" ref="E22:E32" si="5">E4*$E$17</f>
        <v>338.40068620405054</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21983.00826001415</v>
      </c>
    </row>
    <row r="23" spans="1:17">
      <c r="A23" s="460" t="s">
        <v>156</v>
      </c>
      <c r="B23" s="461">
        <f t="shared" ca="1" si="2"/>
        <v>3643.8305343458069</v>
      </c>
      <c r="C23" s="461">
        <f t="shared" ca="1" si="3"/>
        <v>0</v>
      </c>
      <c r="D23" s="461">
        <f t="shared" ca="1" si="4"/>
        <v>3132.6938837424436</v>
      </c>
      <c r="E23" s="461">
        <f t="shared" si="5"/>
        <v>88.190014806188657</v>
      </c>
      <c r="F23" s="461">
        <f t="shared" ca="1" si="6"/>
        <v>923.37837231856486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7788.0928052130048</v>
      </c>
    </row>
    <row r="24" spans="1:17">
      <c r="A24" s="460" t="s">
        <v>194</v>
      </c>
      <c r="B24" s="461">
        <f t="shared" ca="1" si="2"/>
        <v>352.46915016963044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352.46915016963044</v>
      </c>
    </row>
    <row r="25" spans="1:17">
      <c r="A25" s="460" t="s">
        <v>112</v>
      </c>
      <c r="B25" s="461">
        <f t="shared" ca="1" si="2"/>
        <v>13.899945543869675</v>
      </c>
      <c r="C25" s="461">
        <f t="shared" ca="1" si="3"/>
        <v>0.45909090909090916</v>
      </c>
      <c r="D25" s="461">
        <f t="shared" si="4"/>
        <v>8.3522342112414858</v>
      </c>
      <c r="E25" s="461">
        <f t="shared" si="5"/>
        <v>0.13989090323287998</v>
      </c>
      <c r="F25" s="461">
        <f t="shared" si="6"/>
        <v>56.997305978622542</v>
      </c>
      <c r="G25" s="461">
        <f t="shared" si="7"/>
        <v>0</v>
      </c>
      <c r="H25" s="461">
        <f t="shared" si="8"/>
        <v>0</v>
      </c>
      <c r="I25" s="461">
        <f t="shared" si="9"/>
        <v>0</v>
      </c>
      <c r="J25" s="461">
        <f t="shared" si="10"/>
        <v>2.8646519482986212</v>
      </c>
      <c r="K25" s="461">
        <f t="shared" si="11"/>
        <v>0</v>
      </c>
      <c r="L25" s="461">
        <f t="shared" si="12"/>
        <v>0</v>
      </c>
      <c r="M25" s="461">
        <f t="shared" si="13"/>
        <v>0</v>
      </c>
      <c r="N25" s="461">
        <f t="shared" si="14"/>
        <v>0</v>
      </c>
      <c r="O25" s="461">
        <f t="shared" si="15"/>
        <v>0</v>
      </c>
      <c r="P25" s="462">
        <f t="shared" si="16"/>
        <v>0</v>
      </c>
      <c r="Q25" s="460">
        <f t="shared" ca="1" si="17"/>
        <v>82.713119494356107</v>
      </c>
    </row>
    <row r="26" spans="1:17">
      <c r="A26" s="460" t="s">
        <v>685</v>
      </c>
      <c r="B26" s="461">
        <f t="shared" ca="1" si="2"/>
        <v>1520.4551133249572</v>
      </c>
      <c r="C26" s="461">
        <f t="shared" ca="1" si="3"/>
        <v>0</v>
      </c>
      <c r="D26" s="461">
        <f t="shared" si="4"/>
        <v>845.94364164775186</v>
      </c>
      <c r="E26" s="461">
        <f t="shared" si="5"/>
        <v>13.487378752100032</v>
      </c>
      <c r="F26" s="461">
        <f t="shared" si="6"/>
        <v>632.34659860914826</v>
      </c>
      <c r="G26" s="461">
        <f t="shared" si="7"/>
        <v>0</v>
      </c>
      <c r="H26" s="461">
        <f t="shared" si="8"/>
        <v>0</v>
      </c>
      <c r="I26" s="461">
        <f t="shared" si="9"/>
        <v>0</v>
      </c>
      <c r="J26" s="461">
        <f t="shared" si="10"/>
        <v>8.7596291985427932</v>
      </c>
      <c r="K26" s="461">
        <f t="shared" si="11"/>
        <v>0</v>
      </c>
      <c r="L26" s="461">
        <f t="shared" si="12"/>
        <v>0</v>
      </c>
      <c r="M26" s="461">
        <f t="shared" si="13"/>
        <v>0</v>
      </c>
      <c r="N26" s="461">
        <f t="shared" si="14"/>
        <v>0</v>
      </c>
      <c r="O26" s="461">
        <f t="shared" si="15"/>
        <v>0</v>
      </c>
      <c r="P26" s="462">
        <f t="shared" si="16"/>
        <v>0</v>
      </c>
      <c r="Q26" s="460">
        <f t="shared" ca="1" si="17"/>
        <v>3020.9923615325001</v>
      </c>
    </row>
    <row r="27" spans="1:17" s="466" customFormat="1">
      <c r="A27" s="464" t="s">
        <v>579</v>
      </c>
      <c r="B27" s="772">
        <f t="shared" ca="1" si="2"/>
        <v>0.14101929703266725</v>
      </c>
      <c r="C27" s="465">
        <f t="shared" ca="1" si="3"/>
        <v>0</v>
      </c>
      <c r="D27" s="465">
        <f t="shared" si="4"/>
        <v>0.37547101318975429</v>
      </c>
      <c r="E27" s="465">
        <f t="shared" si="5"/>
        <v>24.412610153872517</v>
      </c>
      <c r="F27" s="465">
        <f t="shared" si="6"/>
        <v>0</v>
      </c>
      <c r="G27" s="465">
        <f t="shared" si="7"/>
        <v>5881.234755977749</v>
      </c>
      <c r="H27" s="465">
        <f t="shared" si="8"/>
        <v>1027.2837492255298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6933.4476056673739</v>
      </c>
    </row>
    <row r="28" spans="1:17">
      <c r="A28" s="460" t="s">
        <v>569</v>
      </c>
      <c r="B28" s="461">
        <f t="shared" ca="1" si="2"/>
        <v>73.336907821636856</v>
      </c>
      <c r="C28" s="461">
        <f t="shared" ca="1" si="3"/>
        <v>0</v>
      </c>
      <c r="D28" s="461">
        <f t="shared" si="4"/>
        <v>0</v>
      </c>
      <c r="E28" s="461">
        <f t="shared" si="5"/>
        <v>0</v>
      </c>
      <c r="F28" s="461">
        <f t="shared" si="6"/>
        <v>0</v>
      </c>
      <c r="G28" s="461">
        <f t="shared" si="7"/>
        <v>402.0364974392412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475.37340526087803</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202.65017560715418</v>
      </c>
      <c r="C32" s="461">
        <f t="shared" ca="1" si="3"/>
        <v>0</v>
      </c>
      <c r="D32" s="461">
        <f t="shared" si="4"/>
        <v>324.24092149796519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526.89109710511934</v>
      </c>
    </row>
    <row r="33" spans="1:17" s="473" customFormat="1">
      <c r="A33" s="470" t="s">
        <v>573</v>
      </c>
      <c r="B33" s="471">
        <f ca="1">SUM(B22:B32)</f>
        <v>14225.537458228002</v>
      </c>
      <c r="C33" s="471">
        <f t="shared" ref="C33:Q33" ca="1" si="18">SUM(C22:C32)</f>
        <v>0.45909090909090916</v>
      </c>
      <c r="D33" s="471">
        <f t="shared" ca="1" si="18"/>
        <v>17537.459113804773</v>
      </c>
      <c r="E33" s="471">
        <f t="shared" si="18"/>
        <v>464.63058081944456</v>
      </c>
      <c r="F33" s="471">
        <f t="shared" ca="1" si="18"/>
        <v>1612.7222769063355</v>
      </c>
      <c r="G33" s="471">
        <f t="shared" si="18"/>
        <v>6283.2712534169905</v>
      </c>
      <c r="H33" s="471">
        <f t="shared" si="18"/>
        <v>1027.2837492255298</v>
      </c>
      <c r="I33" s="471">
        <f t="shared" si="18"/>
        <v>0</v>
      </c>
      <c r="J33" s="471">
        <f t="shared" si="18"/>
        <v>11.624281146841415</v>
      </c>
      <c r="K33" s="471">
        <f t="shared" si="18"/>
        <v>0</v>
      </c>
      <c r="L33" s="471">
        <f t="shared" ca="1" si="18"/>
        <v>0</v>
      </c>
      <c r="M33" s="471">
        <f t="shared" si="18"/>
        <v>0</v>
      </c>
      <c r="N33" s="471">
        <f t="shared" ca="1" si="18"/>
        <v>0</v>
      </c>
      <c r="O33" s="471">
        <f t="shared" si="18"/>
        <v>0</v>
      </c>
      <c r="P33" s="471">
        <f t="shared" si="18"/>
        <v>0</v>
      </c>
      <c r="Q33" s="471">
        <f t="shared" ca="1" si="18"/>
        <v>41162.987804457014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2579.437225752552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0.40909090909090912</v>
      </c>
      <c r="D8" s="1037">
        <f>'SEAP template'!D76</f>
        <v>0.45454545454545464</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9.181818181818184E-2</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2579.437225752552</v>
      </c>
      <c r="C10" s="1041">
        <f>SUM(C4:C9)</f>
        <v>0.40909090909090912</v>
      </c>
      <c r="D10" s="1041">
        <f t="shared" ref="D10:H10" si="0">SUM(D8:D9)</f>
        <v>0.45454545454545464</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9.181818181818184E-2</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0.21248646609180605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2.0454545454545454</v>
      </c>
      <c r="D17" s="1038">
        <f>'SEAP template'!D87</f>
        <v>2.2727272727272729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0.45909090909090916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2.0454545454545454</v>
      </c>
      <c r="D20" s="1041">
        <f t="shared" ref="D20:H20" si="2">SUM(D17:D19)</f>
        <v>2.2727272727272729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0.45909090909090916</v>
      </c>
    </row>
    <row r="22" spans="1:16">
      <c r="A22" s="474" t="s">
        <v>933</v>
      </c>
      <c r="B22" s="778" t="s">
        <v>927</v>
      </c>
      <c r="C22" s="778">
        <f ca="1">'EF ele_warmte'!B22</f>
        <v>0.22444444444444447</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0.21248646609180605</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2019-06-29T16:13:09Z</dcterms:modified>
</cp:coreProperties>
</file>