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G20" s="1"/>
  <c r="F19"/>
  <c r="E19"/>
  <c r="D19"/>
  <c r="C19"/>
  <c r="B19"/>
  <c r="N18"/>
  <c r="M18"/>
  <c r="L18"/>
  <c r="L20" s="1"/>
  <c r="K18"/>
  <c r="K20" s="1"/>
  <c r="J18"/>
  <c r="I18"/>
  <c r="H18"/>
  <c r="G18"/>
  <c r="F18"/>
  <c r="E18"/>
  <c r="D18"/>
  <c r="D20" s="1"/>
  <c r="C18"/>
  <c r="B18"/>
  <c r="L9"/>
  <c r="L10" s="1"/>
  <c r="K9"/>
  <c r="G9"/>
  <c r="G10" s="1"/>
  <c r="F9"/>
  <c r="E9"/>
  <c r="D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G12"/>
  <c r="F12"/>
  <c r="E12"/>
  <c r="D12"/>
  <c r="C12"/>
  <c r="K10"/>
  <c r="F10"/>
  <c r="D10"/>
  <c r="B8"/>
  <c r="B6"/>
  <c r="B5"/>
  <c r="B4"/>
  <c r="O9" l="1"/>
  <c r="O19"/>
  <c r="C98"/>
  <c r="D101" s="1"/>
  <c r="B10"/>
  <c r="F20"/>
  <c r="O18"/>
  <c r="B17"/>
  <c r="B20" s="1"/>
  <c r="I102"/>
  <c r="H17" s="1"/>
  <c r="H20" s="1"/>
  <c r="E102"/>
  <c r="E17" s="1"/>
  <c r="E20" s="1"/>
  <c r="G102"/>
  <c r="C102"/>
  <c r="H102"/>
  <c r="D102"/>
  <c r="F102"/>
  <c r="B102"/>
  <c r="C17" s="1"/>
  <c r="I101"/>
  <c r="H8" s="1"/>
  <c r="H10" s="1"/>
  <c r="E101"/>
  <c r="E8" s="1"/>
  <c r="E10" s="1"/>
  <c r="G101"/>
  <c r="C101"/>
  <c r="F101"/>
  <c r="B101"/>
  <c r="C8" s="1"/>
  <c r="N6" i="17"/>
  <c r="L6"/>
  <c r="F6"/>
  <c r="D6"/>
  <c r="C6"/>
  <c r="N16" i="16"/>
  <c r="L16"/>
  <c r="F16"/>
  <c r="D16"/>
  <c r="C16"/>
  <c r="B16"/>
  <c r="B13" i="15"/>
  <c r="H101" i="18" l="1"/>
  <c r="C10"/>
  <c r="C20"/>
  <c r="I8"/>
  <c r="I10" s="1"/>
  <c r="I17"/>
  <c r="I20" s="1"/>
  <c r="J8"/>
  <c r="J10" s="1"/>
  <c r="J17"/>
  <c r="J20" s="1"/>
  <c r="B19" i="6"/>
  <c r="B18"/>
  <c r="B5"/>
  <c r="C29" i="14" s="1"/>
  <c r="B6" i="6"/>
  <c r="C64" i="14" s="1"/>
  <c r="D14" i="48"/>
  <c r="P7"/>
  <c r="P25" s="1"/>
  <c r="O7"/>
  <c r="O25" s="1"/>
  <c r="M7"/>
  <c r="K7"/>
  <c r="I7"/>
  <c r="H7"/>
  <c r="G7"/>
  <c r="P10"/>
  <c r="P28" s="1"/>
  <c r="O10"/>
  <c r="N10"/>
  <c r="L10"/>
  <c r="K10"/>
  <c r="J10"/>
  <c r="I10"/>
  <c r="H10"/>
  <c r="F10"/>
  <c r="E10"/>
  <c r="D10"/>
  <c r="C10"/>
  <c r="P9"/>
  <c r="P27" s="1"/>
  <c r="O9"/>
  <c r="O27" s="1"/>
  <c r="N9"/>
  <c r="L9"/>
  <c r="K9"/>
  <c r="J9"/>
  <c r="I9"/>
  <c r="F9"/>
  <c r="C9"/>
  <c r="P13"/>
  <c r="P31" s="1"/>
  <c r="O13"/>
  <c r="O31" s="1"/>
  <c r="N13"/>
  <c r="L13"/>
  <c r="K13"/>
  <c r="J13"/>
  <c r="I13"/>
  <c r="F13"/>
  <c r="E13"/>
  <c r="D13"/>
  <c r="C13"/>
  <c r="B13"/>
  <c r="M8"/>
  <c r="K8"/>
  <c r="I8"/>
  <c r="H8"/>
  <c r="G8"/>
  <c r="B12"/>
  <c r="P17"/>
  <c r="P32" s="1"/>
  <c r="O17"/>
  <c r="O32" s="1"/>
  <c r="M4"/>
  <c r="L4"/>
  <c r="K4"/>
  <c r="I4"/>
  <c r="H4"/>
  <c r="G4"/>
  <c r="P11"/>
  <c r="O11"/>
  <c r="O29" s="1"/>
  <c r="N11"/>
  <c r="M11"/>
  <c r="L11"/>
  <c r="K11"/>
  <c r="J11"/>
  <c r="I11"/>
  <c r="H11"/>
  <c r="G11"/>
  <c r="F11"/>
  <c r="E11"/>
  <c r="D11"/>
  <c r="C11"/>
  <c r="Q11" s="1"/>
  <c r="B11"/>
  <c r="Q12"/>
  <c r="P29"/>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H87" i="14"/>
  <c r="H17" i="56" s="1"/>
  <c r="G87" i="14"/>
  <c r="G17" i="56" s="1"/>
  <c r="F87" i="14"/>
  <c r="F17" i="56" s="1"/>
  <c r="F20" s="1"/>
  <c r="E87" i="14"/>
  <c r="E17" i="56" s="1"/>
  <c r="E20"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H76"/>
  <c r="H8" i="56" s="1"/>
  <c r="G76" i="14"/>
  <c r="G8" i="56" s="1"/>
  <c r="F76" i="14"/>
  <c r="F8" i="56" s="1"/>
  <c r="F10" s="1"/>
  <c r="E76" i="14"/>
  <c r="D76"/>
  <c r="D8" i="56" s="1"/>
  <c r="B75" i="14"/>
  <c r="B7" i="56" s="1"/>
  <c r="B74" i="14"/>
  <c r="B6" i="56" s="1"/>
  <c r="B73" i="14"/>
  <c r="B5" i="56" s="1"/>
  <c r="B72" i="14"/>
  <c r="B4" i="56" s="1"/>
  <c r="Q54" i="14"/>
  <c r="P54"/>
  <c r="L54"/>
  <c r="J54"/>
  <c r="I54"/>
  <c r="H54"/>
  <c r="H56" s="1"/>
  <c r="Q24"/>
  <c r="P24"/>
  <c r="P26" s="1"/>
  <c r="N24"/>
  <c r="L24"/>
  <c r="J24"/>
  <c r="I24"/>
  <c r="H24"/>
  <c r="Q50"/>
  <c r="P50"/>
  <c r="O50"/>
  <c r="M50"/>
  <c r="L50"/>
  <c r="K50"/>
  <c r="J50"/>
  <c r="G50"/>
  <c r="D50"/>
  <c r="Q49"/>
  <c r="Q52" s="1"/>
  <c r="P49"/>
  <c r="P52" s="1"/>
  <c r="Q20"/>
  <c r="P20"/>
  <c r="O20"/>
  <c r="M20"/>
  <c r="L20"/>
  <c r="K20"/>
  <c r="J20"/>
  <c r="G20"/>
  <c r="D20"/>
  <c r="Q19"/>
  <c r="P19"/>
  <c r="O19"/>
  <c r="M19"/>
  <c r="M22" s="1"/>
  <c r="L19"/>
  <c r="L22" s="1"/>
  <c r="K19"/>
  <c r="K22" s="1"/>
  <c r="J19"/>
  <c r="I19"/>
  <c r="G19"/>
  <c r="F19"/>
  <c r="E19"/>
  <c r="D19"/>
  <c r="D22" s="1"/>
  <c r="Q48"/>
  <c r="P48"/>
  <c r="O48"/>
  <c r="M48"/>
  <c r="L48"/>
  <c r="K48"/>
  <c r="J48"/>
  <c r="G48"/>
  <c r="D48"/>
  <c r="Q18"/>
  <c r="Q22" s="1"/>
  <c r="P18"/>
  <c r="P22" s="1"/>
  <c r="O18"/>
  <c r="M18"/>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H90"/>
  <c r="R78"/>
  <c r="P56"/>
  <c r="L56"/>
  <c r="J56"/>
  <c r="Q56"/>
  <c r="I56"/>
  <c r="R44"/>
  <c r="Q26"/>
  <c r="N26"/>
  <c r="J26"/>
  <c r="I26"/>
  <c r="E25"/>
  <c r="C25"/>
  <c r="B14" i="48" s="1"/>
  <c r="Q14" s="1"/>
  <c r="L26" i="14"/>
  <c r="H26"/>
  <c r="O22"/>
  <c r="G22"/>
  <c r="R12"/>
  <c r="F13" i="15"/>
  <c r="D13"/>
  <c r="C13"/>
  <c r="N78" i="14" l="1"/>
  <c r="N8" i="56"/>
  <c r="N10" s="1"/>
  <c r="M78" i="14"/>
  <c r="M8" i="56"/>
  <c r="M10" s="1"/>
  <c r="H78" i="14"/>
  <c r="H9" i="56"/>
  <c r="H10" s="1"/>
  <c r="Q87" i="14"/>
  <c r="P17" i="56" s="1"/>
  <c r="P20" s="1"/>
  <c r="D17"/>
  <c r="O78" i="14"/>
  <c r="O9" i="56"/>
  <c r="O10" s="1"/>
  <c r="G90" i="14"/>
  <c r="G18" i="56"/>
  <c r="G20" s="1"/>
  <c r="O90" i="14"/>
  <c r="O18" i="56"/>
  <c r="F90" i="14"/>
  <c r="L78"/>
  <c r="J76"/>
  <c r="N20" i="56"/>
  <c r="G78" i="14"/>
  <c r="Q89"/>
  <c r="P19" i="56" s="1"/>
  <c r="I76" i="14"/>
  <c r="I8" i="56" s="1"/>
  <c r="I10" s="1"/>
  <c r="I20"/>
  <c r="E8"/>
  <c r="E10" s="1"/>
  <c r="K78" i="14"/>
  <c r="K8" i="56"/>
  <c r="K10" s="1"/>
  <c r="L90" i="14"/>
  <c r="L17" i="56"/>
  <c r="L20" s="1"/>
  <c r="C77" i="14"/>
  <c r="C9" i="56" s="1"/>
  <c r="D9"/>
  <c r="D10" s="1"/>
  <c r="Q88" i="14"/>
  <c r="P18" i="56" s="1"/>
  <c r="D18"/>
  <c r="K90" i="14"/>
  <c r="K18" i="56"/>
  <c r="K20" s="1"/>
  <c r="M20"/>
  <c r="Q76" i="14"/>
  <c r="P8" i="56" s="1"/>
  <c r="L10"/>
  <c r="H20"/>
  <c r="F78" i="14"/>
  <c r="G10" i="56"/>
  <c r="C88" i="14"/>
  <c r="C18" i="56" s="1"/>
  <c r="O20"/>
  <c r="D78" i="14"/>
  <c r="B76"/>
  <c r="B8" i="56" s="1"/>
  <c r="B10" s="1"/>
  <c r="Q77" i="14"/>
  <c r="C87"/>
  <c r="C17" i="56" s="1"/>
  <c r="C20" s="1"/>
  <c r="O17" i="18"/>
  <c r="O20" s="1"/>
  <c r="J87" i="14"/>
  <c r="B88"/>
  <c r="B18" i="56" s="1"/>
  <c r="C89" i="14"/>
  <c r="C19" i="56" s="1"/>
  <c r="B89" i="14"/>
  <c r="B19" i="56" s="1"/>
  <c r="B77" i="14"/>
  <c r="B9" i="56" s="1"/>
  <c r="O8" i="18"/>
  <c r="O10" s="1"/>
  <c r="N13" i="15"/>
  <c r="L13"/>
  <c r="O24" i="48"/>
  <c r="O30"/>
  <c r="P24"/>
  <c r="P30"/>
  <c r="R9" i="14"/>
  <c r="E78"/>
  <c r="I78"/>
  <c r="E55"/>
  <c r="R25"/>
  <c r="B78"/>
  <c r="B4" i="6" s="1"/>
  <c r="E90" i="14"/>
  <c r="I90"/>
  <c r="M90"/>
  <c r="D90"/>
  <c r="Q78" l="1"/>
  <c r="B9" i="6" s="1"/>
  <c r="P9" i="56"/>
  <c r="P10" s="1"/>
  <c r="J8"/>
  <c r="J10" s="1"/>
  <c r="J78" i="14"/>
  <c r="J90"/>
  <c r="J17" i="56"/>
  <c r="J20" s="1"/>
  <c r="Q90" i="14"/>
  <c r="B17" i="6" s="1"/>
  <c r="C76" i="14"/>
  <c r="D20" i="56"/>
  <c r="C90" i="14"/>
  <c r="B87"/>
  <c r="C8" i="56" l="1"/>
  <c r="C10" s="1"/>
  <c r="C78" i="14"/>
  <c r="B90"/>
  <c r="B17" i="56"/>
  <c r="B20" s="1"/>
  <c r="D5" i="17"/>
  <c r="H14" i="15" l="1"/>
  <c r="H16" s="1"/>
  <c r="G14"/>
  <c r="G16" s="1"/>
  <c r="H10" i="14" l="1"/>
  <c r="H16" s="1"/>
  <c r="G5" i="48"/>
  <c r="I10" i="14"/>
  <c r="I16" s="1"/>
  <c r="H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N10" i="14" l="1"/>
  <c r="N16" s="1"/>
  <c r="M5" i="48"/>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C11" i="14" l="1"/>
  <c r="B4" i="48"/>
  <c r="N24"/>
  <c r="N32"/>
  <c r="N30"/>
  <c r="N31"/>
  <c r="N28"/>
  <c r="N29"/>
  <c r="N27"/>
  <c r="C19" i="14"/>
  <c r="B10" i="48"/>
  <c r="E32"/>
  <c r="E28"/>
  <c r="E31"/>
  <c r="E24"/>
  <c r="E30"/>
  <c r="E29"/>
  <c r="M12" i="13"/>
  <c r="N41" i="14" s="1"/>
  <c r="M17" i="48"/>
  <c r="L10" i="14"/>
  <c r="L16" s="1"/>
  <c r="L27" s="1"/>
  <c r="K5" i="48"/>
  <c r="L31"/>
  <c r="L28"/>
  <c r="L32"/>
  <c r="L27"/>
  <c r="L22"/>
  <c r="L24"/>
  <c r="L29"/>
  <c r="L30"/>
  <c r="K27"/>
  <c r="K28"/>
  <c r="K32"/>
  <c r="K31"/>
  <c r="K22"/>
  <c r="K25"/>
  <c r="K29"/>
  <c r="K30"/>
  <c r="K26"/>
  <c r="K24"/>
  <c r="J10" i="14"/>
  <c r="J16" s="1"/>
  <c r="J27" s="1"/>
  <c r="I5" i="48"/>
  <c r="P4"/>
  <c r="Q11" i="14"/>
  <c r="C24"/>
  <c r="C26" s="1"/>
  <c r="B7" i="48"/>
  <c r="O4"/>
  <c r="P11" i="14"/>
  <c r="I22" i="48"/>
  <c r="I29"/>
  <c r="I32"/>
  <c r="I31"/>
  <c r="I25"/>
  <c r="I26"/>
  <c r="I30"/>
  <c r="I28"/>
  <c r="I24"/>
  <c r="I27"/>
  <c r="B38" i="13"/>
  <c r="B50" s="1"/>
  <c r="F30" i="48"/>
  <c r="F24"/>
  <c r="F28"/>
  <c r="F32"/>
  <c r="F31"/>
  <c r="F29"/>
  <c r="F27"/>
  <c r="D30"/>
  <c r="D31"/>
  <c r="D32"/>
  <c r="D28"/>
  <c r="D29"/>
  <c r="D24"/>
  <c r="P5"/>
  <c r="P23" s="1"/>
  <c r="Q10" i="14"/>
  <c r="J32" i="48"/>
  <c r="J29"/>
  <c r="J31"/>
  <c r="J30"/>
  <c r="J27"/>
  <c r="J24"/>
  <c r="J28"/>
  <c r="D4"/>
  <c r="D22" s="1"/>
  <c r="E11" i="14"/>
  <c r="H25" i="48"/>
  <c r="H26"/>
  <c r="H32"/>
  <c r="H29"/>
  <c r="H28"/>
  <c r="H30"/>
  <c r="H22"/>
  <c r="H24"/>
  <c r="H23"/>
  <c r="D11" i="14"/>
  <c r="C4" i="48"/>
  <c r="G26"/>
  <c r="G32"/>
  <c r="G25"/>
  <c r="G22"/>
  <c r="G24"/>
  <c r="G30"/>
  <c r="G29"/>
  <c r="G23"/>
  <c r="N46" i="14"/>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E5" i="17"/>
  <c r="C8"/>
  <c r="G13" i="48" l="1"/>
  <c r="H18" i="14"/>
  <c r="N18"/>
  <c r="M13" i="48"/>
  <c r="M31" s="1"/>
  <c r="J12" i="17"/>
  <c r="K54" i="14" s="1"/>
  <c r="K56" s="1"/>
  <c r="J7" i="48"/>
  <c r="J25" s="1"/>
  <c r="K24" i="14"/>
  <c r="K26" s="1"/>
  <c r="P22" i="48"/>
  <c r="M32"/>
  <c r="M22"/>
  <c r="M26"/>
  <c r="M30"/>
  <c r="M25"/>
  <c r="M24"/>
  <c r="M29"/>
  <c r="M23"/>
  <c r="L46" i="14"/>
  <c r="L61" s="1"/>
  <c r="L63" s="1"/>
  <c r="O22" i="48"/>
  <c r="I15"/>
  <c r="I23"/>
  <c r="O5"/>
  <c r="O23" s="1"/>
  <c r="P10" i="14"/>
  <c r="F4" i="48"/>
  <c r="F22" s="1"/>
  <c r="G11" i="14"/>
  <c r="H13" i="48"/>
  <c r="H31" s="1"/>
  <c r="I18" i="14"/>
  <c r="P8" i="48"/>
  <c r="P26" s="1"/>
  <c r="Q13" i="14"/>
  <c r="K23" i="48"/>
  <c r="K33" s="1"/>
  <c r="K15"/>
  <c r="J46" i="14"/>
  <c r="J61" s="1"/>
  <c r="J63" s="1"/>
  <c r="I33" i="48"/>
  <c r="E52" i="14"/>
  <c r="Q16"/>
  <c r="Q27" s="1"/>
  <c r="F12" i="17"/>
  <c r="G54" i="14" s="1"/>
  <c r="G56" s="1"/>
  <c r="L8" i="48"/>
  <c r="L26" s="1"/>
  <c r="M13" i="14"/>
  <c r="C8" i="48"/>
  <c r="D13" i="14"/>
  <c r="M10"/>
  <c r="L5" i="48"/>
  <c r="L23" s="1"/>
  <c r="C5"/>
  <c r="D10" i="14"/>
  <c r="D16" s="1"/>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G5"/>
  <c r="H5"/>
  <c r="E5" i="15"/>
  <c r="O20"/>
  <c r="P40" i="14" s="1"/>
  <c r="P20" i="15"/>
  <c r="Q40" i="14" s="1"/>
  <c r="Q46" s="1"/>
  <c r="Q61" s="1"/>
  <c r="Q63" s="1"/>
  <c r="J5" i="15"/>
  <c r="F5"/>
  <c r="F16" s="1"/>
  <c r="B5"/>
  <c r="B16" s="1"/>
  <c r="B5" i="16"/>
  <c r="B18" s="1"/>
  <c r="N5" i="15"/>
  <c r="N16" s="1"/>
  <c r="F12" i="13"/>
  <c r="G41" i="14" s="1"/>
  <c r="F13" i="16"/>
  <c r="E13"/>
  <c r="N13"/>
  <c r="J13"/>
  <c r="B47" i="13"/>
  <c r="N12" i="16"/>
  <c r="J12"/>
  <c r="F12"/>
  <c r="E12"/>
  <c r="D18" i="22"/>
  <c r="E50" i="14" s="1"/>
  <c r="B46" i="13"/>
  <c r="E5" s="1"/>
  <c r="E8" s="1"/>
  <c r="C50"/>
  <c r="J5" s="1"/>
  <c r="J8" s="1"/>
  <c r="O11" i="14" l="1"/>
  <c r="N4" i="48"/>
  <c r="N22" s="1"/>
  <c r="P13" i="14"/>
  <c r="O8" i="48"/>
  <c r="O26" s="1"/>
  <c r="B9"/>
  <c r="C20" i="14"/>
  <c r="E12" i="13"/>
  <c r="F41" i="14" s="1"/>
  <c r="F11"/>
  <c r="R11" s="1"/>
  <c r="E4" i="48"/>
  <c r="H19" i="14"/>
  <c r="R19" s="1"/>
  <c r="G10" i="48"/>
  <c r="K11" i="14"/>
  <c r="J4" i="48"/>
  <c r="E7"/>
  <c r="E25" s="1"/>
  <c r="F24" i="14"/>
  <c r="F26" s="1"/>
  <c r="G31" i="48"/>
  <c r="Q13"/>
  <c r="E9"/>
  <c r="E27" s="1"/>
  <c r="F20" i="14"/>
  <c r="F22" s="1"/>
  <c r="R18"/>
  <c r="P46"/>
  <c r="P61" s="1"/>
  <c r="P63" s="1"/>
  <c r="P16"/>
  <c r="P27" s="1"/>
  <c r="P15" i="48"/>
  <c r="M14" i="22"/>
  <c r="P33" i="48"/>
  <c r="E12" i="17"/>
  <c r="F54" i="14" s="1"/>
  <c r="F56" s="1"/>
  <c r="O15" i="48"/>
  <c r="H14" i="22"/>
  <c r="O33" i="48"/>
  <c r="N19" i="14"/>
  <c r="M10" i="48"/>
  <c r="M28" s="1"/>
  <c r="E20" i="14"/>
  <c r="E22" s="1"/>
  <c r="D9" i="48"/>
  <c r="D27" s="1"/>
  <c r="M16" i="14"/>
  <c r="D22" i="16"/>
  <c r="E43" i="14" s="1"/>
  <c r="D8" i="48"/>
  <c r="D26" s="1"/>
  <c r="E13" i="14"/>
  <c r="C13"/>
  <c r="B8" i="48"/>
  <c r="O10" i="14"/>
  <c r="N5" i="48"/>
  <c r="N23" s="1"/>
  <c r="F5"/>
  <c r="G10" i="14"/>
  <c r="D27"/>
  <c r="B20" i="6" s="1"/>
  <c r="B22" s="1"/>
  <c r="C22" i="56" s="1"/>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G18" i="22"/>
  <c r="H50" i="14" s="1"/>
  <c r="G58" i="22"/>
  <c r="H49" i="14" s="1"/>
  <c r="H52" s="1"/>
  <c r="H61" s="1"/>
  <c r="M58" i="22"/>
  <c r="N49" i="14" s="1"/>
  <c r="N52" s="1"/>
  <c r="N61" s="1"/>
  <c r="M18" i="22"/>
  <c r="N50" i="14" s="1"/>
  <c r="N20" i="15"/>
  <c r="O40" i="14" s="1"/>
  <c r="F20" i="15"/>
  <c r="G40" i="14" s="1"/>
  <c r="N5" i="16"/>
  <c r="E5"/>
  <c r="J5"/>
  <c r="C35" i="13"/>
  <c r="F5" i="16"/>
  <c r="C36" i="13"/>
  <c r="N12"/>
  <c r="O41" i="14" s="1"/>
  <c r="C38" i="13"/>
  <c r="C39"/>
  <c r="C32"/>
  <c r="C34"/>
  <c r="J12"/>
  <c r="K41" i="14" s="1"/>
  <c r="L20" i="15"/>
  <c r="M40" i="14" s="1"/>
  <c r="M46" s="1"/>
  <c r="N22" l="1"/>
  <c r="N27" s="1"/>
  <c r="N63" s="1"/>
  <c r="C22"/>
  <c r="E22" i="48"/>
  <c r="Q4"/>
  <c r="K10" i="14"/>
  <c r="J5" i="48"/>
  <c r="J23" s="1"/>
  <c r="M9"/>
  <c r="N20" i="14"/>
  <c r="G28" i="48"/>
  <c r="Q10"/>
  <c r="H9"/>
  <c r="I20" i="14"/>
  <c r="I22" s="1"/>
  <c r="I27" s="1"/>
  <c r="H20"/>
  <c r="R20" s="1"/>
  <c r="R22" s="1"/>
  <c r="G9" i="48"/>
  <c r="E5"/>
  <c r="E23" s="1"/>
  <c r="F10" i="14"/>
  <c r="R10" s="1"/>
  <c r="J22" i="48"/>
  <c r="H18" i="22"/>
  <c r="I50" i="14" s="1"/>
  <c r="I52" s="1"/>
  <c r="I61" s="1"/>
  <c r="I63" s="1"/>
  <c r="E46"/>
  <c r="E61" s="1"/>
  <c r="H22"/>
  <c r="H27" s="1"/>
  <c r="H63" s="1"/>
  <c r="D15" i="48"/>
  <c r="E16" i="14"/>
  <c r="E27" s="1"/>
  <c r="E63" s="1"/>
  <c r="D33" i="48"/>
  <c r="M61" i="14"/>
  <c r="M63" s="1"/>
  <c r="F23" i="48"/>
  <c r="C16" i="14"/>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E8" i="48" l="1"/>
  <c r="F13" i="14"/>
  <c r="F16" s="1"/>
  <c r="F27" s="1"/>
  <c r="G27" i="48"/>
  <c r="G33" s="1"/>
  <c r="G15"/>
  <c r="M27"/>
  <c r="M33" s="1"/>
  <c r="M15"/>
  <c r="C27" i="14"/>
  <c r="B3" i="6" s="1"/>
  <c r="B12" s="1"/>
  <c r="C55" i="14" s="1"/>
  <c r="R55" s="1"/>
  <c r="Q9" i="48"/>
  <c r="K13" i="14"/>
  <c r="K16" s="1"/>
  <c r="K27" s="1"/>
  <c r="K63" s="1"/>
  <c r="J8" i="48"/>
  <c r="J26" s="1"/>
  <c r="Q5"/>
  <c r="J15"/>
  <c r="H27"/>
  <c r="H33" s="1"/>
  <c r="H15"/>
  <c r="J33"/>
  <c r="C12" i="56"/>
  <c r="O13" i="14"/>
  <c r="O16" s="1"/>
  <c r="O27" s="1"/>
  <c r="N8" i="48"/>
  <c r="N22" i="16"/>
  <c r="O43" i="14" s="1"/>
  <c r="O46" s="1"/>
  <c r="O61" s="1"/>
  <c r="F8" i="48"/>
  <c r="G13" i="14"/>
  <c r="C32" i="48"/>
  <c r="C29"/>
  <c r="C22"/>
  <c r="C28"/>
  <c r="C30"/>
  <c r="C31"/>
  <c r="C23"/>
  <c r="C24"/>
  <c r="C27"/>
  <c r="C26"/>
  <c r="C25"/>
  <c r="E22" i="16"/>
  <c r="F43" i="14" s="1"/>
  <c r="F46" s="1"/>
  <c r="F61" s="1"/>
  <c r="J22" i="16"/>
  <c r="K43" i="14" s="1"/>
  <c r="K46" s="1"/>
  <c r="K61" s="1"/>
  <c r="C12" i="13"/>
  <c r="D41" i="14" s="1"/>
  <c r="D46" s="1"/>
  <c r="D61" s="1"/>
  <c r="D63" s="1"/>
  <c r="F63" l="1"/>
  <c r="E26" i="48"/>
  <c r="E33" s="1"/>
  <c r="E15"/>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<sst xmlns="http://schemas.openxmlformats.org/spreadsheetml/2006/main" count="2492" uniqueCount="952">
  <si>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</si>
  <si>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</si>
  <si>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</si>
  <si>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</si>
  <si>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</si>
  <si>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</si>
  <si>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</si>
  <si>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</si>
  <si>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</si>
  <si>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</si>
  <si>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</si>
  <si>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</si>
  <si>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</si>
  <si>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</si>
  <si>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</si>
  <si>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</si>
  <si>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</si>
  <si>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</si>
  <si>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</si>
  <si>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</si>
  <si>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</si>
  <si>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</si>
  <si>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</si>
  <si>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</si>
  <si>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</si>
  <si>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</si>
  <si>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</si>
  <si>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</si>
  <si>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</si>
  <si>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</si>
  <si>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</si>
  <si>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</si>
  <si>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</si>
  <si>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</si>
  <si>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</si>
  <si>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</si>
  <si>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</si>
  <si>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</si>
  <si>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</si>
  <si>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</si>
  <si>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</si>
  <si>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</si>
  <si>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</si>
  <si>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</si>
  <si>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</si>
  <si>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</si>
  <si>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</si>
  <si>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</si>
  <si>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</si>
  <si>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</si>
  <si>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</si>
  <si>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</si>
  <si>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</si>
  <si>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</si>
  <si>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</si>
  <si>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</si>
  <si>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</si>
  <si>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</si>
  <si>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</si>
  <si>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</si>
  <si>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</si>
  <si>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</si>
  <si>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</si>
  <si>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</si>
  <si>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</si>
  <si>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</si>
  <si>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</si>
  <si>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</si>
  <si>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</si>
  <si>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</si>
  <si>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</si>
  <si>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</si>
  <si>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</si>
  <si>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</si>
  <si>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</si>
  <si>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</si>
  <si>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</si>
  <si>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</si>
  <si>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</si>
  <si>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</si>
  <si>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</si>
  <si>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</si>
  <si>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</si>
  <si>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</si>
  <si>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</si>
  <si>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</si>
  <si>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</si>
  <si>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</si>
  <si>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</si>
  <si>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</si>
  <si>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</si>
  <si>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</si>
  <si>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</si>
  <si>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</si>
  <si>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</si>
  <si>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</si>
  <si>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</si>
  <si>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</si>
  <si>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</si>
  <si>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</si>
  <si>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</si>
  <si>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</si>
  <si>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</si>
  <si>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</si>
  <si>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</si>
  <si>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</si>
  <si>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</si>
  <si>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</si>
  <si>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</si>
  <si>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</si>
  <si>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</si>
  <si>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</si>
  <si>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</si>
  <si>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</si>
  <si>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</si>
  <si>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</si>
  <si>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</si>
  <si>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</si>
  <si>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</si>
  <si>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</si>
  <si>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</si>
  <si>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</si>
  <si>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</si>
  <si>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</si>
  <si>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</si>
  <si>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</si>
  <si>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</si>
  <si>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</si>
  <si>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</si>
  <si>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</si>
  <si>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</si>
  <si>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</si>
  <si>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</si>
  <si>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</si>
  <si>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</si>
  <si>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</si>
  <si>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</si>
  <si>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</si>
  <si>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</si>
  <si>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</si>
  <si>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</si>
  <si>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</si>
  <si>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</si>
  <si>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</si>
  <si>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</si>
  <si>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</si>
  <si>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</si>
  <si>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</si>
  <si>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</si>
  <si>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</si>
  <si>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</si>
  <si>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</si>
  <si>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</si>
  <si>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</si>
  <si>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</si>
  <si>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</si>
  <si>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</si>
  <si>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</si>
  <si>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</si>
  <si>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</si>
  <si>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</si>
  <si>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</si>
  <si>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</si>
  <si>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</si>
  <si>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</si>
  <si>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</si>
  <si>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</si>
  <si>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</si>
  <si>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</si>
  <si>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</si>
  <si>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</si>
  <si>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</si>
  <si>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</si>
  <si>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</si>
  <si>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</si>
  <si>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</si>
  <si>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</si>
  <si>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</si>
  <si>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</si>
  <si>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</si>
  <si>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</si>
  <si>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</si>
  <si>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</si>
  <si>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</si>
  <si>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</si>
  <si>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</si>
  <si>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</si>
  <si>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</si>
  <si>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</si>
  <si>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</si>
  <si>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</si>
  <si>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</si>
  <si>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</si>
  <si>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</si>
  <si>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</si>
  <si>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</si>
  <si>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</si>
  <si>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</si>
  <si>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</si>
  <si>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</si>
  <si>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</si>
  <si>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</si>
  <si>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</si>
  <si>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</si>
  <si>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</si>
  <si>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</si>
  <si>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</si>
  <si>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</si>
  <si>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</si>
  <si>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</si>
  <si>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</si>
  <si>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</si>
  <si>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</si>
  <si>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</si>
  <si>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</si>
  <si>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</si>
  <si>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</si>
  <si>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</si>
  <si>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</si>
  <si>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</si>
  <si>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</si>
  <si>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</si>
  <si>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</si>
  <si>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</si>
  <si>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</si>
  <si>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</si>
  <si>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</si>
  <si>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</si>
  <si>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</si>
  <si>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</si>
  <si>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</si>
  <si>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</si>
  <si>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</si>
  <si>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</si>
  <si>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</si>
  <si>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</si>
  <si>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</si>
  <si>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</si>
  <si>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</si>
  <si>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</si>
  <si>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</si>
  <si>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</si>
  <si>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</si>
  <si>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</si>
  <si>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</si>
  <si>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</si>
  <si>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</si>
  <si>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</si>
  <si>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</si>
  <si>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</si>
  <si>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</si>
  <si>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</si>
  <si>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</si>
  <si>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</si>
  <si>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</si>
  <si>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</si>
  <si>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</si>
  <si>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</si>
  <si>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</si>
  <si>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</si>
  <si>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</si>
  <si>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</si>
  <si>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</si>
  <si>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</si>
  <si>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</si>
  <si>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</si>
  <si>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</si>
  <si>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</si>
  <si>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</si>
  <si>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</si>
  <si>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</si>
  <si>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</si>
  <si>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</si>
  <si>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</si>
  <si>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</si>
  <si>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</si>
  <si>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</si>
  <si>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</si>
  <si>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</si>
  <si>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</si>
  <si>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</si>
  <si>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</si>
  <si>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</si>
  <si>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</si>
  <si>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</si>
  <si>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</si>
  <si>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</si>
  <si>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</si>
  <si>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</si>
  <si>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</si>
  <si>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</si>
  <si>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</si>
  <si>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</si>
  <si>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</si>
  <si>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</si>
  <si>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</si>
  <si>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</si>
  <si>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</si>
  <si>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</si>
  <si>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</si>
  <si>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</si>
  <si>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</si>
  <si>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</si>
  <si>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</si>
  <si>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</si>
  <si>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</si>
  <si>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</si>
  <si>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</si>
  <si>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</si>
  <si>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</si>
  <si>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</si>
  <si>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</si>
  <si>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</si>
  <si>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</si>
  <si>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</si>
  <si>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</si>
  <si>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</si>
  <si>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</si>
  <si>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</si>
  <si>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</si>
  <si>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</si>
  <si>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</si>
  <si>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</si>
  <si>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</si>
  <si>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</si>
  <si>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</si>
  <si>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</si>
  <si>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</si>
  <si>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</si>
  <si>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</si>
  <si>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</si>
  <si>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</si>
  <si>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</si>
  <si>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</si>
  <si>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</si>
  <si>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</si>
  <si>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</si>
  <si>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</si>
  <si>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</si>
  <si>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</si>
  <si>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</si>
  <si>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</si>
  <si>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</si>
  <si>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</si>
  <si>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</si>
  <si>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</si>
  <si>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</si>
  <si>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</si>
  <si>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</si>
  <si>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</si>
  <si>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</si>
  <si>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</si>
  <si>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</si>
  <si>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</si>
  <si>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</si>
  <si>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</si>
  <si>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</si>
  <si>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</si>
  <si>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</si>
  <si>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</si>
  <si>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</si>
  <si>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</si>
  <si>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</si>
  <si>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</si>
  <si>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</si>
  <si>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</si>
  <si>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</si>
  <si>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</si>
  <si>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</si>
  <si>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</si>
  <si>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</si>
  <si>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</si>
  <si>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</si>
  <si>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</si>
  <si>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</si>
  <si>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</si>
  <si>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</si>
  <si>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</si>
  <si>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</si>
  <si>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</si>
  <si>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</si>
  <si>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</si>
  <si>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</si>
  <si>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</si>
  <si>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</si>
  <si>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</si>
  <si>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</si>
  <si>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</si>
  <si>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</si>
  <si>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</si>
  <si>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</si>
  <si>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</si>
  <si>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</si>
  <si>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</si>
  <si>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</si>
  <si>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</si>
  <si>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</si>
  <si>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</si>
  <si>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</si>
  <si>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</si>
  <si>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</si>
  <si>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</si>
  <si>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</si>
  <si>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</si>
  <si>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</si>
  <si>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</si>
  <si>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</si>
  <si>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</si>
  <si>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</si>
  <si>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</si>
  <si>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</si>
  <si>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</si>
  <si>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</si>
  <si>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</si>
  <si>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</si>
  <si>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</si>
  <si>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</si>
  <si>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</si>
  <si>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</si>
  <si>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</si>
  <si>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</si>
  <si>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</si>
  <si>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</si>
  <si>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</si>
  <si>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</si>
  <si>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</si>
  <si>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</si>
  <si>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</si>
  <si>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</si>
  <si>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</si>
  <si>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</si>
  <si>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</si>
  <si>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</si>
  <si>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</si>
  <si>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</si>
  <si>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</si>
  <si>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</si>
  <si>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</si>
  <si>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</si>
  <si>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</si>
  <si>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</si>
  <si>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</si>
  <si>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</si>
  <si>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</si>
  <si>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</si>
  <si>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</si>
  <si>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</si>
  <si>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</si>
  <si>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</si>
  <si>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</si>
  <si>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</si>
  <si>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</si>
  <si>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</si>
  <si>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</si>
  <si>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</si>
  <si>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</si>
  <si>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</si>
  <si>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</si>
  <si>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</si>
  <si>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</si>
  <si>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</si>
  <si>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</si>
  <si>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</si>
  <si>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</si>
  <si>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</si>
  <si>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</si>
  <si>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</si>
  <si>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</si>
  <si>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</si>
  <si>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</si>
  <si>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</si>
  <si>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</si>
  <si>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</si>
  <si>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</si>
  <si>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</si>
  <si>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</si>
  <si>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</si>
  <si>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</si>
  <si>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</si>
  <si>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</si>
  <si>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</si>
  <si>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</si>
  <si>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</si>
  <si>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</si>
  <si>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</si>
  <si>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</si>
  <si>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</si>
  <si>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</si>
  <si>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</si>
  <si>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</si>
  <si>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</si>
  <si>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</si>
  <si>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</si>
  <si>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</si>
  <si>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</si>
  <si>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</si>
  <si>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</si>
  <si>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</si>
  <si>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</si>
  <si>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</si>
  <si>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</si>
  <si>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</si>
  <si>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</si>
  <si>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</si>
  <si>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</si>
  <si>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</si>
  <si>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</si>
  <si>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</si>
  <si>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</si>
  <si>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</si>
  <si>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</si>
  <si>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</si>
  <si>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</si>
  <si>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</si>
  <si>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</si>
  <si>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</si>
  <si>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</si>
  <si>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</si>
  <si>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</si>
  <si>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</si>
  <si>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</si>
  <si>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</si>
  <si>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</si>
  <si>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</si>
  <si>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</si>
  <si>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</si>
  <si>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</si>
  <si>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</si>
  <si>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</si>
  <si>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</si>
  <si>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</si>
  <si>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</si>
  <si>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</si>
  <si>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</si>
  <si>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</si>
  <si>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</si>
  <si>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</si>
  <si>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</si>
  <si>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</si>
  <si>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</si>
  <si>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</si>
  <si>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</si>
  <si>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</si>
  <si>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</si>
  <si>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</si>
  <si>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</si>
  <si>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</si>
  <si>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</si>
  <si>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</si>
  <si>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</si>
  <si>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</si>
  <si>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</si>
  <si>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</si>
  <si>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</si>
  <si>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</si>
  <si>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</si>
  <si>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</si>
  <si>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</si>
  <si>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</si>
  <si>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</si>
  <si>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</si>
  <si>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</si>
  <si>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</si>
  <si>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</si>
  <si>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</si>
  <si>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</si>
  <si>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</si>
  <si>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</si>
  <si>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</si>
  <si>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</si>
  <si>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</si>
  <si>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</si>
  <si>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</si>
  <si>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</si>
  <si>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</si>
  <si>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</si>
  <si>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</si>
  <si>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</si>
  <si>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</si>
  <si>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</si>
  <si>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</si>
  <si>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</si>
  <si>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</si>
  <si>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</si>
  <si>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</si>
  <si>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</si>
  <si>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</si>
  <si>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</si>
  <si>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</si>
  <si>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</si>
  <si>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</si>
  <si>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</si>
  <si>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</si>
  <si>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</si>
  <si>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</si>
  <si>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</si>
  <si>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</si>
  <si>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</si>
  <si>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</si>
  <si>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</si>
  <si>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</si>
  <si>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</si>
  <si>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</si>
  <si>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</si>
  <si>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</si>
  <si>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</si>
  <si>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</si>
  <si>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</si>
  <si>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</si>
  <si>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</si>
  <si>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</si>
  <si>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</si>
  <si>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</si>
  <si>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</si>
  <si>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</si>
  <si>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</si>
  <si>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</si>
  <si>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</si>
  <si>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</si>
  <si>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</si>
  <si>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</si>
  <si>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</si>
  <si>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</si>
  <si>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</si>
  <si>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</si>
  <si>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</si>
  <si>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</si>
  <si>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</si>
  <si>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</si>
  <si>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</si>
  <si>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</si>
  <si>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</si>
  <si>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</si>
  <si>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</si>
  <si>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</si>
  <si>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</si>
  <si>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</si>
  <si>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</si>
  <si>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</si>
  <si>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</si>
  <si>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</si>
  <si>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</si>
  <si>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</si>
  <si>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</si>
  <si>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</si>
  <si>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</si>
  <si>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</si>
  <si>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</si>
  <si>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</si>
  <si>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</si>
  <si>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</si>
  <si>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</si>
  <si>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</si>
  <si>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</si>
  <si>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</si>
  <si>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</si>
  <si>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</si>
  <si>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</si>
  <si>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</si>
  <si>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</si>
  <si>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</si>
  <si>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</si>
  <si>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</si>
  <si>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</si>
  <si>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</si>
  <si>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</si>
  <si>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</si>
  <si>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</si>
  <si>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</si>
  <si>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</si>
  <si>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</si>
  <si>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</si>
  <si>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</si>
  <si>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</si>
  <si>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</si>
  <si>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</si>
  <si>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</si>
  <si>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</si>
  <si>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</si>
  <si>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</si>
  <si>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</si>
  <si>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</si>
  <si>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</si>
  <si>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</si>
  <si>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</si>
  <si>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</si>
  <si>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</si>
  <si>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</si>
  <si>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</si>
  <si>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</si>
  <si>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</si>
  <si>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</si>
  <si>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</si>
  <si>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</si>
  <si>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</si>
  <si>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</si>
  <si>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</si>
  <si>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</si>
  <si>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</si>
  <si>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</si>
  <si>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</si>
  <si>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</si>
  <si>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</si>
  <si>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</si>
  <si>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</si>
  <si>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</si>
  <si>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</si>
  <si>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</si>
  <si>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</si>
  <si>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</si>
  <si>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</si>
  <si>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</si>
  <si>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</si>
  <si>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</si>
  <si>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</si>
  <si>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</si>
  <si>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</si>
  <si>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</si>
  <si>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</si>
  <si>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</si>
  <si>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</si>
  <si>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</si>
  <si>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</si>
  <si>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</si>
  <si>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</si>
  <si>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</si>
  <si>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</si>
  <si>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</si>
  <si>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</si>
  <si>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</si>
  <si>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</si>
  <si>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</si>
  <si>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</si>
  <si>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</si>
  <si>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</si>
  <si>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</si>
  <si>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</si>
  <si>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</si>
  <si>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</si>
  <si>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</si>
  <si>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</si>
  <si>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</si>
  <si>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</si>
  <si>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</si>
  <si>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</si>
  <si>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</si>
  <si>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</si>
  <si>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</si>
  <si>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</si>
  <si>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</si>
  <si>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</si>
  <si>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</si>
  <si>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</si>
  <si>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</si>
  <si>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</si>
  <si>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</si>
  <si>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</si>
  <si>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</si>
  <si>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</si>
  <si>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</si>
  <si>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</si>
  <si>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</si>
  <si>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</si>
  <si>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</si>
  <si>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</si>
  <si>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</si>
  <si>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</si>
  <si>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</si>
  <si>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</si>
  <si>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</si>
  <si>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</si>
  <si>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</si>
  <si>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</si>
  <si>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</si>
  <si>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</si>
  <si>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</si>
  <si>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</si>
  <si>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</si>
  <si>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</si>
  <si>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</si>
  <si>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</si>
  <si>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</si>
  <si>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</si>
  <si>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</si>
  <si>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</si>
  <si>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</si>
  <si>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</si>
  <si>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</si>
  <si>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</si>
  <si>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</si>
  <si>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</si>
  <si>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</si>
  <si>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</si>
  <si>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</si>
  <si>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</si>
  <si>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</si>
  <si>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</si>
  <si>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</si>
  <si>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</si>
  <si>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</si>
  <si>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</si>
  <si>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</si>
  <si>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</si>
  <si>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</si>
  <si>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</si>
  <si>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</si>
  <si>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</si>
  <si>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</si>
  <si>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</si>
  <si>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</si>
  <si>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</si>
  <si>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</si>
  <si>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</si>
  <si>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</si>
  <si>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</si>
  <si>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</si>
  <si>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</si>
  <si>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</si>
  <si>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</si>
  <si>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</si>
  <si>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</si>
  <si>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</si>
  <si>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</si>
  <si>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</si>
  <si>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</si>
  <si>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</si>
  <si>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</si>
  <si>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</si>
  <si>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</si>
  <si>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</si>
  <si>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</si>
  <si>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</si>
  <si>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</si>
  <si>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</si>
  <si>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</si>
  <si>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</si>
  <si>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</si>
  <si>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</si>
  <si>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</si>
  <si>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</si>
  <si>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</si>
  <si>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</si>
  <si>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</si>
  <si>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</si>
  <si>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</si>
  <si>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</si>
  <si>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</si>
  <si>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</si>
  <si>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</si>
  <si>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</si>
  <si>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</si>
  <si>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</si>
  <si>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</si>
  <si>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</si>
  <si>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</si>
  <si>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</si>
  <si>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</si>
  <si>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</si>
  <si>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</si>
  <si>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</si>
  <si>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</si>
  <si>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</si>
  <si>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</si>
  <si>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</si>
  <si>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</si>
  <si>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</si>
  <si>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</si>
  <si>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</si>
  <si>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</si>
  <si>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</si>
  <si>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</si>
  <si>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</si>
  <si>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</si>
  <si>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</si>
  <si>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</si>
  <si>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</si>
  <si>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</si>
  <si>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</si>
  <si>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</si>
  <si>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</si>
  <si>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</si>
  <si>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</si>
  <si>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</si>
  <si>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</si>
  <si>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</si>
  <si>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</si>
  <si>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</si>
  <si>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</si>
  <si>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</si>
  <si>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</si>
  <si>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</si>
  <si>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</si>
  <si>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</si>
  <si>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</si>
  <si>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</si>
  <si>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</si>
  <si>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</si>
  <si>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</si>
  <si>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</si>
  <si>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</si>
  <si>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</si>
  <si>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</si>
  <si>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</si>
  <si>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</si>
  <si>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</si>
  <si>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</si>
  <si>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</si>
  <si>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</si>
  <si>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</si>
  <si>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</si>
  <si>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</si>
  <si>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</si>
  <si>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</si>
  <si>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</si>
  <si>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</si>
  <si>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</si>
  <si>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</si>
  <si>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</si>
  <si>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</si>
  <si>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</si>
  <si>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</si>
  <si>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</si>
  <si>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</si>
  <si>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</si>
  <si>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</si>
  <si>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</si>
  <si>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</si>
  <si>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</si>
  <si>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</si>
  <si>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</si>
  <si>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</si>
  <si>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</si>
  <si>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</si>
  <si>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</si>
  <si>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</si>
  <si>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</si>
  <si>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</si>
  <si>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</si>
  <si>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</si>
  <si>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</si>
  <si>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34022</t>
  </si>
  <si>
    <t>KORTRIJK</t>
  </si>
  <si>
    <t>Paarden&amp;pony's 200 - 600 kg</t>
  </si>
  <si>
    <t>Paarden&amp;pony's &lt; 200 kg</t>
  </si>
  <si>
    <t>op basis van VEA (maart 2018) en Inventaris Hernieuwbare Energiebronnen (juni 2018)</t>
  </si>
  <si>
    <t>VEA (juni 2018)</t>
  </si>
  <si>
    <t>AZ Groeninge</t>
  </si>
  <si>
    <t>Reepkaai 4 , 8500 Kortrijk</t>
  </si>
  <si>
    <t>WKK-0217 AZ Groeninge</t>
  </si>
  <si>
    <t>interne verbrandingsmotor</t>
  </si>
  <si>
    <t>WKK interne verbrandinsgmotor (gas)</t>
  </si>
  <si>
    <t>GASELWEST</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</si>
</sst>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34022</v>
      </c>
      <c r="B6" s="397"/>
      <c r="C6" s="398"/>
    </row>
    <row r="7" spans="1:7" s="395" customFormat="1" ht="15.75" customHeight="1">
      <c r="A7" s="399" t="str">
        <f>txtMunicipality</f>
        <v>KORTRIJK</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0.2082481518064335</v>
      </c>
      <c r="C17" s="510">
        <f ca="1">'EF ele_warmte'!B22</f>
        <v>0.23764705882352943</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0.2082481518064335</v>
      </c>
      <c r="C29" s="511">
        <f ca="1">'EF ele_warmte'!B22</f>
        <v>0.23764705882352943</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34022</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32667</v>
      </c>
      <c r="C9" s="338">
        <v>33727</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3602</v>
      </c>
    </row>
    <row r="15" spans="1:6">
      <c r="A15" s="1286" t="s">
        <v>184</v>
      </c>
      <c r="B15" s="335">
        <v>40</v>
      </c>
    </row>
    <row r="16" spans="1:6">
      <c r="A16" s="1286" t="s">
        <v>6</v>
      </c>
      <c r="B16" s="335">
        <v>1004</v>
      </c>
    </row>
    <row r="17" spans="1:6">
      <c r="A17" s="1286" t="s">
        <v>7</v>
      </c>
      <c r="B17" s="335">
        <v>993</v>
      </c>
    </row>
    <row r="18" spans="1:6">
      <c r="A18" s="1286" t="s">
        <v>8</v>
      </c>
      <c r="B18" s="335">
        <v>1218</v>
      </c>
    </row>
    <row r="19" spans="1:6">
      <c r="A19" s="1286" t="s">
        <v>9</v>
      </c>
      <c r="B19" s="335">
        <v>1189</v>
      </c>
    </row>
    <row r="20" spans="1:6">
      <c r="A20" s="1286" t="s">
        <v>10</v>
      </c>
      <c r="B20" s="335">
        <v>1296</v>
      </c>
    </row>
    <row r="21" spans="1:6">
      <c r="A21" s="1286" t="s">
        <v>11</v>
      </c>
      <c r="B21" s="335">
        <v>2546</v>
      </c>
    </row>
    <row r="22" spans="1:6">
      <c r="A22" s="1286" t="s">
        <v>12</v>
      </c>
      <c r="B22" s="335">
        <v>10612</v>
      </c>
    </row>
    <row r="23" spans="1:6">
      <c r="A23" s="1286" t="s">
        <v>13</v>
      </c>
      <c r="B23" s="335">
        <v>129</v>
      </c>
    </row>
    <row r="24" spans="1:6">
      <c r="A24" s="1286" t="s">
        <v>14</v>
      </c>
      <c r="B24" s="335">
        <v>7</v>
      </c>
    </row>
    <row r="25" spans="1:6">
      <c r="A25" s="1286" t="s">
        <v>15</v>
      </c>
      <c r="B25" s="335">
        <v>694</v>
      </c>
    </row>
    <row r="26" spans="1:6">
      <c r="A26" s="1286" t="s">
        <v>16</v>
      </c>
      <c r="B26" s="335">
        <v>47</v>
      </c>
    </row>
    <row r="27" spans="1:6">
      <c r="A27" s="1286" t="s">
        <v>17</v>
      </c>
      <c r="B27" s="335">
        <v>10</v>
      </c>
    </row>
    <row r="28" spans="1:6" s="341" customFormat="1">
      <c r="A28" s="1287" t="s">
        <v>18</v>
      </c>
      <c r="B28" s="1287">
        <v>143502</v>
      </c>
    </row>
    <row r="29" spans="1:6">
      <c r="A29" s="1287" t="s">
        <v>942</v>
      </c>
      <c r="B29" s="1287">
        <v>211</v>
      </c>
      <c r="C29" s="341"/>
      <c r="D29" s="341"/>
      <c r="E29" s="341"/>
      <c r="F29" s="341"/>
    </row>
    <row r="30" spans="1:6">
      <c r="A30" s="1282" t="s">
        <v>943</v>
      </c>
      <c r="B30" s="1282">
        <v>57</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5</v>
      </c>
      <c r="D36" s="335">
        <v>901708.63173164194</v>
      </c>
      <c r="E36" s="335">
        <v>12</v>
      </c>
      <c r="F36" s="335">
        <v>1515953.81580256</v>
      </c>
    </row>
    <row r="37" spans="1:6">
      <c r="A37" s="1286" t="s">
        <v>25</v>
      </c>
      <c r="B37" s="1286" t="s">
        <v>28</v>
      </c>
      <c r="C37" s="335">
        <v>0</v>
      </c>
      <c r="D37" s="335">
        <v>0</v>
      </c>
      <c r="E37" s="335">
        <v>0</v>
      </c>
      <c r="F37" s="335">
        <v>0</v>
      </c>
    </row>
    <row r="38" spans="1:6">
      <c r="A38" s="1286" t="s">
        <v>25</v>
      </c>
      <c r="B38" s="1286" t="s">
        <v>29</v>
      </c>
      <c r="C38" s="335">
        <v>5</v>
      </c>
      <c r="D38" s="335">
        <v>366405.90918926802</v>
      </c>
      <c r="E38" s="335">
        <v>9</v>
      </c>
      <c r="F38" s="335">
        <v>51544.991250082203</v>
      </c>
    </row>
    <row r="39" spans="1:6">
      <c r="A39" s="1286" t="s">
        <v>30</v>
      </c>
      <c r="B39" s="1286" t="s">
        <v>31</v>
      </c>
      <c r="C39" s="335">
        <v>24671</v>
      </c>
      <c r="D39" s="335">
        <v>405153936.16190398</v>
      </c>
      <c r="E39" s="335">
        <v>31630</v>
      </c>
      <c r="F39" s="335">
        <v>116887651.02877299</v>
      </c>
    </row>
    <row r="40" spans="1:6">
      <c r="A40" s="1286" t="s">
        <v>30</v>
      </c>
      <c r="B40" s="1286" t="s">
        <v>29</v>
      </c>
      <c r="C40" s="335">
        <v>0</v>
      </c>
      <c r="D40" s="335">
        <v>0</v>
      </c>
      <c r="E40" s="335">
        <v>2</v>
      </c>
      <c r="F40" s="335">
        <v>21386.973359819502</v>
      </c>
    </row>
    <row r="41" spans="1:6">
      <c r="A41" s="1286" t="s">
        <v>32</v>
      </c>
      <c r="B41" s="1286" t="s">
        <v>33</v>
      </c>
      <c r="C41" s="335">
        <v>392</v>
      </c>
      <c r="D41" s="335">
        <v>10711710.7555252</v>
      </c>
      <c r="E41" s="335">
        <v>737</v>
      </c>
      <c r="F41" s="335">
        <v>15064436.195761699</v>
      </c>
    </row>
    <row r="42" spans="1:6">
      <c r="A42" s="1286" t="s">
        <v>32</v>
      </c>
      <c r="B42" s="1286" t="s">
        <v>34</v>
      </c>
      <c r="C42" s="335">
        <v>0</v>
      </c>
      <c r="D42" s="335">
        <v>0</v>
      </c>
      <c r="E42" s="335">
        <v>0</v>
      </c>
      <c r="F42" s="335">
        <v>0</v>
      </c>
    </row>
    <row r="43" spans="1:6">
      <c r="A43" s="1286" t="s">
        <v>32</v>
      </c>
      <c r="B43" s="1286" t="s">
        <v>35</v>
      </c>
      <c r="C43" s="335">
        <v>3</v>
      </c>
      <c r="D43" s="335">
        <v>129798.100654878</v>
      </c>
      <c r="E43" s="335">
        <v>6</v>
      </c>
      <c r="F43" s="335">
        <v>315328.10203457001</v>
      </c>
    </row>
    <row r="44" spans="1:6">
      <c r="A44" s="1286" t="s">
        <v>32</v>
      </c>
      <c r="B44" s="1286" t="s">
        <v>36</v>
      </c>
      <c r="C44" s="335">
        <v>13</v>
      </c>
      <c r="D44" s="335">
        <v>6795799.2951657902</v>
      </c>
      <c r="E44" s="335">
        <v>67</v>
      </c>
      <c r="F44" s="335">
        <v>12627447.1929961</v>
      </c>
    </row>
    <row r="45" spans="1:6">
      <c r="A45" s="1286" t="s">
        <v>32</v>
      </c>
      <c r="B45" s="1286" t="s">
        <v>37</v>
      </c>
      <c r="C45" s="335">
        <v>18</v>
      </c>
      <c r="D45" s="335">
        <v>842735.13951376197</v>
      </c>
      <c r="E45" s="335">
        <v>18</v>
      </c>
      <c r="F45" s="335">
        <v>124743.808297376</v>
      </c>
    </row>
    <row r="46" spans="1:6">
      <c r="A46" s="1286" t="s">
        <v>32</v>
      </c>
      <c r="B46" s="1286" t="s">
        <v>38</v>
      </c>
      <c r="C46" s="335">
        <v>0</v>
      </c>
      <c r="D46" s="335">
        <v>0</v>
      </c>
      <c r="E46" s="335">
        <v>3</v>
      </c>
      <c r="F46" s="335">
        <v>43283.9480179448</v>
      </c>
    </row>
    <row r="47" spans="1:6">
      <c r="A47" s="1286" t="s">
        <v>32</v>
      </c>
      <c r="B47" s="1286" t="s">
        <v>39</v>
      </c>
      <c r="C47" s="335">
        <v>35</v>
      </c>
      <c r="D47" s="335">
        <v>14151616.3280042</v>
      </c>
      <c r="E47" s="335">
        <v>37</v>
      </c>
      <c r="F47" s="335">
        <v>11624768.465471899</v>
      </c>
    </row>
    <row r="48" spans="1:6">
      <c r="A48" s="1286" t="s">
        <v>32</v>
      </c>
      <c r="B48" s="1286" t="s">
        <v>29</v>
      </c>
      <c r="C48" s="335">
        <v>109</v>
      </c>
      <c r="D48" s="335">
        <v>192157693.75571501</v>
      </c>
      <c r="E48" s="335">
        <v>133</v>
      </c>
      <c r="F48" s="335">
        <v>58447625.173831798</v>
      </c>
    </row>
    <row r="49" spans="1:6">
      <c r="A49" s="1286" t="s">
        <v>32</v>
      </c>
      <c r="B49" s="1286" t="s">
        <v>40</v>
      </c>
      <c r="C49" s="335">
        <v>7</v>
      </c>
      <c r="D49" s="335">
        <v>843614.38880667696</v>
      </c>
      <c r="E49" s="335">
        <v>44</v>
      </c>
      <c r="F49" s="335">
        <v>6076590.92491809</v>
      </c>
    </row>
    <row r="50" spans="1:6">
      <c r="A50" s="1286" t="s">
        <v>32</v>
      </c>
      <c r="B50" s="1286" t="s">
        <v>41</v>
      </c>
      <c r="C50" s="335">
        <v>70</v>
      </c>
      <c r="D50" s="335">
        <v>3500555.3616582998</v>
      </c>
      <c r="E50" s="335">
        <v>98</v>
      </c>
      <c r="F50" s="335">
        <v>7532504.48913767</v>
      </c>
    </row>
    <row r="51" spans="1:6">
      <c r="A51" s="1286" t="s">
        <v>42</v>
      </c>
      <c r="B51" s="1286" t="s">
        <v>43</v>
      </c>
      <c r="C51" s="335">
        <v>7</v>
      </c>
      <c r="D51" s="335">
        <v>189367.053251217</v>
      </c>
      <c r="E51" s="335">
        <v>114</v>
      </c>
      <c r="F51" s="335">
        <v>1800966.5491883999</v>
      </c>
    </row>
    <row r="52" spans="1:6">
      <c r="A52" s="1286" t="s">
        <v>42</v>
      </c>
      <c r="B52" s="1286" t="s">
        <v>29</v>
      </c>
      <c r="C52" s="335">
        <v>10</v>
      </c>
      <c r="D52" s="335">
        <v>638474.97805755003</v>
      </c>
      <c r="E52" s="335">
        <v>18</v>
      </c>
      <c r="F52" s="335">
        <v>593712.71522557898</v>
      </c>
    </row>
    <row r="53" spans="1:6">
      <c r="A53" s="1286" t="s">
        <v>44</v>
      </c>
      <c r="B53" s="1286" t="s">
        <v>45</v>
      </c>
      <c r="C53" s="335">
        <v>807</v>
      </c>
      <c r="D53" s="335">
        <v>41218105.6268204</v>
      </c>
      <c r="E53" s="335">
        <v>1236</v>
      </c>
      <c r="F53" s="335">
        <v>7264893.0114978896</v>
      </c>
    </row>
    <row r="54" spans="1:6">
      <c r="A54" s="1286" t="s">
        <v>46</v>
      </c>
      <c r="B54" s="1286" t="s">
        <v>47</v>
      </c>
      <c r="C54" s="335">
        <v>0</v>
      </c>
      <c r="D54" s="335">
        <v>0</v>
      </c>
      <c r="E54" s="335">
        <v>3</v>
      </c>
      <c r="F54" s="335">
        <v>6717493</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312</v>
      </c>
      <c r="D57" s="335">
        <v>30788901.054334398</v>
      </c>
      <c r="E57" s="335">
        <v>515</v>
      </c>
      <c r="F57" s="335">
        <v>18074381.083900802</v>
      </c>
    </row>
    <row r="58" spans="1:6">
      <c r="A58" s="1286" t="s">
        <v>49</v>
      </c>
      <c r="B58" s="1286" t="s">
        <v>51</v>
      </c>
      <c r="C58" s="335">
        <v>227</v>
      </c>
      <c r="D58" s="335">
        <v>36586960.964479797</v>
      </c>
      <c r="E58" s="335">
        <v>437</v>
      </c>
      <c r="F58" s="335">
        <v>27073525.260226302</v>
      </c>
    </row>
    <row r="59" spans="1:6">
      <c r="A59" s="1286" t="s">
        <v>49</v>
      </c>
      <c r="B59" s="1286" t="s">
        <v>52</v>
      </c>
      <c r="C59" s="335">
        <v>763</v>
      </c>
      <c r="D59" s="335">
        <v>46276784.615573801</v>
      </c>
      <c r="E59" s="335">
        <v>1428</v>
      </c>
      <c r="F59" s="335">
        <v>45138618.832321599</v>
      </c>
    </row>
    <row r="60" spans="1:6">
      <c r="A60" s="1286" t="s">
        <v>49</v>
      </c>
      <c r="B60" s="1286" t="s">
        <v>53</v>
      </c>
      <c r="C60" s="335">
        <v>389</v>
      </c>
      <c r="D60" s="335">
        <v>26190418.049548201</v>
      </c>
      <c r="E60" s="335">
        <v>461</v>
      </c>
      <c r="F60" s="335">
        <v>16931053.262343001</v>
      </c>
    </row>
    <row r="61" spans="1:6">
      <c r="A61" s="1286" t="s">
        <v>49</v>
      </c>
      <c r="B61" s="1286" t="s">
        <v>54</v>
      </c>
      <c r="C61" s="335">
        <v>1238</v>
      </c>
      <c r="D61" s="335">
        <v>65257595.777004801</v>
      </c>
      <c r="E61" s="335">
        <v>2559</v>
      </c>
      <c r="F61" s="335">
        <v>49370997.727508701</v>
      </c>
    </row>
    <row r="62" spans="1:6">
      <c r="A62" s="1286" t="s">
        <v>49</v>
      </c>
      <c r="B62" s="1286" t="s">
        <v>55</v>
      </c>
      <c r="C62" s="335">
        <v>96</v>
      </c>
      <c r="D62" s="335">
        <v>16237956.007133299</v>
      </c>
      <c r="E62" s="335">
        <v>108</v>
      </c>
      <c r="F62" s="335">
        <v>7452609.4948084503</v>
      </c>
    </row>
    <row r="63" spans="1:6">
      <c r="A63" s="1286" t="s">
        <v>49</v>
      </c>
      <c r="B63" s="1286" t="s">
        <v>29</v>
      </c>
      <c r="C63" s="335">
        <v>278</v>
      </c>
      <c r="D63" s="335">
        <v>15475774.9763165</v>
      </c>
      <c r="E63" s="335">
        <v>291</v>
      </c>
      <c r="F63" s="335">
        <v>14728132.9395434</v>
      </c>
    </row>
    <row r="64" spans="1:6">
      <c r="A64" s="1286" t="s">
        <v>56</v>
      </c>
      <c r="B64" s="1286" t="s">
        <v>57</v>
      </c>
      <c r="C64" s="335">
        <v>0</v>
      </c>
      <c r="D64" s="335">
        <v>0</v>
      </c>
      <c r="E64" s="335">
        <v>0</v>
      </c>
      <c r="F64" s="335">
        <v>0</v>
      </c>
    </row>
    <row r="65" spans="1:6">
      <c r="A65" s="1286" t="s">
        <v>56</v>
      </c>
      <c r="B65" s="1286" t="s">
        <v>29</v>
      </c>
      <c r="C65" s="335">
        <v>6</v>
      </c>
      <c r="D65" s="335">
        <v>190036.138855103</v>
      </c>
      <c r="E65" s="335">
        <v>11</v>
      </c>
      <c r="F65" s="335">
        <v>127089.99843238101</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15</v>
      </c>
      <c r="D68" s="335">
        <v>355445.861445171</v>
      </c>
      <c r="E68" s="335">
        <v>41</v>
      </c>
      <c r="F68" s="335">
        <v>926012.45155268896</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233678031</v>
      </c>
      <c r="E73" s="335">
        <v>253109918.82630807</v>
      </c>
    </row>
    <row r="74" spans="1:6">
      <c r="A74" s="1286" t="s">
        <v>64</v>
      </c>
      <c r="B74" s="1286" t="s">
        <v>772</v>
      </c>
      <c r="C74" s="1297" t="s">
        <v>766</v>
      </c>
      <c r="D74" s="335">
        <v>28397739.597288422</v>
      </c>
      <c r="E74" s="335">
        <v>31682048.807795122</v>
      </c>
    </row>
    <row r="75" spans="1:6">
      <c r="A75" s="1286" t="s">
        <v>65</v>
      </c>
      <c r="B75" s="1286" t="s">
        <v>771</v>
      </c>
      <c r="C75" s="1297" t="s">
        <v>767</v>
      </c>
      <c r="D75" s="335">
        <v>90269965</v>
      </c>
      <c r="E75" s="335">
        <v>97813662.295590684</v>
      </c>
    </row>
    <row r="76" spans="1:6">
      <c r="A76" s="1286" t="s">
        <v>65</v>
      </c>
      <c r="B76" s="1286" t="s">
        <v>772</v>
      </c>
      <c r="C76" s="1297" t="s">
        <v>768</v>
      </c>
      <c r="D76" s="335">
        <v>2526257.5972884232</v>
      </c>
      <c r="E76" s="335">
        <v>2935032.2358835414</v>
      </c>
    </row>
    <row r="77" spans="1:6">
      <c r="A77" s="1286" t="s">
        <v>66</v>
      </c>
      <c r="B77" s="1286" t="s">
        <v>771</v>
      </c>
      <c r="C77" s="1297" t="s">
        <v>769</v>
      </c>
      <c r="D77" s="335">
        <v>257421319</v>
      </c>
      <c r="E77" s="335">
        <v>283383836.19807971</v>
      </c>
    </row>
    <row r="78" spans="1:6">
      <c r="A78" s="1282" t="s">
        <v>66</v>
      </c>
      <c r="B78" s="1282" t="s">
        <v>772</v>
      </c>
      <c r="C78" s="1282" t="s">
        <v>770</v>
      </c>
      <c r="D78" s="1282">
        <v>73255058</v>
      </c>
      <c r="E78" s="1282">
        <v>77161440.543255657</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3103778.805423154</v>
      </c>
      <c r="C83" s="335">
        <v>2929496.4611526704</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9932.805633004109</v>
      </c>
    </row>
    <row r="91" spans="1:6">
      <c r="A91" s="1286" t="s">
        <v>68</v>
      </c>
      <c r="B91" s="335">
        <v>7827.8117196276753</v>
      </c>
    </row>
    <row r="92" spans="1:6">
      <c r="A92" s="1282" t="s">
        <v>69</v>
      </c>
      <c r="B92" s="338">
        <v>7878.3271419672974</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19024</v>
      </c>
    </row>
    <row r="98" spans="1:6">
      <c r="A98" s="1286" t="s">
        <v>72</v>
      </c>
      <c r="B98" s="335">
        <v>7</v>
      </c>
    </row>
    <row r="99" spans="1:6">
      <c r="A99" s="1286" t="s">
        <v>73</v>
      </c>
      <c r="B99" s="335">
        <v>196</v>
      </c>
    </row>
    <row r="100" spans="1:6">
      <c r="A100" s="1286" t="s">
        <v>74</v>
      </c>
      <c r="B100" s="335">
        <v>2575</v>
      </c>
    </row>
    <row r="101" spans="1:6">
      <c r="A101" s="1286" t="s">
        <v>75</v>
      </c>
      <c r="B101" s="335">
        <v>278</v>
      </c>
    </row>
    <row r="102" spans="1:6">
      <c r="A102" s="1286" t="s">
        <v>76</v>
      </c>
      <c r="B102" s="335">
        <v>715</v>
      </c>
    </row>
    <row r="103" spans="1:6">
      <c r="A103" s="1286" t="s">
        <v>77</v>
      </c>
      <c r="B103" s="335">
        <v>618</v>
      </c>
    </row>
    <row r="104" spans="1:6">
      <c r="A104" s="1286" t="s">
        <v>78</v>
      </c>
      <c r="B104" s="335">
        <v>6763</v>
      </c>
    </row>
    <row r="105" spans="1:6">
      <c r="A105" s="1282" t="s">
        <v>79</v>
      </c>
      <c r="B105" s="1282">
        <v>22</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2</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19</v>
      </c>
      <c r="C123" s="335">
        <v>16</v>
      </c>
    </row>
    <row r="124" spans="1:6">
      <c r="A124" s="1282" t="s">
        <v>89</v>
      </c>
      <c r="B124" s="335">
        <v>1</v>
      </c>
      <c r="C124" s="335">
        <v>2</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181</v>
      </c>
    </row>
    <row r="130" spans="1:6">
      <c r="A130" s="1286" t="s">
        <v>295</v>
      </c>
      <c r="B130" s="335">
        <v>6</v>
      </c>
    </row>
    <row r="131" spans="1:6">
      <c r="A131" s="1286" t="s">
        <v>296</v>
      </c>
      <c r="B131" s="335">
        <v>0</v>
      </c>
    </row>
    <row r="132" spans="1:6">
      <c r="A132" s="1282" t="s">
        <v>297</v>
      </c>
      <c r="B132" s="338">
        <v>8</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432393.44392584619</v>
      </c>
      <c r="C3" s="44" t="s">
        <v>170</v>
      </c>
      <c r="D3" s="44"/>
      <c r="E3" s="157"/>
      <c r="F3" s="44"/>
      <c r="G3" s="44"/>
      <c r="H3" s="44"/>
      <c r="I3" s="44"/>
      <c r="J3" s="44"/>
      <c r="K3" s="97"/>
    </row>
    <row r="4" spans="1:11">
      <c r="A4" s="365" t="s">
        <v>171</v>
      </c>
      <c r="B4" s="50">
        <f>IF(ISERROR('SEAP template'!B78),0,'SEAP template'!B78)</f>
        <v>25638.944494599084</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152.39117647058828</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0.2082481518064335</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217.70168067226894</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916.07142857142856</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0.23764705882352943</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6717.4930000000004</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6717.4930000000004</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0.2082481518064335</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1398.9055020226544</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116909.03800213282</v>
      </c>
      <c r="C5" s="18">
        <f>IF(ISERROR('Eigen informatie GS &amp; warmtenet'!B57),0,'Eigen informatie GS &amp; warmtenet'!B57)</f>
        <v>0</v>
      </c>
      <c r="D5" s="31">
        <f>(SUM(HH_hh_gas_kWh,HH_rest_gas_kWh)/1000)*0.902</f>
        <v>365448.85041803739</v>
      </c>
      <c r="E5" s="18">
        <f>B46*B57</f>
        <v>8830.9349009256257</v>
      </c>
      <c r="F5" s="18">
        <f>B51*B62</f>
        <v>33176.823525593041</v>
      </c>
      <c r="G5" s="19"/>
      <c r="H5" s="18"/>
      <c r="I5" s="18"/>
      <c r="J5" s="18">
        <f>B50*B61+C50*C61</f>
        <v>1681.9891031864861</v>
      </c>
      <c r="K5" s="18"/>
      <c r="L5" s="18"/>
      <c r="M5" s="18"/>
      <c r="N5" s="18">
        <f>B48*B59+C48*C59</f>
        <v>40677.12428034818</v>
      </c>
      <c r="O5" s="18">
        <f>B69*B70*B71</f>
        <v>311.10333333333335</v>
      </c>
      <c r="P5" s="18">
        <f>B77*B78*B79/1000-B77*B78*B79/1000/B80</f>
        <v>533.86666666666667</v>
      </c>
    </row>
    <row r="6" spans="1:16">
      <c r="A6" s="17" t="s">
        <v>639</v>
      </c>
      <c r="B6" s="780">
        <f>kWh_PV_kleiner_dan_10kW</f>
        <v>7827.8117196276753</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124736.84972176049</v>
      </c>
      <c r="C8" s="22">
        <f>C5</f>
        <v>0</v>
      </c>
      <c r="D8" s="22">
        <f>D5</f>
        <v>365448.85041803739</v>
      </c>
      <c r="E8" s="22">
        <f>E5</f>
        <v>8830.9349009256257</v>
      </c>
      <c r="F8" s="22">
        <f>F5</f>
        <v>33176.823525593041</v>
      </c>
      <c r="G8" s="22"/>
      <c r="H8" s="22"/>
      <c r="I8" s="22"/>
      <c r="J8" s="22">
        <f>J5</f>
        <v>1681.9891031864861</v>
      </c>
      <c r="K8" s="22"/>
      <c r="L8" s="22">
        <f>L5</f>
        <v>0</v>
      </c>
      <c r="M8" s="22">
        <f>M5</f>
        <v>0</v>
      </c>
      <c r="N8" s="22">
        <f>N5</f>
        <v>40677.12428034818</v>
      </c>
      <c r="O8" s="22">
        <f>O5</f>
        <v>311.10333333333335</v>
      </c>
      <c r="P8" s="22">
        <f>P5</f>
        <v>533.86666666666667</v>
      </c>
    </row>
    <row r="9" spans="1:16">
      <c r="B9" s="20"/>
      <c r="C9" s="20"/>
      <c r="D9" s="262"/>
      <c r="E9" s="20"/>
      <c r="F9" s="20"/>
      <c r="G9" s="20"/>
      <c r="H9" s="20"/>
      <c r="I9" s="20"/>
      <c r="J9" s="20"/>
      <c r="K9" s="20"/>
      <c r="L9" s="20"/>
      <c r="M9" s="20"/>
      <c r="N9" s="20"/>
      <c r="O9" s="20"/>
      <c r="P9" s="20"/>
    </row>
    <row r="10" spans="1:16">
      <c r="A10" s="25" t="s">
        <v>214</v>
      </c>
      <c r="B10" s="26">
        <f ca="1">'EF ele_warmte'!B12</f>
        <v>0.2082481518064335</v>
      </c>
      <c r="C10" s="26">
        <f ca="1">'EF ele_warmte'!B22</f>
        <v>0.23764705882352943</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25976.218416713458</v>
      </c>
      <c r="C12" s="24">
        <f ca="1">C10*C8</f>
        <v>0</v>
      </c>
      <c r="D12" s="24">
        <f>D8*D10</f>
        <v>73820.667784443562</v>
      </c>
      <c r="E12" s="24">
        <f>E10*E8</f>
        <v>2004.6222225101171</v>
      </c>
      <c r="F12" s="24">
        <f>F10*F8</f>
        <v>8858.2118813333418</v>
      </c>
      <c r="G12" s="24"/>
      <c r="H12" s="24"/>
      <c r="I12" s="24"/>
      <c r="J12" s="24">
        <f>J10*J8</f>
        <v>595.42414252801609</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19024</v>
      </c>
      <c r="C18" s="169" t="s">
        <v>111</v>
      </c>
      <c r="D18" s="231"/>
      <c r="E18" s="16"/>
    </row>
    <row r="19" spans="1:7">
      <c r="A19" s="174" t="s">
        <v>72</v>
      </c>
      <c r="B19" s="38">
        <f>aantalw2001_ander</f>
        <v>7</v>
      </c>
      <c r="C19" s="169" t="s">
        <v>111</v>
      </c>
      <c r="D19" s="232"/>
      <c r="E19" s="16"/>
    </row>
    <row r="20" spans="1:7">
      <c r="A20" s="174" t="s">
        <v>73</v>
      </c>
      <c r="B20" s="38">
        <f>aantalw2001_propaan</f>
        <v>196</v>
      </c>
      <c r="C20" s="170">
        <f>IF(ISERROR(B20/SUM($B$20,$B$21,$B$22)*100),0,B20/SUM($B$20,$B$21,$B$22)*100)</f>
        <v>6.4283371597244994</v>
      </c>
      <c r="D20" s="232"/>
      <c r="E20" s="16"/>
    </row>
    <row r="21" spans="1:7">
      <c r="A21" s="174" t="s">
        <v>74</v>
      </c>
      <c r="B21" s="38">
        <f>aantalw2001_elektriciteit</f>
        <v>2575</v>
      </c>
      <c r="C21" s="170">
        <f>IF(ISERROR(B21/SUM($B$20,$B$21,$B$22)*100),0,B21/SUM($B$20,$B$21,$B$22)*100)</f>
        <v>84.453919317809124</v>
      </c>
      <c r="D21" s="232"/>
      <c r="E21" s="16"/>
    </row>
    <row r="22" spans="1:7">
      <c r="A22" s="174" t="s">
        <v>75</v>
      </c>
      <c r="B22" s="38">
        <f>aantalw2001_hout</f>
        <v>278</v>
      </c>
      <c r="C22" s="170">
        <f>IF(ISERROR(B22/SUM($B$20,$B$21,$B$22)*100),0,B22/SUM($B$20,$B$21,$B$22)*100)</f>
        <v>9.1177435224663839</v>
      </c>
      <c r="D22" s="232"/>
      <c r="E22" s="16"/>
    </row>
    <row r="23" spans="1:7">
      <c r="A23" s="174" t="s">
        <v>76</v>
      </c>
      <c r="B23" s="38">
        <f>aantalw2001_niet_gespec</f>
        <v>715</v>
      </c>
      <c r="C23" s="169" t="s">
        <v>111</v>
      </c>
      <c r="D23" s="231"/>
      <c r="E23" s="16"/>
    </row>
    <row r="24" spans="1:7">
      <c r="A24" s="174" t="s">
        <v>77</v>
      </c>
      <c r="B24" s="38">
        <f>aantalw2001_steenkool</f>
        <v>618</v>
      </c>
      <c r="C24" s="169" t="s">
        <v>111</v>
      </c>
      <c r="D24" s="232"/>
      <c r="E24" s="16"/>
    </row>
    <row r="25" spans="1:7">
      <c r="A25" s="174" t="s">
        <v>78</v>
      </c>
      <c r="B25" s="38">
        <f>aantalw2001_stookolie</f>
        <v>6763</v>
      </c>
      <c r="C25" s="169" t="s">
        <v>111</v>
      </c>
      <c r="D25" s="231"/>
      <c r="E25" s="53"/>
    </row>
    <row r="26" spans="1:7">
      <c r="A26" s="174" t="s">
        <v>79</v>
      </c>
      <c r="B26" s="38">
        <f>aantalw2001_WP</f>
        <v>22</v>
      </c>
      <c r="C26" s="169" t="s">
        <v>111</v>
      </c>
      <c r="D26" s="231"/>
      <c r="E26" s="16"/>
    </row>
    <row r="27" spans="1:7" s="16" customFormat="1">
      <c r="A27" s="174"/>
      <c r="B27" s="30"/>
      <c r="C27" s="37"/>
      <c r="D27" s="231"/>
    </row>
    <row r="28" spans="1:7" s="16" customFormat="1">
      <c r="A28" s="233" t="s">
        <v>665</v>
      </c>
      <c r="B28" s="38">
        <f>aantalHuishoudens2011</f>
        <v>32667</v>
      </c>
      <c r="C28" s="37"/>
      <c r="D28" s="231"/>
    </row>
    <row r="29" spans="1:7" s="16" customFormat="1">
      <c r="A29" s="233" t="s">
        <v>666</v>
      </c>
      <c r="B29" s="38">
        <f>SUM(HH_hh_gas_aantal,HH_rest_gas_aantal)</f>
        <v>24671</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24671</v>
      </c>
      <c r="C32" s="170">
        <f>IF(ISERROR(B32/SUM($B$32,$B$34,$B$35,$B$36,$B$38,$B$39)*100),0,B32/SUM($B$32,$B$34,$B$35,$B$36,$B$38,$B$39)*100)</f>
        <v>75.587487361745147</v>
      </c>
      <c r="D32" s="236"/>
      <c r="G32" s="16"/>
    </row>
    <row r="33" spans="1:7">
      <c r="A33" s="174" t="s">
        <v>72</v>
      </c>
      <c r="B33" s="35" t="s">
        <v>111</v>
      </c>
      <c r="C33" s="170"/>
      <c r="D33" s="236"/>
      <c r="G33" s="16"/>
    </row>
    <row r="34" spans="1:7">
      <c r="A34" s="174" t="s">
        <v>73</v>
      </c>
      <c r="B34" s="34">
        <f>IF((($B$28-$B$32-$B$39-$B$77-$B$38)*C20/100)&lt;0,0,($B$28-$B$32-$B$39-$B$77-$B$38)*C20/100)</f>
        <v>400.74253853722524</v>
      </c>
      <c r="C34" s="170">
        <f>IF(ISERROR(B34/SUM($B$32,$B$34,$B$35,$B$36,$B$38,$B$39)*100),0,B34/SUM($B$32,$B$34,$B$35,$B$36,$B$38,$B$39)*100)</f>
        <v>1.227802746828105</v>
      </c>
      <c r="D34" s="236"/>
      <c r="G34" s="16"/>
    </row>
    <row r="35" spans="1:7">
      <c r="A35" s="174" t="s">
        <v>74</v>
      </c>
      <c r="B35" s="34">
        <f>IF((($B$28-$B$32-$B$39-$B$77-$B$38)*C21/100)&lt;0,0,($B$28-$B$32-$B$39-$B$77-$B$38)*C21/100)</f>
        <v>5264.8573302722207</v>
      </c>
      <c r="C35" s="170">
        <f>IF(ISERROR(B35/SUM($B$32,$B$34,$B$35,$B$36,$B$38,$B$39)*100),0,B35/SUM($B$32,$B$34,$B$35,$B$36,$B$38,$B$39)*100)</f>
        <v>16.13057180144067</v>
      </c>
      <c r="D35" s="236"/>
      <c r="G35" s="16"/>
    </row>
    <row r="36" spans="1:7">
      <c r="A36" s="174" t="s">
        <v>75</v>
      </c>
      <c r="B36" s="34">
        <f>IF((($B$28-$B$32-$B$39-$B$77-$B$38)*C22/100)&lt;0,0,($B$28-$B$32-$B$39-$B$77-$B$38)*C22/100)</f>
        <v>568.40013119055436</v>
      </c>
      <c r="C36" s="170">
        <f>IF(ISERROR(B36/SUM($B$32,$B$34,$B$35,$B$36,$B$38,$B$39)*100),0,B36/SUM($B$32,$B$34,$B$35,$B$36,$B$38,$B$39)*100)</f>
        <v>1.741475324582721</v>
      </c>
      <c r="D36" s="236"/>
      <c r="G36" s="16"/>
    </row>
    <row r="37" spans="1:7">
      <c r="A37" s="174" t="s">
        <v>76</v>
      </c>
      <c r="B37" s="35" t="s">
        <v>111</v>
      </c>
      <c r="C37" s="170"/>
      <c r="D37" s="176"/>
      <c r="G37" s="16"/>
    </row>
    <row r="38" spans="1:7">
      <c r="A38" s="174" t="s">
        <v>77</v>
      </c>
      <c r="B38" s="34">
        <f>IF((B24-(B29-B18)*0.1)&lt;0,0,B24-(B29-B18)*0.1)</f>
        <v>53.299999999999955</v>
      </c>
      <c r="C38" s="170">
        <f>IF(ISERROR(B38/SUM($B$32,$B$34,$B$35,$B$36,$B$38,$B$39)*100),0,B38/SUM($B$32,$B$34,$B$35,$B$36,$B$38,$B$39)*100)</f>
        <v>0.16330157173933008</v>
      </c>
      <c r="D38" s="237"/>
      <c r="G38" s="16"/>
    </row>
    <row r="39" spans="1:7">
      <c r="A39" s="174" t="s">
        <v>78</v>
      </c>
      <c r="B39" s="34">
        <f>IF((B25-(B29-B18))&lt;0,0,B25-(B29-B18)*0.9)</f>
        <v>1680.6999999999998</v>
      </c>
      <c r="C39" s="170">
        <f>IF(ISERROR(B39/SUM($B$32,$B$34,$B$35,$B$36,$B$38,$B$39)*100),0,B39/SUM($B$32,$B$34,$B$35,$B$36,$B$38,$B$39)*100)</f>
        <v>5.1493611936640207</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24671</v>
      </c>
      <c r="C44" s="35" t="s">
        <v>111</v>
      </c>
      <c r="D44" s="177"/>
    </row>
    <row r="45" spans="1:7">
      <c r="A45" s="174" t="s">
        <v>72</v>
      </c>
      <c r="B45" s="34" t="str">
        <f t="shared" si="0"/>
        <v>-</v>
      </c>
      <c r="C45" s="35" t="s">
        <v>111</v>
      </c>
      <c r="D45" s="177"/>
    </row>
    <row r="46" spans="1:7">
      <c r="A46" s="174" t="s">
        <v>73</v>
      </c>
      <c r="B46" s="34">
        <f t="shared" si="0"/>
        <v>400.74253853722524</v>
      </c>
      <c r="C46" s="35" t="s">
        <v>111</v>
      </c>
      <c r="D46" s="177"/>
    </row>
    <row r="47" spans="1:7">
      <c r="A47" s="174" t="s">
        <v>74</v>
      </c>
      <c r="B47" s="34">
        <f t="shared" si="0"/>
        <v>5264.8573302722207</v>
      </c>
      <c r="C47" s="35" t="s">
        <v>111</v>
      </c>
      <c r="D47" s="177"/>
    </row>
    <row r="48" spans="1:7">
      <c r="A48" s="174" t="s">
        <v>75</v>
      </c>
      <c r="B48" s="34">
        <f t="shared" si="0"/>
        <v>568.40013119055436</v>
      </c>
      <c r="C48" s="34">
        <f>B48*10</f>
        <v>5684.0013119055438</v>
      </c>
      <c r="D48" s="237"/>
    </row>
    <row r="49" spans="1:6">
      <c r="A49" s="174" t="s">
        <v>76</v>
      </c>
      <c r="B49" s="34" t="str">
        <f t="shared" si="0"/>
        <v>-</v>
      </c>
      <c r="C49" s="35" t="s">
        <v>111</v>
      </c>
      <c r="D49" s="237"/>
    </row>
    <row r="50" spans="1:6">
      <c r="A50" s="174" t="s">
        <v>77</v>
      </c>
      <c r="B50" s="34">
        <f t="shared" si="0"/>
        <v>53.299999999999955</v>
      </c>
      <c r="C50" s="34">
        <f>B50*2</f>
        <v>106.59999999999991</v>
      </c>
      <c r="D50" s="237"/>
    </row>
    <row r="51" spans="1:6">
      <c r="A51" s="174" t="s">
        <v>78</v>
      </c>
      <c r="B51" s="34">
        <f t="shared" si="0"/>
        <v>1680.6999999999998</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199</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28</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178769.31860065227</v>
      </c>
      <c r="C5" s="18">
        <f>IF(ISERROR('Eigen informatie GS &amp; warmtenet'!B58),0,'Eigen informatie GS &amp; warmtenet'!B58)</f>
        <v>0</v>
      </c>
      <c r="D5" s="31">
        <f>SUM(D6:D12)</f>
        <v>213606.58108284051</v>
      </c>
      <c r="E5" s="18">
        <f>SUM(E6:E12)</f>
        <v>1509.2502045045205</v>
      </c>
      <c r="F5" s="18">
        <f>SUM(F6:F12)</f>
        <v>39381.367028790264</v>
      </c>
      <c r="G5" s="19"/>
      <c r="H5" s="18"/>
      <c r="I5" s="18"/>
      <c r="J5" s="18">
        <f>SUM(J6:J12)</f>
        <v>0</v>
      </c>
      <c r="K5" s="18"/>
      <c r="L5" s="18"/>
      <c r="M5" s="18"/>
      <c r="N5" s="18">
        <f>SUM(N6:N12)</f>
        <v>11889.003846045458</v>
      </c>
      <c r="O5" s="18">
        <f>B38*B39*B40</f>
        <v>9.3800000000000008</v>
      </c>
      <c r="P5" s="18">
        <f>B46*B47*B48/1000-B46*B47*B48/1000/B49</f>
        <v>0</v>
      </c>
      <c r="R5" s="33"/>
    </row>
    <row r="6" spans="1:18">
      <c r="A6" s="33" t="s">
        <v>54</v>
      </c>
      <c r="B6" s="38">
        <f>B26</f>
        <v>49370.9977275087</v>
      </c>
      <c r="C6" s="34"/>
      <c r="D6" s="38">
        <f>IF(ISERROR(TER_kantoor_gas_kWh/1000),0,TER_kantoor_gas_kWh/1000)*0.902</f>
        <v>58862.351390858326</v>
      </c>
      <c r="E6" s="34">
        <f>$C$26*'E Balans VL '!I12/100/3.6*1000000</f>
        <v>81.027813579721155</v>
      </c>
      <c r="F6" s="34">
        <f>$C$26*('E Balans VL '!L12+'E Balans VL '!N12)/100/3.6*1000000</f>
        <v>5819.6789955788872</v>
      </c>
      <c r="G6" s="35"/>
      <c r="H6" s="34"/>
      <c r="I6" s="34"/>
      <c r="J6" s="34">
        <f>$C$26*('E Balans VL '!D12+'E Balans VL '!E12)/100/3.6*1000000</f>
        <v>0</v>
      </c>
      <c r="K6" s="34"/>
      <c r="L6" s="34"/>
      <c r="M6" s="34"/>
      <c r="N6" s="34">
        <f>$C$26*'E Balans VL '!Y12/100/3.6*1000000</f>
        <v>9.9751763000290481</v>
      </c>
      <c r="O6" s="34"/>
      <c r="P6" s="34"/>
      <c r="R6" s="33"/>
    </row>
    <row r="7" spans="1:18">
      <c r="A7" s="33" t="s">
        <v>53</v>
      </c>
      <c r="B7" s="38">
        <f t="shared" ref="B7:B12" si="0">B27</f>
        <v>16931.053262343001</v>
      </c>
      <c r="C7" s="34"/>
      <c r="D7" s="38">
        <f>IF(ISERROR(TER_horeca_gas_kWh/1000),0,TER_horeca_gas_kWh/1000)*0.902</f>
        <v>23623.757080692478</v>
      </c>
      <c r="E7" s="34">
        <f>$C$27*'E Balans VL '!I9/100/3.6*1000000</f>
        <v>878.59914859245669</v>
      </c>
      <c r="F7" s="34">
        <f>$C$27*('E Balans VL '!L9+'E Balans VL '!N9)/100/3.6*1000000</f>
        <v>3863.6786396998077</v>
      </c>
      <c r="G7" s="35"/>
      <c r="H7" s="34"/>
      <c r="I7" s="34"/>
      <c r="J7" s="34">
        <f>$C$27*('E Balans VL '!D9+'E Balans VL '!E9)/100/3.6*1000000</f>
        <v>0</v>
      </c>
      <c r="K7" s="34"/>
      <c r="L7" s="34"/>
      <c r="M7" s="34"/>
      <c r="N7" s="34">
        <f>$C$27*'E Balans VL '!Y9/100/3.6*1000000</f>
        <v>1.7879114655097588</v>
      </c>
      <c r="O7" s="34"/>
      <c r="P7" s="34"/>
      <c r="R7" s="33"/>
    </row>
    <row r="8" spans="1:18">
      <c r="A8" s="6" t="s">
        <v>52</v>
      </c>
      <c r="B8" s="38">
        <f t="shared" si="0"/>
        <v>45138.618832321597</v>
      </c>
      <c r="C8" s="34"/>
      <c r="D8" s="38">
        <f>IF(ISERROR(TER_handel_gas_kWh/1000),0,TER_handel_gas_kWh/1000)*0.902</f>
        <v>41741.659723247569</v>
      </c>
      <c r="E8" s="34">
        <f>$C$28*'E Balans VL '!I13/100/3.6*1000000</f>
        <v>243.07700921107713</v>
      </c>
      <c r="F8" s="34">
        <f>$C$28*('E Balans VL '!L13+'E Balans VL '!N13)/100/3.6*1000000</f>
        <v>9205.1057788466096</v>
      </c>
      <c r="G8" s="35"/>
      <c r="H8" s="34"/>
      <c r="I8" s="34"/>
      <c r="J8" s="34">
        <f>$C$28*('E Balans VL '!D13+'E Balans VL '!E13)/100/3.6*1000000</f>
        <v>0</v>
      </c>
      <c r="K8" s="34"/>
      <c r="L8" s="34"/>
      <c r="M8" s="34"/>
      <c r="N8" s="34">
        <f>$C$28*'E Balans VL '!Y13/100/3.6*1000000</f>
        <v>224.45051443147446</v>
      </c>
      <c r="O8" s="34"/>
      <c r="P8" s="34"/>
      <c r="R8" s="33"/>
    </row>
    <row r="9" spans="1:18">
      <c r="A9" s="33" t="s">
        <v>51</v>
      </c>
      <c r="B9" s="38">
        <f t="shared" si="0"/>
        <v>27073.525260226303</v>
      </c>
      <c r="C9" s="34"/>
      <c r="D9" s="38">
        <f>IF(ISERROR(TER_gezond_gas_kWh/1000),0,TER_gezond_gas_kWh/1000)*0.902</f>
        <v>33001.438789960775</v>
      </c>
      <c r="E9" s="34">
        <f>$C$29*'E Balans VL '!I10/100/3.6*1000000</f>
        <v>26.830171411739336</v>
      </c>
      <c r="F9" s="34">
        <f>$C$29*('E Balans VL '!L10+'E Balans VL '!N10)/100/3.6*1000000</f>
        <v>9393.7329008710785</v>
      </c>
      <c r="G9" s="35"/>
      <c r="H9" s="34"/>
      <c r="I9" s="34"/>
      <c r="J9" s="34">
        <f>$C$29*('E Balans VL '!D10+'E Balans VL '!E10)/100/3.6*1000000</f>
        <v>0</v>
      </c>
      <c r="K9" s="34"/>
      <c r="L9" s="34"/>
      <c r="M9" s="34"/>
      <c r="N9" s="34">
        <f>$C$29*'E Balans VL '!Y10/100/3.6*1000000</f>
        <v>233.29022179912116</v>
      </c>
      <c r="O9" s="34"/>
      <c r="P9" s="34"/>
      <c r="R9" s="33"/>
    </row>
    <row r="10" spans="1:18">
      <c r="A10" s="33" t="s">
        <v>50</v>
      </c>
      <c r="B10" s="38">
        <f t="shared" si="0"/>
        <v>18074.3810839008</v>
      </c>
      <c r="C10" s="34"/>
      <c r="D10" s="38">
        <f>IF(ISERROR(TER_ander_gas_kWh/1000),0,TER_ander_gas_kWh/1000)*0.902</f>
        <v>27771.588751009629</v>
      </c>
      <c r="E10" s="34">
        <f>$C$30*'E Balans VL '!I14/100/3.6*1000000</f>
        <v>147.86650132371881</v>
      </c>
      <c r="F10" s="34">
        <f>$C$30*('E Balans VL '!L14+'E Balans VL '!N14)/100/3.6*1000000</f>
        <v>5284.2131904028138</v>
      </c>
      <c r="G10" s="35"/>
      <c r="H10" s="34"/>
      <c r="I10" s="34"/>
      <c r="J10" s="34">
        <f>$C$30*('E Balans VL '!D14+'E Balans VL '!E14)/100/3.6*1000000</f>
        <v>0</v>
      </c>
      <c r="K10" s="34"/>
      <c r="L10" s="34"/>
      <c r="M10" s="34"/>
      <c r="N10" s="34">
        <f>$C$30*'E Balans VL '!Y14/100/3.6*1000000</f>
        <v>10426.546326229014</v>
      </c>
      <c r="O10" s="34"/>
      <c r="P10" s="34"/>
      <c r="R10" s="33"/>
    </row>
    <row r="11" spans="1:18">
      <c r="A11" s="33" t="s">
        <v>55</v>
      </c>
      <c r="B11" s="38">
        <f t="shared" si="0"/>
        <v>7452.6094948084501</v>
      </c>
      <c r="C11" s="34"/>
      <c r="D11" s="38">
        <f>IF(ISERROR(TER_onderwijs_gas_kWh/1000),0,TER_onderwijs_gas_kWh/1000)*0.902</f>
        <v>14646.636318434237</v>
      </c>
      <c r="E11" s="34">
        <f>$C$31*'E Balans VL '!I11/100/3.6*1000000</f>
        <v>4.5934740357854977</v>
      </c>
      <c r="F11" s="34">
        <f>$C$31*('E Balans VL '!L11+'E Balans VL '!N11)/100/3.6*1000000</f>
        <v>2881.2995232392473</v>
      </c>
      <c r="G11" s="35"/>
      <c r="H11" s="34"/>
      <c r="I11" s="34"/>
      <c r="J11" s="34">
        <f>$C$31*('E Balans VL '!D11+'E Balans VL '!E11)/100/3.6*1000000</f>
        <v>0</v>
      </c>
      <c r="K11" s="34"/>
      <c r="L11" s="34"/>
      <c r="M11" s="34"/>
      <c r="N11" s="34">
        <f>$C$31*'E Balans VL '!Y11/100/3.6*1000000</f>
        <v>24.241741626496683</v>
      </c>
      <c r="O11" s="34"/>
      <c r="P11" s="34"/>
      <c r="R11" s="33"/>
    </row>
    <row r="12" spans="1:18">
      <c r="A12" s="33" t="s">
        <v>260</v>
      </c>
      <c r="B12" s="38">
        <f t="shared" si="0"/>
        <v>14728.1329395434</v>
      </c>
      <c r="C12" s="34"/>
      <c r="D12" s="38">
        <f>IF(ISERROR(TER_rest_gas_kWh/1000),0,TER_rest_gas_kWh/1000)*0.902</f>
        <v>13959.149028637485</v>
      </c>
      <c r="E12" s="34">
        <f>$C$32*'E Balans VL '!I8/100/3.6*1000000</f>
        <v>127.25608635002204</v>
      </c>
      <c r="F12" s="34">
        <f>$C$32*('E Balans VL '!L8+'E Balans VL '!N8)/100/3.6*1000000</f>
        <v>2933.658000151815</v>
      </c>
      <c r="G12" s="35"/>
      <c r="H12" s="34"/>
      <c r="I12" s="34"/>
      <c r="J12" s="34">
        <f>$C$32*('E Balans VL '!D8+'E Balans VL '!E8)/100/3.6*1000000</f>
        <v>0</v>
      </c>
      <c r="K12" s="34"/>
      <c r="L12" s="34"/>
      <c r="M12" s="34"/>
      <c r="N12" s="34">
        <f>$C$32*'E Balans VL '!Y8/100/3.6*1000000</f>
        <v>968.71195419381331</v>
      </c>
      <c r="O12" s="34"/>
      <c r="P12" s="34"/>
      <c r="R12" s="33"/>
    </row>
    <row r="13" spans="1:18">
      <c r="A13" s="17" t="s">
        <v>502</v>
      </c>
      <c r="B13" s="250">
        <f ca="1">'lokale energieproductie'!N91+'lokale energieproductie'!N60</f>
        <v>641.25</v>
      </c>
      <c r="C13" s="250">
        <f ca="1">'lokale energieproductie'!O91+'lokale energieproductie'!O60</f>
        <v>916.07142857142856</v>
      </c>
      <c r="D13" s="312">
        <f ca="1">('lokale energieproductie'!P60+'lokale energieproductie'!P91)*(-1)</f>
        <v>-1832.1428571428573</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179410.56860065227</v>
      </c>
      <c r="C16" s="22">
        <f t="shared" ca="1" si="1"/>
        <v>916.07142857142856</v>
      </c>
      <c r="D16" s="22">
        <f t="shared" ca="1" si="1"/>
        <v>211774.43822569764</v>
      </c>
      <c r="E16" s="22">
        <f t="shared" si="1"/>
        <v>1509.2502045045205</v>
      </c>
      <c r="F16" s="22">
        <f t="shared" ca="1" si="1"/>
        <v>39381.367028790264</v>
      </c>
      <c r="G16" s="22">
        <f t="shared" si="1"/>
        <v>0</v>
      </c>
      <c r="H16" s="22">
        <f t="shared" si="1"/>
        <v>0</v>
      </c>
      <c r="I16" s="22">
        <f t="shared" si="1"/>
        <v>0</v>
      </c>
      <c r="J16" s="22">
        <f t="shared" si="1"/>
        <v>0</v>
      </c>
      <c r="K16" s="22">
        <f t="shared" si="1"/>
        <v>0</v>
      </c>
      <c r="L16" s="22">
        <f t="shared" ca="1" si="1"/>
        <v>0</v>
      </c>
      <c r="M16" s="22">
        <f t="shared" si="1"/>
        <v>0</v>
      </c>
      <c r="N16" s="22">
        <f t="shared" ca="1" si="1"/>
        <v>11889.003846045458</v>
      </c>
      <c r="O16" s="22">
        <f>O5</f>
        <v>9.3800000000000008</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0.2082481518064335</v>
      </c>
      <c r="C18" s="26">
        <f ca="1">'EF ele_warmte'!B22</f>
        <v>0.23764705882352943</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37361.919325627183</v>
      </c>
      <c r="C20" s="24">
        <f t="shared" ref="C20:P20" ca="1" si="2">C16*C18</f>
        <v>217.70168067226894</v>
      </c>
      <c r="D20" s="24">
        <f t="shared" ca="1" si="2"/>
        <v>42778.436521590927</v>
      </c>
      <c r="E20" s="24">
        <f t="shared" si="2"/>
        <v>342.5997964225262</v>
      </c>
      <c r="F20" s="24">
        <f t="shared" ca="1" si="2"/>
        <v>10514.824996687001</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49370.9977275087</v>
      </c>
      <c r="C26" s="40">
        <f>IF(ISERROR(B26*3.6/1000000/'E Balans VL '!Z12*100),0,B26*3.6/1000000/'E Balans VL '!Z12*100)</f>
        <v>1.0490982962344311</v>
      </c>
      <c r="D26" s="240" t="s">
        <v>707</v>
      </c>
      <c r="F26" s="6"/>
    </row>
    <row r="27" spans="1:18">
      <c r="A27" s="234" t="s">
        <v>53</v>
      </c>
      <c r="B27" s="34">
        <f>IF(ISERROR(TER_horeca_ele_kWh/1000),0,TER_horeca_ele_kWh/1000)</f>
        <v>16931.053262343001</v>
      </c>
      <c r="C27" s="40">
        <f>IF(ISERROR(B27*3.6/1000000/'E Balans VL '!Z9*100),0,B27*3.6/1000000/'E Balans VL '!Z9*100)</f>
        <v>1.3326048190134849</v>
      </c>
      <c r="D27" s="240" t="s">
        <v>707</v>
      </c>
      <c r="F27" s="6"/>
    </row>
    <row r="28" spans="1:18">
      <c r="A28" s="174" t="s">
        <v>52</v>
      </c>
      <c r="B28" s="34">
        <f>IF(ISERROR(TER_handel_ele_kWh/1000),0,TER_handel_ele_kWh/1000)</f>
        <v>45138.618832321597</v>
      </c>
      <c r="C28" s="40">
        <f>IF(ISERROR(B28*3.6/1000000/'E Balans VL '!Z13*100),0,B28*3.6/1000000/'E Balans VL '!Z13*100)</f>
        <v>1.2643568707284063</v>
      </c>
      <c r="D28" s="240" t="s">
        <v>707</v>
      </c>
      <c r="F28" s="6"/>
    </row>
    <row r="29" spans="1:18">
      <c r="A29" s="234" t="s">
        <v>51</v>
      </c>
      <c r="B29" s="34">
        <f>IF(ISERROR(TER_gezond_ele_kWh/1000),0,TER_gezond_ele_kWh/1000)</f>
        <v>27073.525260226303</v>
      </c>
      <c r="C29" s="40">
        <f>IF(ISERROR(B29*3.6/1000000/'E Balans VL '!Z10*100),0,B29*3.6/1000000/'E Balans VL '!Z10*100)</f>
        <v>3.4635225512153598</v>
      </c>
      <c r="D29" s="240" t="s">
        <v>707</v>
      </c>
      <c r="F29" s="6"/>
    </row>
    <row r="30" spans="1:18">
      <c r="A30" s="234" t="s">
        <v>50</v>
      </c>
      <c r="B30" s="34">
        <f>IF(ISERROR(TER_ander_ele_kWh/1000),0,TER_ander_ele_kWh/1000)</f>
        <v>18074.3810839008</v>
      </c>
      <c r="C30" s="40">
        <f>IF(ISERROR(B30*3.6/1000000/'E Balans VL '!Z14*100),0,B30*3.6/1000000/'E Balans VL '!Z14*100)</f>
        <v>1.3518114076802989</v>
      </c>
      <c r="D30" s="240" t="s">
        <v>707</v>
      </c>
      <c r="F30" s="6"/>
    </row>
    <row r="31" spans="1:18">
      <c r="A31" s="234" t="s">
        <v>55</v>
      </c>
      <c r="B31" s="34">
        <f>IF(ISERROR(TER_onderwijs_ele_kWh/1000),0,TER_onderwijs_ele_kWh/1000)</f>
        <v>7452.6094948084501</v>
      </c>
      <c r="C31" s="40">
        <f>IF(ISERROR(B31*3.6/1000000/'E Balans VL '!Z11*100),0,B31*3.6/1000000/'E Balans VL '!Z11*100)</f>
        <v>1.5736281484256205</v>
      </c>
      <c r="D31" s="240" t="s">
        <v>707</v>
      </c>
    </row>
    <row r="32" spans="1:18">
      <c r="A32" s="234" t="s">
        <v>260</v>
      </c>
      <c r="B32" s="34">
        <f>IF(ISERROR(TER_rest_ele_kWh/1000),0,TER_rest_ele_kWh/1000)</f>
        <v>14728.1329395434</v>
      </c>
      <c r="C32" s="40">
        <f>IF(ISERROR(B32*3.6/1000000/'E Balans VL '!Z8*100),0,B32*3.6/1000000/'E Balans VL '!Z8*100)</f>
        <v>0.12132935860672274</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6</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111856.72830046713</v>
      </c>
      <c r="C5" s="18">
        <f>IF(ISERROR('Eigen informatie GS &amp; warmtenet'!B59),0,'Eigen informatie GS &amp; warmtenet'!B59)</f>
        <v>0</v>
      </c>
      <c r="D5" s="31">
        <f>SUM(D6:D15)</f>
        <v>206678.43785878952</v>
      </c>
      <c r="E5" s="18">
        <f>SUM(E6:E15)</f>
        <v>1212.3756859797099</v>
      </c>
      <c r="F5" s="18">
        <f>SUM(F6:F15)</f>
        <v>28161.700128940338</v>
      </c>
      <c r="G5" s="19"/>
      <c r="H5" s="18"/>
      <c r="I5" s="18"/>
      <c r="J5" s="18">
        <f>SUM(J6:J15)</f>
        <v>518.48379097949555</v>
      </c>
      <c r="K5" s="18"/>
      <c r="L5" s="18"/>
      <c r="M5" s="18"/>
      <c r="N5" s="18">
        <f>SUM(N6:N15)</f>
        <v>7431.2895653920177</v>
      </c>
      <c r="O5" s="18">
        <f>B43*B44*B45</f>
        <v>0</v>
      </c>
      <c r="P5" s="18">
        <f>B51*B52*B53/1000-B51*B52*B53/1000/B54</f>
        <v>0</v>
      </c>
      <c r="R5" s="33"/>
    </row>
    <row r="6" spans="1:18">
      <c r="A6" s="6" t="s">
        <v>35</v>
      </c>
      <c r="B6" s="38">
        <f>IF( ISERROR(IND_ijzer_ele_kWh/1000),0,IND_ijzer_ele_kWh/1000)</f>
        <v>315.32810203457001</v>
      </c>
      <c r="C6" s="34"/>
      <c r="D6" s="38">
        <f>IF( ISERROR(IND_ijzer_gas_kWh/1000),0,IND_ijzer_gas_kWh/1000)*0.902</f>
        <v>117.07788679069996</v>
      </c>
      <c r="E6" s="34"/>
      <c r="F6" s="34"/>
      <c r="G6" s="35"/>
      <c r="H6" s="34"/>
      <c r="I6" s="34"/>
      <c r="J6" s="41"/>
      <c r="K6" s="34"/>
      <c r="L6" s="34"/>
      <c r="M6" s="34"/>
      <c r="N6" s="34"/>
      <c r="O6" s="34"/>
      <c r="P6" s="34"/>
      <c r="R6" s="33"/>
    </row>
    <row r="7" spans="1:18">
      <c r="A7" s="6" t="s">
        <v>38</v>
      </c>
      <c r="B7" s="38">
        <f t="shared" ref="B7:B15" si="0">B29</f>
        <v>43.283948017944802</v>
      </c>
      <c r="C7" s="34"/>
      <c r="D7" s="38">
        <f>IF( ISERROR(IND_nonf_gas_kWhh/1000),0,IND_nonf_gas_kWh/1000)*0.902</f>
        <v>0</v>
      </c>
      <c r="E7" s="34">
        <f>C29*'E Balans VL '!I17/100/3.6*1000000</f>
        <v>9.7106147612605859E-2</v>
      </c>
      <c r="F7" s="34">
        <f>C29*'E Balans VL '!L17/100/3.6*1000000+C29*'E Balans VL '!N17/100/3.6*1000000</f>
        <v>10.553206293570126</v>
      </c>
      <c r="G7" s="35"/>
      <c r="H7" s="34"/>
      <c r="I7" s="34"/>
      <c r="J7" s="41">
        <f>C29*'E Balans VL '!D17/100/3.6*1000000+C29*'E Balans VL '!E17/100/3.6*1000000</f>
        <v>15.213853271224179</v>
      </c>
      <c r="K7" s="34"/>
      <c r="L7" s="34"/>
      <c r="M7" s="34"/>
      <c r="N7" s="34">
        <f>C29*'E Balans VL '!Y17/100/3.6*1000000</f>
        <v>0.17496751674789612</v>
      </c>
      <c r="O7" s="34"/>
      <c r="P7" s="34"/>
      <c r="R7" s="33"/>
    </row>
    <row r="8" spans="1:18">
      <c r="A8" s="6" t="s">
        <v>36</v>
      </c>
      <c r="B8" s="38">
        <f t="shared" si="0"/>
        <v>12627.4471929961</v>
      </c>
      <c r="C8" s="34"/>
      <c r="D8" s="38">
        <f>IF( ISERROR(IND_metaal_Gas_kWH/1000),0,IND_metaal_Gas_kWH/1000)*0.902</f>
        <v>6129.810964239543</v>
      </c>
      <c r="E8" s="34">
        <f>C30*'E Balans VL '!I18/100/3.6*1000000</f>
        <v>114.99588596462637</v>
      </c>
      <c r="F8" s="34">
        <f>C30*'E Balans VL '!L18/100/3.6*1000000+C30*'E Balans VL '!N18/100/3.6*1000000</f>
        <v>1665.4643902751627</v>
      </c>
      <c r="G8" s="35"/>
      <c r="H8" s="34"/>
      <c r="I8" s="34"/>
      <c r="J8" s="41">
        <f>C30*'E Balans VL '!D18/100/3.6*1000000+C30*'E Balans VL '!E18/100/3.6*1000000</f>
        <v>207.07179957201356</v>
      </c>
      <c r="K8" s="34"/>
      <c r="L8" s="34"/>
      <c r="M8" s="34"/>
      <c r="N8" s="34">
        <f>C30*'E Balans VL '!Y18/100/3.6*1000000</f>
        <v>43.395519761797807</v>
      </c>
      <c r="O8" s="34"/>
      <c r="P8" s="34"/>
      <c r="R8" s="33"/>
    </row>
    <row r="9" spans="1:18">
      <c r="A9" s="6" t="s">
        <v>33</v>
      </c>
      <c r="B9" s="38">
        <f t="shared" si="0"/>
        <v>15064.436195761698</v>
      </c>
      <c r="C9" s="34"/>
      <c r="D9" s="38">
        <f>IF( ISERROR(IND_andere_gas_kWh/1000),0,IND_andere_gas_kWh/1000)*0.902</f>
        <v>9661.9631014837305</v>
      </c>
      <c r="E9" s="34">
        <f>C31*'E Balans VL '!I19/100/3.6*1000000</f>
        <v>87.074692405289099</v>
      </c>
      <c r="F9" s="34">
        <f>C31*'E Balans VL '!L19/100/3.6*1000000+C31*'E Balans VL '!N19/100/3.6*1000000</f>
        <v>11984.48386571393</v>
      </c>
      <c r="G9" s="35"/>
      <c r="H9" s="34"/>
      <c r="I9" s="34"/>
      <c r="J9" s="41">
        <f>C31*'E Balans VL '!D19/100/3.6*1000000+C31*'E Balans VL '!E19/100/3.6*1000000</f>
        <v>1.4249283331012439</v>
      </c>
      <c r="K9" s="34"/>
      <c r="L9" s="34"/>
      <c r="M9" s="34"/>
      <c r="N9" s="34">
        <f>C31*'E Balans VL '!Y19/100/3.6*1000000</f>
        <v>1141.3590165704545</v>
      </c>
      <c r="O9" s="34"/>
      <c r="P9" s="34"/>
      <c r="R9" s="33"/>
    </row>
    <row r="10" spans="1:18">
      <c r="A10" s="6" t="s">
        <v>41</v>
      </c>
      <c r="B10" s="38">
        <f t="shared" si="0"/>
        <v>7532.5044891376701</v>
      </c>
      <c r="C10" s="34"/>
      <c r="D10" s="38">
        <f>IF( ISERROR(IND_voed_gas_kWh/1000),0,IND_voed_gas_kWh/1000)*0.902</f>
        <v>3157.5009362157866</v>
      </c>
      <c r="E10" s="34">
        <f>C32*'E Balans VL '!I20/100/3.6*1000000</f>
        <v>74.064225299745587</v>
      </c>
      <c r="F10" s="34">
        <f>C32*'E Balans VL '!L20/100/3.6*1000000+C32*'E Balans VL '!N20/100/3.6*1000000</f>
        <v>836.58294262121262</v>
      </c>
      <c r="G10" s="35"/>
      <c r="H10" s="34"/>
      <c r="I10" s="34"/>
      <c r="J10" s="41">
        <f>C32*'E Balans VL '!D20/100/3.6*1000000+C32*'E Balans VL '!E20/100/3.6*1000000</f>
        <v>2.9689019742967341E-2</v>
      </c>
      <c r="K10" s="34"/>
      <c r="L10" s="34"/>
      <c r="M10" s="34"/>
      <c r="N10" s="34">
        <f>C32*'E Balans VL '!Y20/100/3.6*1000000</f>
        <v>111.53867316592276</v>
      </c>
      <c r="O10" s="34"/>
      <c r="P10" s="34"/>
      <c r="R10" s="33"/>
    </row>
    <row r="11" spans="1:18">
      <c r="A11" s="6" t="s">
        <v>40</v>
      </c>
      <c r="B11" s="38">
        <f t="shared" si="0"/>
        <v>6076.5909249180904</v>
      </c>
      <c r="C11" s="34"/>
      <c r="D11" s="38">
        <f>IF( ISERROR(IND_textiel_gas_kWh/1000),0,IND_textiel_gas_kWh/1000)*0.902</f>
        <v>760.94017870362268</v>
      </c>
      <c r="E11" s="34">
        <f>C33*'E Balans VL '!I21/100/3.6*1000000</f>
        <v>11.832533556828846</v>
      </c>
      <c r="F11" s="34">
        <f>C33*'E Balans VL '!L21/100/3.6*1000000+C33*'E Balans VL '!N21/100/3.6*1000000</f>
        <v>200.42590905868704</v>
      </c>
      <c r="G11" s="35"/>
      <c r="H11" s="34"/>
      <c r="I11" s="34"/>
      <c r="J11" s="41">
        <f>C33*'E Balans VL '!D21/100/3.6*1000000+C33*'E Balans VL '!E21/100/3.6*1000000</f>
        <v>0</v>
      </c>
      <c r="K11" s="34"/>
      <c r="L11" s="34"/>
      <c r="M11" s="34"/>
      <c r="N11" s="34">
        <f>C33*'E Balans VL '!Y21/100/3.6*1000000</f>
        <v>63.030230402874658</v>
      </c>
      <c r="O11" s="34"/>
      <c r="P11" s="34"/>
      <c r="R11" s="33"/>
    </row>
    <row r="12" spans="1:18">
      <c r="A12" s="6" t="s">
        <v>37</v>
      </c>
      <c r="B12" s="38">
        <f t="shared" si="0"/>
        <v>124.74380829737601</v>
      </c>
      <c r="C12" s="34"/>
      <c r="D12" s="38">
        <f>IF( ISERROR(IND_min_gas_kWh/1000),0,IND_min_gas_kWh/1000)*0.902</f>
        <v>760.14709584141326</v>
      </c>
      <c r="E12" s="34">
        <f>C34*'E Balans VL '!I22/100/3.6*1000000</f>
        <v>3.1624775213313421</v>
      </c>
      <c r="F12" s="34">
        <f>C34*'E Balans VL '!L22/100/3.6*1000000+C34*'E Balans VL '!N22/100/3.6*1000000</f>
        <v>34.51704656168922</v>
      </c>
      <c r="G12" s="35"/>
      <c r="H12" s="34"/>
      <c r="I12" s="34"/>
      <c r="J12" s="41">
        <f>C34*'E Balans VL '!D22/100/3.6*1000000+C34*'E Balans VL '!E22/100/3.6*1000000</f>
        <v>0.82383317737989004</v>
      </c>
      <c r="K12" s="34"/>
      <c r="L12" s="34"/>
      <c r="M12" s="34"/>
      <c r="N12" s="34">
        <f>C34*'E Balans VL '!Y22/100/3.6*1000000</f>
        <v>0</v>
      </c>
      <c r="O12" s="34"/>
      <c r="P12" s="34"/>
      <c r="R12" s="33"/>
    </row>
    <row r="13" spans="1:18">
      <c r="A13" s="6" t="s">
        <v>39</v>
      </c>
      <c r="B13" s="38">
        <f t="shared" si="0"/>
        <v>11624.7684654719</v>
      </c>
      <c r="C13" s="34"/>
      <c r="D13" s="38">
        <f>IF( ISERROR(IND_papier_gas_kWh/1000),0,IND_papier_gas_kWh/1000)*0.902</f>
        <v>12764.75792785979</v>
      </c>
      <c r="E13" s="34">
        <f>C35*'E Balans VL '!I23/100/3.6*1000000</f>
        <v>395.95646875854123</v>
      </c>
      <c r="F13" s="34">
        <f>C35*'E Balans VL '!L23/100/3.6*1000000+C35*'E Balans VL '!N23/100/3.6*1000000</f>
        <v>1920.1389230528393</v>
      </c>
      <c r="G13" s="35"/>
      <c r="H13" s="34"/>
      <c r="I13" s="34"/>
      <c r="J13" s="41">
        <f>C35*'E Balans VL '!D23/100/3.6*1000000+C35*'E Balans VL '!E23/100/3.6*1000000</f>
        <v>0</v>
      </c>
      <c r="K13" s="34"/>
      <c r="L13" s="34"/>
      <c r="M13" s="34"/>
      <c r="N13" s="34">
        <f>C35*'E Balans VL '!Y23/100/3.6*1000000</f>
        <v>4277.6030431704567</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58447.625173831795</v>
      </c>
      <c r="C15" s="34"/>
      <c r="D15" s="38">
        <f>IF( ISERROR(IND_rest_gas_kWh/1000),0,IND_rest_gas_kWh/1000)*0.902</f>
        <v>173326.23976765494</v>
      </c>
      <c r="E15" s="34">
        <f>C37*'E Balans VL '!I15/100/3.6*1000000</f>
        <v>525.1922963257349</v>
      </c>
      <c r="F15" s="34">
        <f>C37*'E Balans VL '!L15/100/3.6*1000000+C37*'E Balans VL '!N15/100/3.6*1000000</f>
        <v>11509.533845363247</v>
      </c>
      <c r="G15" s="35"/>
      <c r="H15" s="34"/>
      <c r="I15" s="34"/>
      <c r="J15" s="41">
        <f>C37*'E Balans VL '!D15/100/3.6*1000000+C37*'E Balans VL '!E15/100/3.6*1000000</f>
        <v>293.91968760603368</v>
      </c>
      <c r="K15" s="34"/>
      <c r="L15" s="34"/>
      <c r="M15" s="34"/>
      <c r="N15" s="34">
        <f>C37*'E Balans VL '!Y15/100/3.6*1000000</f>
        <v>1794.1881148037635</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111856.72830046713</v>
      </c>
      <c r="C18" s="22">
        <f>C5+C16</f>
        <v>0</v>
      </c>
      <c r="D18" s="22">
        <f>MAX((D5+D16),0)</f>
        <v>206678.43785878952</v>
      </c>
      <c r="E18" s="22">
        <f>MAX((E5+E16),0)</f>
        <v>1212.3756859797099</v>
      </c>
      <c r="F18" s="22">
        <f>MAX((F5+F16),0)</f>
        <v>28161.700128940338</v>
      </c>
      <c r="G18" s="22"/>
      <c r="H18" s="22"/>
      <c r="I18" s="22"/>
      <c r="J18" s="22">
        <f>MAX((J5+J16),0)</f>
        <v>518.48379097949555</v>
      </c>
      <c r="K18" s="22"/>
      <c r="L18" s="22">
        <f>MAX((L5+L16),0)</f>
        <v>0</v>
      </c>
      <c r="M18" s="22"/>
      <c r="N18" s="22">
        <f>MAX((N5+N16),0)</f>
        <v>7431.2895653920177</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0.2082481518064335</v>
      </c>
      <c r="C20" s="26">
        <f ca="1">'EF ele_warmte'!B22</f>
        <v>0.23764705882352943</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23293.956935686667</v>
      </c>
      <c r="C22" s="24">
        <f ca="1">C18*C20</f>
        <v>0</v>
      </c>
      <c r="D22" s="24">
        <f>D18*D20</f>
        <v>41749.044447475484</v>
      </c>
      <c r="E22" s="24">
        <f>E18*E20</f>
        <v>275.20928071739417</v>
      </c>
      <c r="F22" s="24">
        <f>F18*F20</f>
        <v>7519.1739344270709</v>
      </c>
      <c r="G22" s="24"/>
      <c r="H22" s="24"/>
      <c r="I22" s="24"/>
      <c r="J22" s="24">
        <f>J18*J20</f>
        <v>183.54326200674143</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43.283948017944802</v>
      </c>
      <c r="C29" s="40">
        <f>IF(ISERROR(B29*3.6/1000000/'E Balans VL '!Z17*100),0,B29*3.6/1000000/'E Balans VL '!Z17*100)</f>
        <v>4.5250219848593828E-2</v>
      </c>
      <c r="D29" s="240" t="s">
        <v>707</v>
      </c>
    </row>
    <row r="30" spans="1:18">
      <c r="A30" s="174" t="s">
        <v>36</v>
      </c>
      <c r="B30" s="38">
        <f>IF( ISERROR(IND_metaal_ele_kWh/1000),0,IND_metaal_ele_kWh/1000)</f>
        <v>12627.4471929961</v>
      </c>
      <c r="C30" s="40">
        <f>IF(ISERROR(B30*3.6/1000000/'E Balans VL '!Z18*100),0,B30*3.6/1000000/'E Balans VL '!Z18*100)</f>
        <v>0.70263299727531825</v>
      </c>
      <c r="D30" s="240" t="s">
        <v>707</v>
      </c>
    </row>
    <row r="31" spans="1:18">
      <c r="A31" s="6" t="s">
        <v>33</v>
      </c>
      <c r="B31" s="38">
        <f>IF( ISERROR(IND_ander_ele_kWh/1000),0,IND_ander_ele_kWh/1000)</f>
        <v>15064.436195761698</v>
      </c>
      <c r="C31" s="40">
        <f>IF(ISERROR(B31*3.6/1000000/'E Balans VL '!Z19*100),0,B31*3.6/1000000/'E Balans VL '!Z19*100)</f>
        <v>0.70030607497125985</v>
      </c>
      <c r="D31" s="240" t="s">
        <v>707</v>
      </c>
    </row>
    <row r="32" spans="1:18">
      <c r="A32" s="174" t="s">
        <v>41</v>
      </c>
      <c r="B32" s="38">
        <f>IF( ISERROR(IND_voed_ele_kWh/1000),0,IND_voed_ele_kWh/1000)</f>
        <v>7532.5044891376701</v>
      </c>
      <c r="C32" s="40">
        <f>IF(ISERROR(B32*3.6/1000000/'E Balans VL '!Z20*100),0,B32*3.6/1000000/'E Balans VL '!Z20*100)</f>
        <v>0.26625882115394317</v>
      </c>
      <c r="D32" s="240" t="s">
        <v>707</v>
      </c>
    </row>
    <row r="33" spans="1:5">
      <c r="A33" s="174" t="s">
        <v>40</v>
      </c>
      <c r="B33" s="38">
        <f>IF( ISERROR(IND_textiel_ele_kWh/1000),0,IND_textiel_ele_kWh/1000)</f>
        <v>6076.5909249180904</v>
      </c>
      <c r="C33" s="40">
        <f>IF(ISERROR(B33*3.6/1000000/'E Balans VL '!Z21*100),0,B33*3.6/1000000/'E Balans VL '!Z21*100)</f>
        <v>0.82073581021575126</v>
      </c>
      <c r="D33" s="240" t="s">
        <v>707</v>
      </c>
    </row>
    <row r="34" spans="1:5">
      <c r="A34" s="174" t="s">
        <v>37</v>
      </c>
      <c r="B34" s="38">
        <f>IF( ISERROR(IND_min_ele_kWh/1000),0,IND_min_ele_kWh/1000)</f>
        <v>124.74380829737601</v>
      </c>
      <c r="C34" s="40">
        <f>IF(ISERROR(B34*3.6/1000000/'E Balans VL '!Z22*100),0,B34*3.6/1000000/'E Balans VL '!Z22*100)</f>
        <v>2.5069987811219455E-2</v>
      </c>
      <c r="D34" s="240" t="s">
        <v>707</v>
      </c>
    </row>
    <row r="35" spans="1:5">
      <c r="A35" s="174" t="s">
        <v>39</v>
      </c>
      <c r="B35" s="38">
        <f>IF( ISERROR(IND_papier_ele_kWh/1000),0,IND_papier_ele_kWh/1000)</f>
        <v>11624.7684654719</v>
      </c>
      <c r="C35" s="40">
        <f>IF(ISERROR(B35*3.6/1000000/'E Balans VL '!Z22*100),0,B35*3.6/1000000/'E Balans VL '!Z22*100)</f>
        <v>2.3362506541638037</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58447.625173831795</v>
      </c>
      <c r="C37" s="40">
        <f>IF(ISERROR(B37*3.6/1000000/'E Balans VL '!Z15*100),0,B37*3.6/1000000/'E Balans VL '!Z15*100)</f>
        <v>0.44136591026074212</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2394.6792644139791</v>
      </c>
      <c r="C5" s="18">
        <f>'Eigen informatie GS &amp; warmtenet'!B60</f>
        <v>0</v>
      </c>
      <c r="D5" s="31">
        <f>IF(ISERROR(SUM(LB_lb_gas_kWh,LB_rest_gas_kWh)/1000),0,SUM(LB_lb_gas_kWh,LB_rest_gas_kWh)/1000)*0.902</f>
        <v>746.71351224050784</v>
      </c>
      <c r="E5" s="18">
        <f>B17*'E Balans VL '!I25/3.6*1000000/100</f>
        <v>22.559483158519004</v>
      </c>
      <c r="F5" s="18">
        <f>B17*('E Balans VL '!L25/3.6*1000000+'E Balans VL '!N25/3.6*1000000)/100</f>
        <v>7814.6331640353947</v>
      </c>
      <c r="G5" s="19"/>
      <c r="H5" s="18"/>
      <c r="I5" s="18"/>
      <c r="J5" s="18">
        <f>('E Balans VL '!D25+'E Balans VL '!E25)/3.6*1000000*landbouw!B17/100</f>
        <v>296.23347272571385</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2394.6792644139791</v>
      </c>
      <c r="C8" s="22">
        <f>C5+C6</f>
        <v>0</v>
      </c>
      <c r="D8" s="22">
        <f>MAX((D5+D6),0)</f>
        <v>746.71351224050784</v>
      </c>
      <c r="E8" s="22">
        <f>MAX((E5+E6),0)</f>
        <v>22.559483158519004</v>
      </c>
      <c r="F8" s="22">
        <f>MAX((F5+F6),0)</f>
        <v>7814.6331640353947</v>
      </c>
      <c r="G8" s="22"/>
      <c r="H8" s="22"/>
      <c r="I8" s="22"/>
      <c r="J8" s="22">
        <f>MAX((J5+J6),0)</f>
        <v>296.23347272571385</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0.2082481518064335</v>
      </c>
      <c r="C10" s="32">
        <f ca="1">'EF ele_warmte'!B22</f>
        <v>0.23764705882352943</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498.68753098340085</v>
      </c>
      <c r="C12" s="24">
        <f ca="1">C8*C10</f>
        <v>0</v>
      </c>
      <c r="D12" s="24">
        <f>D8*D10</f>
        <v>150.8361294725826</v>
      </c>
      <c r="E12" s="24">
        <f>E8*E10</f>
        <v>5.1210026769838137</v>
      </c>
      <c r="F12" s="24">
        <f>F8*F10</f>
        <v>2086.5070547974506</v>
      </c>
      <c r="G12" s="24"/>
      <c r="H12" s="24"/>
      <c r="I12" s="24"/>
      <c r="J12" s="24">
        <f>J8*J10</f>
        <v>104.8666493449027</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0.32420130665024749</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418.94168576373414</v>
      </c>
      <c r="C26" s="250">
        <f>B26*'GWP N2O_CH4'!B5</f>
        <v>8797.7754010384178</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125.8434222690134</v>
      </c>
      <c r="C27" s="250">
        <f>B27*'GWP N2O_CH4'!B5</f>
        <v>2642.7118676492814</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5.8805125987586395</v>
      </c>
      <c r="C28" s="250">
        <f>B28*'GWP N2O_CH4'!B4</f>
        <v>1822.9589056151783</v>
      </c>
      <c r="D28" s="51"/>
    </row>
    <row r="29" spans="1:4">
      <c r="A29" s="42" t="s">
        <v>277</v>
      </c>
      <c r="B29" s="250">
        <f>B34*'ha_N2O bodem landbouw'!B4</f>
        <v>19.866344204613959</v>
      </c>
      <c r="C29" s="250">
        <f>B29*'GWP N2O_CH4'!B4</f>
        <v>6158.5667034303278</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5.363287537429106E-3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4.4035297395900489E-5</v>
      </c>
      <c r="C5" s="447" t="s">
        <v>211</v>
      </c>
      <c r="D5" s="432">
        <f>SUM(D6:D11)</f>
        <v>1.2245856486047511E-4</v>
      </c>
      <c r="E5" s="432">
        <f>SUM(E6:E11)</f>
        <v>7.8459625511962498E-3</v>
      </c>
      <c r="F5" s="445" t="s">
        <v>211</v>
      </c>
      <c r="G5" s="432">
        <f>SUM(G6:G11)</f>
        <v>2.0316449780686239</v>
      </c>
      <c r="H5" s="432">
        <f>SUM(H6:H11)</f>
        <v>0.27879303162176466</v>
      </c>
      <c r="I5" s="447" t="s">
        <v>211</v>
      </c>
      <c r="J5" s="447" t="s">
        <v>211</v>
      </c>
      <c r="K5" s="447" t="s">
        <v>211</v>
      </c>
      <c r="L5" s="447" t="s">
        <v>211</v>
      </c>
      <c r="M5" s="432">
        <f>SUM(M6:M11)</f>
        <v>0.10322312419870912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1.7699732896933945E-5</v>
      </c>
      <c r="C6" s="433"/>
      <c r="D6" s="433">
        <f>vkm_2011_GW_PW*SUMIFS(TableVerdeelsleutelVkm[CNG],TableVerdeelsleutelVkm[Voertuigtype],"Lichte voertuigen")*SUMIFS(TableECFTransport[EnergieConsumptieFactor (PJ per km)],TableECFTransport[Index],CONCATENATE($A6,"_CNG_CNG"))</f>
        <v>4.3223044153623624E-5</v>
      </c>
      <c r="E6" s="435">
        <f>vkm_2011_GW_PW*SUMIFS(TableVerdeelsleutelVkm[LPG],TableVerdeelsleutelVkm[Voertuigtype],"Lichte voertuigen")*SUMIFS(TableECFTransport[EnergieConsumptieFactor (PJ per km)],TableECFTransport[Index],CONCATENATE($A6,"_LPG_LPG"))</f>
        <v>2.5620386867416692E-3</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0.37037283065010373</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9.7064078299073889E-2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2.0932685620610653E-2</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0.26402913271845918</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1.065254614212359E-4</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1.1762416172565685E-2</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6.8374175453214765E-6</v>
      </c>
      <c r="C8" s="433"/>
      <c r="D8" s="435">
        <f>vkm_2011_NGW_PW*SUMIFS(TableVerdeelsleutelVkm[CNG],TableVerdeelsleutelVkm[Voertuigtype],"Lichte voertuigen")*SUMIFS(TableECFTransport[EnergieConsumptieFactor (PJ per km)],TableECFTransport[Index],CONCATENATE($A8,"_CNG_CNG"))</f>
        <v>2.9957412999381233E-5</v>
      </c>
      <c r="E8" s="435">
        <f>vkm_2011_NGW_PW*SUMIFS(TableVerdeelsleutelVkm[LPG],TableVerdeelsleutelVkm[Voertuigtype],"Lichte voertuigen")*SUMIFS(TableECFTransport[EnergieConsumptieFactor (PJ per km)],TableECFTransport[Index],CONCATENATE($A8,"_LPG_LPG"))</f>
        <v>1.6290456052124129E-3</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0.22247114002769691</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6.4421427027335457E-2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1.2853427936356531E-2</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3.2563448138698103E-2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1.1439269967475995E-5</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1.4506138391154667E-3</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1.9498146953645066E-5</v>
      </c>
      <c r="C10" s="433"/>
      <c r="D10" s="435">
        <f>vkm_2011_SW_PW*SUMIFS(TableVerdeelsleutelVkm[CNG],TableVerdeelsleutelVkm[Voertuigtype],"Lichte voertuigen")*SUMIFS(TableECFTransport[EnergieConsumptieFactor (PJ per km)],TableECFTransport[Index],CONCATENATE($A10,"_CNG_CNG"))</f>
        <v>4.9278107707470274E-5</v>
      </c>
      <c r="E10" s="435">
        <f>vkm_2011_SW_PW*SUMIFS(TableVerdeelsleutelVkm[LPG],TableVerdeelsleutelVkm[Voertuigtype],"Lichte voertuigen")*SUMIFS(TableECFTransport[EnergieConsumptieFactor (PJ per km)],TableECFTransport[Index],CONCATENATE($A10,"_LPG_LPG"))</f>
        <v>3.6548782592421684E-3</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0.48150976879899038</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0.11690674858207938</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2.6789316747694025E-2</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0.66069865773467551</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2.8281298188724671E-4</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2.9434663882366749E-2</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12.232027054416802</v>
      </c>
      <c r="C14" s="22"/>
      <c r="D14" s="22">
        <f t="shared" ref="D14:M14" si="0">((D5)*10^9/3600)+D12</f>
        <v>34.016268016798641</v>
      </c>
      <c r="E14" s="22">
        <f t="shared" si="0"/>
        <v>2179.4340419989585</v>
      </c>
      <c r="F14" s="22"/>
      <c r="G14" s="22">
        <f t="shared" si="0"/>
        <v>564345.82724128442</v>
      </c>
      <c r="H14" s="22">
        <f t="shared" si="0"/>
        <v>77442.508783823519</v>
      </c>
      <c r="I14" s="22"/>
      <c r="J14" s="22"/>
      <c r="K14" s="22"/>
      <c r="L14" s="22"/>
      <c r="M14" s="22">
        <f t="shared" si="0"/>
        <v>28673.090055196975</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0.2082481518064335</v>
      </c>
      <c r="C16" s="57">
        <f ca="1">'EF ele_warmte'!B22</f>
        <v>0.23764705882352943</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2.5472970269285917</v>
      </c>
      <c r="C18" s="24"/>
      <c r="D18" s="24">
        <f t="shared" ref="D18:M18" si="1">D14*D16</f>
        <v>6.8712861393933258</v>
      </c>
      <c r="E18" s="24">
        <f t="shared" si="1"/>
        <v>494.7315275337636</v>
      </c>
      <c r="F18" s="24"/>
      <c r="G18" s="24">
        <f t="shared" si="1"/>
        <v>150680.33587342294</v>
      </c>
      <c r="H18" s="24">
        <f t="shared" si="1"/>
        <v>19283.184687172055</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4.0682061827245666E-2</v>
      </c>
      <c r="H50" s="323">
        <f t="shared" si="2"/>
        <v>0</v>
      </c>
      <c r="I50" s="323">
        <f t="shared" si="2"/>
        <v>0</v>
      </c>
      <c r="J50" s="323">
        <f t="shared" si="2"/>
        <v>0</v>
      </c>
      <c r="K50" s="323">
        <f t="shared" si="2"/>
        <v>0</v>
      </c>
      <c r="L50" s="323">
        <f t="shared" si="2"/>
        <v>0</v>
      </c>
      <c r="M50" s="323">
        <f t="shared" si="2"/>
        <v>1.7864164440930988E-3</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4.0682061827245666E-2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1.7864164440930988E-3</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11300.572729790463</v>
      </c>
      <c r="H54" s="22">
        <f t="shared" si="3"/>
        <v>0</v>
      </c>
      <c r="I54" s="22">
        <f t="shared" si="3"/>
        <v>0</v>
      </c>
      <c r="J54" s="22">
        <f t="shared" si="3"/>
        <v>0</v>
      </c>
      <c r="K54" s="22">
        <f t="shared" si="3"/>
        <v>0</v>
      </c>
      <c r="L54" s="22">
        <f t="shared" si="3"/>
        <v>0</v>
      </c>
      <c r="M54" s="22">
        <f t="shared" si="3"/>
        <v>496.22679002586079</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0.2082481518064335</v>
      </c>
      <c r="C56" s="57">
        <f ca="1">'EF ele_warmte'!B22</f>
        <v>0.23764705882352943</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3017.2529188540539</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186128.06160065226</v>
      </c>
      <c r="D10" s="688">
        <f ca="1">tertiair!C16</f>
        <v>916.07142857142856</v>
      </c>
      <c r="E10" s="688">
        <f ca="1">tertiair!D16</f>
        <v>211774.43822569764</v>
      </c>
      <c r="F10" s="688">
        <f>tertiair!E16</f>
        <v>1509.2502045045205</v>
      </c>
      <c r="G10" s="688">
        <f ca="1">tertiair!F16</f>
        <v>39381.367028790264</v>
      </c>
      <c r="H10" s="688">
        <f>tertiair!G16</f>
        <v>0</v>
      </c>
      <c r="I10" s="688">
        <f>tertiair!H16</f>
        <v>0</v>
      </c>
      <c r="J10" s="688">
        <f>tertiair!I16</f>
        <v>0</v>
      </c>
      <c r="K10" s="688">
        <f>tertiair!J16</f>
        <v>0</v>
      </c>
      <c r="L10" s="688">
        <f>tertiair!K16</f>
        <v>0</v>
      </c>
      <c r="M10" s="688">
        <f ca="1">tertiair!L16</f>
        <v>0</v>
      </c>
      <c r="N10" s="688">
        <f>tertiair!M16</f>
        <v>0</v>
      </c>
      <c r="O10" s="688">
        <f ca="1">tertiair!N16</f>
        <v>11889.003846045458</v>
      </c>
      <c r="P10" s="688">
        <f>tertiair!O16</f>
        <v>9.3800000000000008</v>
      </c>
      <c r="Q10" s="689">
        <f>tertiair!P16</f>
        <v>0</v>
      </c>
      <c r="R10" s="691">
        <f ca="1">SUM(C10:Q10)</f>
        <v>451607.57233426161</v>
      </c>
      <c r="S10" s="68"/>
    </row>
    <row r="11" spans="1:19" s="457" customFormat="1">
      <c r="A11" s="803" t="s">
        <v>225</v>
      </c>
      <c r="B11" s="808"/>
      <c r="C11" s="688">
        <f>huishoudens!B8</f>
        <v>124736.84972176049</v>
      </c>
      <c r="D11" s="688">
        <f>huishoudens!C8</f>
        <v>0</v>
      </c>
      <c r="E11" s="688">
        <f>huishoudens!D8</f>
        <v>365448.85041803739</v>
      </c>
      <c r="F11" s="688">
        <f>huishoudens!E8</f>
        <v>8830.9349009256257</v>
      </c>
      <c r="G11" s="688">
        <f>huishoudens!F8</f>
        <v>33176.823525593041</v>
      </c>
      <c r="H11" s="688">
        <f>huishoudens!G8</f>
        <v>0</v>
      </c>
      <c r="I11" s="688">
        <f>huishoudens!H8</f>
        <v>0</v>
      </c>
      <c r="J11" s="688">
        <f>huishoudens!I8</f>
        <v>0</v>
      </c>
      <c r="K11" s="688">
        <f>huishoudens!J8</f>
        <v>1681.9891031864861</v>
      </c>
      <c r="L11" s="688">
        <f>huishoudens!K8</f>
        <v>0</v>
      </c>
      <c r="M11" s="688">
        <f>huishoudens!L8</f>
        <v>0</v>
      </c>
      <c r="N11" s="688">
        <f>huishoudens!M8</f>
        <v>0</v>
      </c>
      <c r="O11" s="688">
        <f>huishoudens!N8</f>
        <v>40677.12428034818</v>
      </c>
      <c r="P11" s="688">
        <f>huishoudens!O8</f>
        <v>311.10333333333335</v>
      </c>
      <c r="Q11" s="689">
        <f>huishoudens!P8</f>
        <v>533.86666666666667</v>
      </c>
      <c r="R11" s="691">
        <f>SUM(C11:Q11)</f>
        <v>575397.54194985132</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111856.72830046713</v>
      </c>
      <c r="D13" s="688">
        <f>industrie!C18</f>
        <v>0</v>
      </c>
      <c r="E13" s="688">
        <f>industrie!D18</f>
        <v>206678.43785878952</v>
      </c>
      <c r="F13" s="688">
        <f>industrie!E18</f>
        <v>1212.3756859797099</v>
      </c>
      <c r="G13" s="688">
        <f>industrie!F18</f>
        <v>28161.700128940338</v>
      </c>
      <c r="H13" s="688">
        <f>industrie!G18</f>
        <v>0</v>
      </c>
      <c r="I13" s="688">
        <f>industrie!H18</f>
        <v>0</v>
      </c>
      <c r="J13" s="688">
        <f>industrie!I18</f>
        <v>0</v>
      </c>
      <c r="K13" s="688">
        <f>industrie!J18</f>
        <v>518.48379097949555</v>
      </c>
      <c r="L13" s="688">
        <f>industrie!K18</f>
        <v>0</v>
      </c>
      <c r="M13" s="688">
        <f>industrie!L18</f>
        <v>0</v>
      </c>
      <c r="N13" s="688">
        <f>industrie!M18</f>
        <v>0</v>
      </c>
      <c r="O13" s="688">
        <f>industrie!N18</f>
        <v>7431.2895653920177</v>
      </c>
      <c r="P13" s="688">
        <f>industrie!O18</f>
        <v>0</v>
      </c>
      <c r="Q13" s="689">
        <f>industrie!P18</f>
        <v>0</v>
      </c>
      <c r="R13" s="691">
        <f>SUM(C13:Q13)</f>
        <v>355859.01533054822</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422721.63962287991</v>
      </c>
      <c r="D16" s="721">
        <f t="shared" ref="D16:R16" ca="1" si="0">SUM(D9:D15)</f>
        <v>916.07142857142856</v>
      </c>
      <c r="E16" s="721">
        <f t="shared" ca="1" si="0"/>
        <v>783901.72650252446</v>
      </c>
      <c r="F16" s="721">
        <f t="shared" si="0"/>
        <v>11552.560791409856</v>
      </c>
      <c r="G16" s="721">
        <f t="shared" ca="1" si="0"/>
        <v>100719.89068332364</v>
      </c>
      <c r="H16" s="721">
        <f t="shared" si="0"/>
        <v>0</v>
      </c>
      <c r="I16" s="721">
        <f t="shared" si="0"/>
        <v>0</v>
      </c>
      <c r="J16" s="721">
        <f t="shared" si="0"/>
        <v>0</v>
      </c>
      <c r="K16" s="721">
        <f t="shared" si="0"/>
        <v>2200.4728941659814</v>
      </c>
      <c r="L16" s="721">
        <f t="shared" si="0"/>
        <v>0</v>
      </c>
      <c r="M16" s="721">
        <f t="shared" ca="1" si="0"/>
        <v>0</v>
      </c>
      <c r="N16" s="721">
        <f t="shared" si="0"/>
        <v>0</v>
      </c>
      <c r="O16" s="721">
        <f t="shared" ca="1" si="0"/>
        <v>59997.41769178566</v>
      </c>
      <c r="P16" s="721">
        <f t="shared" si="0"/>
        <v>320.48333333333335</v>
      </c>
      <c r="Q16" s="721">
        <f t="shared" si="0"/>
        <v>533.86666666666667</v>
      </c>
      <c r="R16" s="721">
        <f t="shared" ca="1" si="0"/>
        <v>1382864.1296146612</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11300.572729790463</v>
      </c>
      <c r="I19" s="688">
        <f>transport!H54</f>
        <v>0</v>
      </c>
      <c r="J19" s="688">
        <f>transport!I54</f>
        <v>0</v>
      </c>
      <c r="K19" s="688">
        <f>transport!J54</f>
        <v>0</v>
      </c>
      <c r="L19" s="688">
        <f>transport!K54</f>
        <v>0</v>
      </c>
      <c r="M19" s="688">
        <f>transport!L54</f>
        <v>0</v>
      </c>
      <c r="N19" s="688">
        <f>transport!M54</f>
        <v>496.22679002586079</v>
      </c>
      <c r="O19" s="688">
        <f>transport!N54</f>
        <v>0</v>
      </c>
      <c r="P19" s="688">
        <f>transport!O54</f>
        <v>0</v>
      </c>
      <c r="Q19" s="689">
        <f>transport!P54</f>
        <v>0</v>
      </c>
      <c r="R19" s="691">
        <f>SUM(C19:Q19)</f>
        <v>11796.799519816324</v>
      </c>
      <c r="S19" s="68"/>
    </row>
    <row r="20" spans="1:19" s="457" customFormat="1">
      <c r="A20" s="803" t="s">
        <v>307</v>
      </c>
      <c r="B20" s="808"/>
      <c r="C20" s="688">
        <f>transport!B14</f>
        <v>12.232027054416802</v>
      </c>
      <c r="D20" s="688">
        <f>transport!C14</f>
        <v>0</v>
      </c>
      <c r="E20" s="688">
        <f>transport!D14</f>
        <v>34.016268016798641</v>
      </c>
      <c r="F20" s="688">
        <f>transport!E14</f>
        <v>2179.4340419989585</v>
      </c>
      <c r="G20" s="688">
        <f>transport!F14</f>
        <v>0</v>
      </c>
      <c r="H20" s="688">
        <f>transport!G14</f>
        <v>564345.82724128442</v>
      </c>
      <c r="I20" s="688">
        <f>transport!H14</f>
        <v>77442.508783823519</v>
      </c>
      <c r="J20" s="688">
        <f>transport!I14</f>
        <v>0</v>
      </c>
      <c r="K20" s="688">
        <f>transport!J14</f>
        <v>0</v>
      </c>
      <c r="L20" s="688">
        <f>transport!K14</f>
        <v>0</v>
      </c>
      <c r="M20" s="688">
        <f>transport!L14</f>
        <v>0</v>
      </c>
      <c r="N20" s="688">
        <f>transport!M14</f>
        <v>28673.090055196975</v>
      </c>
      <c r="O20" s="688">
        <f>transport!N14</f>
        <v>0</v>
      </c>
      <c r="P20" s="688">
        <f>transport!O14</f>
        <v>0</v>
      </c>
      <c r="Q20" s="689">
        <f>transport!P14</f>
        <v>0</v>
      </c>
      <c r="R20" s="691">
        <f>SUM(C20:Q20)</f>
        <v>672687.10841737501</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12.232027054416802</v>
      </c>
      <c r="D22" s="806">
        <f t="shared" ref="D22:R22" si="1">SUM(D18:D21)</f>
        <v>0</v>
      </c>
      <c r="E22" s="806">
        <f t="shared" si="1"/>
        <v>34.016268016798641</v>
      </c>
      <c r="F22" s="806">
        <f t="shared" si="1"/>
        <v>2179.4340419989585</v>
      </c>
      <c r="G22" s="806">
        <f t="shared" si="1"/>
        <v>0</v>
      </c>
      <c r="H22" s="806">
        <f t="shared" si="1"/>
        <v>575646.39997107489</v>
      </c>
      <c r="I22" s="806">
        <f t="shared" si="1"/>
        <v>77442.508783823519</v>
      </c>
      <c r="J22" s="806">
        <f t="shared" si="1"/>
        <v>0</v>
      </c>
      <c r="K22" s="806">
        <f t="shared" si="1"/>
        <v>0</v>
      </c>
      <c r="L22" s="806">
        <f t="shared" si="1"/>
        <v>0</v>
      </c>
      <c r="M22" s="806">
        <f t="shared" si="1"/>
        <v>0</v>
      </c>
      <c r="N22" s="806">
        <f t="shared" si="1"/>
        <v>29169.316845222835</v>
      </c>
      <c r="O22" s="806">
        <f t="shared" si="1"/>
        <v>0</v>
      </c>
      <c r="P22" s="806">
        <f t="shared" si="1"/>
        <v>0</v>
      </c>
      <c r="Q22" s="806">
        <f t="shared" si="1"/>
        <v>0</v>
      </c>
      <c r="R22" s="806">
        <f t="shared" si="1"/>
        <v>684483.90793719131</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2394.6792644139791</v>
      </c>
      <c r="D24" s="688">
        <f>+landbouw!C8</f>
        <v>0</v>
      </c>
      <c r="E24" s="688">
        <f>+landbouw!D8</f>
        <v>746.71351224050784</v>
      </c>
      <c r="F24" s="688">
        <f>+landbouw!E8</f>
        <v>22.559483158519004</v>
      </c>
      <c r="G24" s="688">
        <f>+landbouw!F8</f>
        <v>7814.6331640353947</v>
      </c>
      <c r="H24" s="688">
        <f>+landbouw!G8</f>
        <v>0</v>
      </c>
      <c r="I24" s="688">
        <f>+landbouw!H8</f>
        <v>0</v>
      </c>
      <c r="J24" s="688">
        <f>+landbouw!I8</f>
        <v>0</v>
      </c>
      <c r="K24" s="688">
        <f>+landbouw!J8</f>
        <v>296.23347272571385</v>
      </c>
      <c r="L24" s="688">
        <f>+landbouw!K8</f>
        <v>0</v>
      </c>
      <c r="M24" s="688">
        <f>+landbouw!L8</f>
        <v>0</v>
      </c>
      <c r="N24" s="688">
        <f>+landbouw!M8</f>
        <v>0</v>
      </c>
      <c r="O24" s="688">
        <f>+landbouw!N8</f>
        <v>0</v>
      </c>
      <c r="P24" s="688">
        <f>+landbouw!O8</f>
        <v>0</v>
      </c>
      <c r="Q24" s="689">
        <f>+landbouw!P8</f>
        <v>0</v>
      </c>
      <c r="R24" s="691">
        <f>SUM(C24:Q24)</f>
        <v>11274.818896574114</v>
      </c>
      <c r="S24" s="68"/>
    </row>
    <row r="25" spans="1:19" s="457" customFormat="1" ht="15" thickBot="1">
      <c r="A25" s="825" t="s">
        <v>912</v>
      </c>
      <c r="B25" s="1001"/>
      <c r="C25" s="1002">
        <f>IF(Onbekend_ele_kWh="---",0,Onbekend_ele_kWh)/1000+IF(REST_rest_ele_kWh="---",0,REST_rest_ele_kWh)/1000</f>
        <v>7264.8930114978893</v>
      </c>
      <c r="D25" s="1002"/>
      <c r="E25" s="1002">
        <f>IF(onbekend_gas_kWh="---",0,onbekend_gas_kWh)/1000+IF(REST_rest_gas_kWh="---",0,REST_rest_gas_kWh)/1000</f>
        <v>41218.105626820397</v>
      </c>
      <c r="F25" s="1002"/>
      <c r="G25" s="1002"/>
      <c r="H25" s="1002"/>
      <c r="I25" s="1002"/>
      <c r="J25" s="1002"/>
      <c r="K25" s="1002"/>
      <c r="L25" s="1002"/>
      <c r="M25" s="1002"/>
      <c r="N25" s="1002"/>
      <c r="O25" s="1002"/>
      <c r="P25" s="1002"/>
      <c r="Q25" s="1003"/>
      <c r="R25" s="691">
        <f>SUM(C25:Q25)</f>
        <v>48482.998638318284</v>
      </c>
      <c r="S25" s="68"/>
    </row>
    <row r="26" spans="1:19" s="457" customFormat="1" ht="15.75" thickBot="1">
      <c r="A26" s="694" t="s">
        <v>913</v>
      </c>
      <c r="B26" s="811"/>
      <c r="C26" s="806">
        <f>SUM(C24:C25)</f>
        <v>9659.5722759118689</v>
      </c>
      <c r="D26" s="806">
        <f t="shared" ref="D26:R26" si="2">SUM(D24:D25)</f>
        <v>0</v>
      </c>
      <c r="E26" s="806">
        <f t="shared" si="2"/>
        <v>41964.819139060906</v>
      </c>
      <c r="F26" s="806">
        <f t="shared" si="2"/>
        <v>22.559483158519004</v>
      </c>
      <c r="G26" s="806">
        <f t="shared" si="2"/>
        <v>7814.6331640353947</v>
      </c>
      <c r="H26" s="806">
        <f t="shared" si="2"/>
        <v>0</v>
      </c>
      <c r="I26" s="806">
        <f t="shared" si="2"/>
        <v>0</v>
      </c>
      <c r="J26" s="806">
        <f t="shared" si="2"/>
        <v>0</v>
      </c>
      <c r="K26" s="806">
        <f t="shared" si="2"/>
        <v>296.23347272571385</v>
      </c>
      <c r="L26" s="806">
        <f t="shared" si="2"/>
        <v>0</v>
      </c>
      <c r="M26" s="806">
        <f t="shared" si="2"/>
        <v>0</v>
      </c>
      <c r="N26" s="806">
        <f t="shared" si="2"/>
        <v>0</v>
      </c>
      <c r="O26" s="806">
        <f t="shared" si="2"/>
        <v>0</v>
      </c>
      <c r="P26" s="806">
        <f t="shared" si="2"/>
        <v>0</v>
      </c>
      <c r="Q26" s="806">
        <f t="shared" si="2"/>
        <v>0</v>
      </c>
      <c r="R26" s="806">
        <f t="shared" si="2"/>
        <v>59757.817534892398</v>
      </c>
      <c r="S26" s="68"/>
    </row>
    <row r="27" spans="1:19" s="457" customFormat="1" ht="17.25" thickTop="1" thickBot="1">
      <c r="A27" s="695" t="s">
        <v>116</v>
      </c>
      <c r="B27" s="798"/>
      <c r="C27" s="696">
        <f ca="1">C22+C16+C26</f>
        <v>432393.44392584619</v>
      </c>
      <c r="D27" s="696">
        <f t="shared" ref="D27:R27" ca="1" si="3">D22+D16+D26</f>
        <v>916.07142857142856</v>
      </c>
      <c r="E27" s="696">
        <f t="shared" ca="1" si="3"/>
        <v>825900.56190960214</v>
      </c>
      <c r="F27" s="696">
        <f t="shared" si="3"/>
        <v>13754.554316567333</v>
      </c>
      <c r="G27" s="696">
        <f t="shared" ca="1" si="3"/>
        <v>108534.52384735903</v>
      </c>
      <c r="H27" s="696">
        <f t="shared" si="3"/>
        <v>575646.39997107489</v>
      </c>
      <c r="I27" s="696">
        <f t="shared" si="3"/>
        <v>77442.508783823519</v>
      </c>
      <c r="J27" s="696">
        <f t="shared" si="3"/>
        <v>0</v>
      </c>
      <c r="K27" s="696">
        <f t="shared" si="3"/>
        <v>2496.7063668916953</v>
      </c>
      <c r="L27" s="696">
        <f t="shared" si="3"/>
        <v>0</v>
      </c>
      <c r="M27" s="696">
        <f t="shared" ca="1" si="3"/>
        <v>0</v>
      </c>
      <c r="N27" s="696">
        <f t="shared" si="3"/>
        <v>29169.316845222835</v>
      </c>
      <c r="O27" s="696">
        <f t="shared" ca="1" si="3"/>
        <v>59997.41769178566</v>
      </c>
      <c r="P27" s="696">
        <f t="shared" si="3"/>
        <v>320.48333333333335</v>
      </c>
      <c r="Q27" s="696">
        <f t="shared" si="3"/>
        <v>533.86666666666667</v>
      </c>
      <c r="R27" s="696">
        <f t="shared" ca="1" si="3"/>
        <v>2127105.8550867448</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38760.824827649834</v>
      </c>
      <c r="D40" s="688">
        <f ca="1">tertiair!C20</f>
        <v>217.70168067226894</v>
      </c>
      <c r="E40" s="688">
        <f ca="1">tertiair!D20</f>
        <v>42778.436521590927</v>
      </c>
      <c r="F40" s="688">
        <f>tertiair!E20</f>
        <v>342.5997964225262</v>
      </c>
      <c r="G40" s="688">
        <f ca="1">tertiair!F20</f>
        <v>10514.824996687001</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92614.387823022553</v>
      </c>
    </row>
    <row r="41" spans="1:18">
      <c r="A41" s="816" t="s">
        <v>225</v>
      </c>
      <c r="B41" s="823"/>
      <c r="C41" s="688">
        <f ca="1">huishoudens!B12</f>
        <v>25976.218416713458</v>
      </c>
      <c r="D41" s="688">
        <f ca="1">huishoudens!C12</f>
        <v>0</v>
      </c>
      <c r="E41" s="688">
        <f>huishoudens!D12</f>
        <v>73820.667784443562</v>
      </c>
      <c r="F41" s="688">
        <f>huishoudens!E12</f>
        <v>2004.6222225101171</v>
      </c>
      <c r="G41" s="688">
        <f>huishoudens!F12</f>
        <v>8858.2118813333418</v>
      </c>
      <c r="H41" s="688">
        <f>huishoudens!G12</f>
        <v>0</v>
      </c>
      <c r="I41" s="688">
        <f>huishoudens!H12</f>
        <v>0</v>
      </c>
      <c r="J41" s="688">
        <f>huishoudens!I12</f>
        <v>0</v>
      </c>
      <c r="K41" s="688">
        <f>huishoudens!J12</f>
        <v>595.42414252801609</v>
      </c>
      <c r="L41" s="688">
        <f>huishoudens!K12</f>
        <v>0</v>
      </c>
      <c r="M41" s="688">
        <f>huishoudens!L12</f>
        <v>0</v>
      </c>
      <c r="N41" s="688">
        <f>huishoudens!M12</f>
        <v>0</v>
      </c>
      <c r="O41" s="688">
        <f>huishoudens!N12</f>
        <v>0</v>
      </c>
      <c r="P41" s="688">
        <f>huishoudens!O12</f>
        <v>0</v>
      </c>
      <c r="Q41" s="763">
        <f>huishoudens!P12</f>
        <v>0</v>
      </c>
      <c r="R41" s="844">
        <f t="shared" ca="1" si="4"/>
        <v>111255.1444475285</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23293.956935686667</v>
      </c>
      <c r="D43" s="688">
        <f ca="1">industrie!C22</f>
        <v>0</v>
      </c>
      <c r="E43" s="688">
        <f>industrie!D22</f>
        <v>41749.044447475484</v>
      </c>
      <c r="F43" s="688">
        <f>industrie!E22</f>
        <v>275.20928071739417</v>
      </c>
      <c r="G43" s="688">
        <f>industrie!F22</f>
        <v>7519.1739344270709</v>
      </c>
      <c r="H43" s="688">
        <f>industrie!G22</f>
        <v>0</v>
      </c>
      <c r="I43" s="688">
        <f>industrie!H22</f>
        <v>0</v>
      </c>
      <c r="J43" s="688">
        <f>industrie!I22</f>
        <v>0</v>
      </c>
      <c r="K43" s="688">
        <f>industrie!J22</f>
        <v>183.54326200674143</v>
      </c>
      <c r="L43" s="688">
        <f>industrie!K22</f>
        <v>0</v>
      </c>
      <c r="M43" s="688">
        <f>industrie!L22</f>
        <v>0</v>
      </c>
      <c r="N43" s="688">
        <f>industrie!M22</f>
        <v>0</v>
      </c>
      <c r="O43" s="688">
        <f>industrie!N22</f>
        <v>0</v>
      </c>
      <c r="P43" s="688">
        <f>industrie!O22</f>
        <v>0</v>
      </c>
      <c r="Q43" s="763">
        <f>industrie!P22</f>
        <v>0</v>
      </c>
      <c r="R43" s="843">
        <f t="shared" ca="1" si="4"/>
        <v>73020.927860313357</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88031.000180049959</v>
      </c>
      <c r="D46" s="721">
        <f t="shared" ref="D46:Q46" ca="1" si="5">SUM(D39:D45)</f>
        <v>217.70168067226894</v>
      </c>
      <c r="E46" s="721">
        <f t="shared" ca="1" si="5"/>
        <v>158348.14875350997</v>
      </c>
      <c r="F46" s="721">
        <f t="shared" si="5"/>
        <v>2622.4312996500375</v>
      </c>
      <c r="G46" s="721">
        <f t="shared" ca="1" si="5"/>
        <v>26892.210812447414</v>
      </c>
      <c r="H46" s="721">
        <f t="shared" si="5"/>
        <v>0</v>
      </c>
      <c r="I46" s="721">
        <f t="shared" si="5"/>
        <v>0</v>
      </c>
      <c r="J46" s="721">
        <f t="shared" si="5"/>
        <v>0</v>
      </c>
      <c r="K46" s="721">
        <f t="shared" si="5"/>
        <v>778.96740453475752</v>
      </c>
      <c r="L46" s="721">
        <f t="shared" si="5"/>
        <v>0</v>
      </c>
      <c r="M46" s="721">
        <f t="shared" ca="1" si="5"/>
        <v>0</v>
      </c>
      <c r="N46" s="721">
        <f t="shared" si="5"/>
        <v>0</v>
      </c>
      <c r="O46" s="721">
        <f t="shared" ca="1" si="5"/>
        <v>0</v>
      </c>
      <c r="P46" s="721">
        <f t="shared" si="5"/>
        <v>0</v>
      </c>
      <c r="Q46" s="721">
        <f t="shared" si="5"/>
        <v>0</v>
      </c>
      <c r="R46" s="721">
        <f ca="1">SUM(R39:R45)</f>
        <v>276890.46013086441</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3017.2529188540539</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3017.2529188540539</v>
      </c>
    </row>
    <row r="50" spans="1:18">
      <c r="A50" s="819" t="s">
        <v>307</v>
      </c>
      <c r="B50" s="829"/>
      <c r="C50" s="1008">
        <f ca="1">transport!B18</f>
        <v>2.5472970269285917</v>
      </c>
      <c r="D50" s="1008">
        <f>transport!C18</f>
        <v>0</v>
      </c>
      <c r="E50" s="1008">
        <f>transport!D18</f>
        <v>6.8712861393933258</v>
      </c>
      <c r="F50" s="1008">
        <f>transport!E18</f>
        <v>494.7315275337636</v>
      </c>
      <c r="G50" s="1008">
        <f>transport!F18</f>
        <v>0</v>
      </c>
      <c r="H50" s="1008">
        <f>transport!G18</f>
        <v>150680.33587342294</v>
      </c>
      <c r="I50" s="1008">
        <f>transport!H18</f>
        <v>19283.184687172055</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170467.67067129508</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2.5472970269285917</v>
      </c>
      <c r="D52" s="721">
        <f t="shared" ref="D52:Q52" ca="1" si="6">SUM(D48:D51)</f>
        <v>0</v>
      </c>
      <c r="E52" s="721">
        <f t="shared" si="6"/>
        <v>6.8712861393933258</v>
      </c>
      <c r="F52" s="721">
        <f t="shared" si="6"/>
        <v>494.7315275337636</v>
      </c>
      <c r="G52" s="721">
        <f t="shared" si="6"/>
        <v>0</v>
      </c>
      <c r="H52" s="721">
        <f t="shared" si="6"/>
        <v>153697.58879227701</v>
      </c>
      <c r="I52" s="721">
        <f t="shared" si="6"/>
        <v>19283.184687172055</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173484.92359014915</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498.68753098340085</v>
      </c>
      <c r="D54" s="1008">
        <f ca="1">+landbouw!C12</f>
        <v>0</v>
      </c>
      <c r="E54" s="1008">
        <f>+landbouw!D12</f>
        <v>150.8361294725826</v>
      </c>
      <c r="F54" s="1008">
        <f>+landbouw!E12</f>
        <v>5.1210026769838137</v>
      </c>
      <c r="G54" s="1008">
        <f>+landbouw!F12</f>
        <v>2086.5070547974506</v>
      </c>
      <c r="H54" s="1008">
        <f>+landbouw!G12</f>
        <v>0</v>
      </c>
      <c r="I54" s="1008">
        <f>+landbouw!H12</f>
        <v>0</v>
      </c>
      <c r="J54" s="1008">
        <f>+landbouw!I12</f>
        <v>0</v>
      </c>
      <c r="K54" s="1008">
        <f>+landbouw!J12</f>
        <v>104.8666493449027</v>
      </c>
      <c r="L54" s="1008">
        <f>+landbouw!K12</f>
        <v>0</v>
      </c>
      <c r="M54" s="1008">
        <f>+landbouw!L12</f>
        <v>0</v>
      </c>
      <c r="N54" s="1008">
        <f>+landbouw!M12</f>
        <v>0</v>
      </c>
      <c r="O54" s="1008">
        <f>+landbouw!N12</f>
        <v>0</v>
      </c>
      <c r="P54" s="1008">
        <f>+landbouw!O12</f>
        <v>0</v>
      </c>
      <c r="Q54" s="1009">
        <f>+landbouw!P12</f>
        <v>0</v>
      </c>
      <c r="R54" s="720">
        <f ca="1">SUM(C54:Q54)</f>
        <v>2846.0183672753205</v>
      </c>
    </row>
    <row r="55" spans="1:18" ht="15" thickBot="1">
      <c r="A55" s="819" t="s">
        <v>912</v>
      </c>
      <c r="B55" s="829"/>
      <c r="C55" s="1008">
        <f ca="1">C25*'EF ele_warmte'!B12</f>
        <v>1512.9005427159102</v>
      </c>
      <c r="D55" s="1008"/>
      <c r="E55" s="1008">
        <f>E25*EF_CO2_aardgas</f>
        <v>8326.0573366177214</v>
      </c>
      <c r="F55" s="1008"/>
      <c r="G55" s="1008"/>
      <c r="H55" s="1008"/>
      <c r="I55" s="1008"/>
      <c r="J55" s="1008"/>
      <c r="K55" s="1008"/>
      <c r="L55" s="1008"/>
      <c r="M55" s="1008"/>
      <c r="N55" s="1008"/>
      <c r="O55" s="1008"/>
      <c r="P55" s="1008"/>
      <c r="Q55" s="1009"/>
      <c r="R55" s="720">
        <f ca="1">SUM(C55:Q55)</f>
        <v>9838.9578793336314</v>
      </c>
    </row>
    <row r="56" spans="1:18" ht="15.75" thickBot="1">
      <c r="A56" s="817" t="s">
        <v>913</v>
      </c>
      <c r="B56" s="830"/>
      <c r="C56" s="721">
        <f ca="1">SUM(C54:C55)</f>
        <v>2011.5880736993111</v>
      </c>
      <c r="D56" s="721">
        <f t="shared" ref="D56:Q56" ca="1" si="7">SUM(D54:D55)</f>
        <v>0</v>
      </c>
      <c r="E56" s="721">
        <f t="shared" si="7"/>
        <v>8476.8934660903033</v>
      </c>
      <c r="F56" s="721">
        <f t="shared" si="7"/>
        <v>5.1210026769838137</v>
      </c>
      <c r="G56" s="721">
        <f t="shared" si="7"/>
        <v>2086.5070547974506</v>
      </c>
      <c r="H56" s="721">
        <f t="shared" si="7"/>
        <v>0</v>
      </c>
      <c r="I56" s="721">
        <f t="shared" si="7"/>
        <v>0</v>
      </c>
      <c r="J56" s="721">
        <f t="shared" si="7"/>
        <v>0</v>
      </c>
      <c r="K56" s="721">
        <f t="shared" si="7"/>
        <v>104.8666493449027</v>
      </c>
      <c r="L56" s="721">
        <f t="shared" si="7"/>
        <v>0</v>
      </c>
      <c r="M56" s="721">
        <f t="shared" si="7"/>
        <v>0</v>
      </c>
      <c r="N56" s="721">
        <f t="shared" si="7"/>
        <v>0</v>
      </c>
      <c r="O56" s="721">
        <f t="shared" si="7"/>
        <v>0</v>
      </c>
      <c r="P56" s="721">
        <f t="shared" si="7"/>
        <v>0</v>
      </c>
      <c r="Q56" s="722">
        <f t="shared" si="7"/>
        <v>0</v>
      </c>
      <c r="R56" s="723">
        <f ca="1">SUM(R54:R55)</f>
        <v>12684.976246608952</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90045.135550776205</v>
      </c>
      <c r="D61" s="729">
        <f t="shared" ref="D61:Q61" ca="1" si="8">D46+D52+D56</f>
        <v>217.70168067226894</v>
      </c>
      <c r="E61" s="729">
        <f t="shared" ca="1" si="8"/>
        <v>166831.91350573965</v>
      </c>
      <c r="F61" s="729">
        <f t="shared" si="8"/>
        <v>3122.2838298607849</v>
      </c>
      <c r="G61" s="729">
        <f t="shared" ca="1" si="8"/>
        <v>28978.717867244864</v>
      </c>
      <c r="H61" s="729">
        <f t="shared" si="8"/>
        <v>153697.58879227701</v>
      </c>
      <c r="I61" s="729">
        <f t="shared" si="8"/>
        <v>19283.184687172055</v>
      </c>
      <c r="J61" s="729">
        <f t="shared" si="8"/>
        <v>0</v>
      </c>
      <c r="K61" s="729">
        <f t="shared" si="8"/>
        <v>883.83405387966025</v>
      </c>
      <c r="L61" s="729">
        <f t="shared" si="8"/>
        <v>0</v>
      </c>
      <c r="M61" s="729">
        <f t="shared" ca="1" si="8"/>
        <v>0</v>
      </c>
      <c r="N61" s="729">
        <f t="shared" si="8"/>
        <v>0</v>
      </c>
      <c r="O61" s="729">
        <f t="shared" ca="1" si="8"/>
        <v>0</v>
      </c>
      <c r="P61" s="729">
        <f t="shared" si="8"/>
        <v>0</v>
      </c>
      <c r="Q61" s="729">
        <f t="shared" si="8"/>
        <v>0</v>
      </c>
      <c r="R61" s="729">
        <f ca="1">R46+R52+R56</f>
        <v>463060.3599676225</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0.2082481518064335</v>
      </c>
      <c r="D63" s="773">
        <f t="shared" ca="1" si="9"/>
        <v>0.23764705882352943</v>
      </c>
      <c r="E63" s="1010">
        <f t="shared" ca="1" si="9"/>
        <v>0.20200000000000001</v>
      </c>
      <c r="F63" s="773">
        <f t="shared" si="9"/>
        <v>0.22700000000000001</v>
      </c>
      <c r="G63" s="773">
        <f t="shared" ca="1" si="9"/>
        <v>0.26700000000000002</v>
      </c>
      <c r="H63" s="773">
        <f t="shared" si="9"/>
        <v>0.26700000000000002</v>
      </c>
      <c r="I63" s="773">
        <f t="shared" si="9"/>
        <v>0.249</v>
      </c>
      <c r="J63" s="773">
        <f t="shared" si="9"/>
        <v>0</v>
      </c>
      <c r="K63" s="773">
        <f t="shared" si="9"/>
        <v>0.35400000000000004</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9932.805633004109</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0</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15706.138861594973</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0</v>
      </c>
      <c r="C76" s="739">
        <f>'lokale energieproductie'!B8*IFERROR(SUM(D76:H76)/SUM(D76:O76),0)</f>
        <v>641.25</v>
      </c>
      <c r="D76" s="1020">
        <f>'lokale energieproductie'!C8</f>
        <v>754.41176470588255</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152.39117647058828</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25638.944494599084</v>
      </c>
      <c r="C78" s="744">
        <f>SUM(C72:C77)</f>
        <v>641.25</v>
      </c>
      <c r="D78" s="745">
        <f t="shared" ref="D78:H78" si="10">SUM(D76:D77)</f>
        <v>754.41176470588255</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152.39117647058828</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0</v>
      </c>
      <c r="C87" s="755">
        <f>'lokale energieproductie'!B17*IFERROR(SUM(D87:H87)/SUM(D87:O87),0)</f>
        <v>916.07142857142856</v>
      </c>
      <c r="D87" s="766">
        <f>'lokale energieproductie'!C17</f>
        <v>1077.7310924369749</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217.70168067226894</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916.07142857142856</v>
      </c>
      <c r="D90" s="744">
        <f t="shared" ref="D90:H90" si="12">SUM(D87:D89)</f>
        <v>1077.7310924369749</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217.70168067226894</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9932.805633004109</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0</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15706.138861594973</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641.25</v>
      </c>
      <c r="C8" s="558">
        <f>B101</f>
        <v>754.41176470588255</v>
      </c>
      <c r="D8" s="991"/>
      <c r="E8" s="991">
        <f>E101</f>
        <v>0</v>
      </c>
      <c r="F8" s="992"/>
      <c r="G8" s="559"/>
      <c r="H8" s="991">
        <f>I101</f>
        <v>0</v>
      </c>
      <c r="I8" s="991">
        <f>G101+F101</f>
        <v>0</v>
      </c>
      <c r="J8" s="991">
        <f>H101+D101+C101</f>
        <v>0</v>
      </c>
      <c r="K8" s="991"/>
      <c r="L8" s="991"/>
      <c r="M8" s="991"/>
      <c r="N8" s="560"/>
      <c r="O8" s="561">
        <f>C8*$C$12+D8*$D$12+E8*$E$12+F8*$F$12+G8*$G$12+H8*$H$12+I8*$I$12+J8*$J$12</f>
        <v>152.39117647058828</v>
      </c>
      <c r="P8" s="1236"/>
      <c r="Q8" s="1237"/>
      <c r="S8" s="1028"/>
      <c r="T8" s="1257"/>
      <c r="U8" s="1257"/>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26280.194494599084</v>
      </c>
      <c r="C10" s="570">
        <f t="shared" ref="C10:L10" si="0">SUM(C8:C9)</f>
        <v>754.41176470588255</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152.39117647058828</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916.07142857142856</v>
      </c>
      <c r="C17" s="582">
        <f>B102</f>
        <v>1077.7310924369749</v>
      </c>
      <c r="D17" s="583"/>
      <c r="E17" s="583">
        <f>E102</f>
        <v>0</v>
      </c>
      <c r="F17" s="584"/>
      <c r="G17" s="585"/>
      <c r="H17" s="582">
        <f>I102</f>
        <v>0</v>
      </c>
      <c r="I17" s="583">
        <f>G102+F102</f>
        <v>0</v>
      </c>
      <c r="J17" s="583">
        <f>H102+D102+C102</f>
        <v>0</v>
      </c>
      <c r="K17" s="583"/>
      <c r="L17" s="583"/>
      <c r="M17" s="583"/>
      <c r="N17" s="998"/>
      <c r="O17" s="586">
        <f>C17*$C$22+E17*$E$22+H17*$H$22+I17*$I$22+J17*$J$22+D17*$D$22+F17*$F$22+G17*$G$22+K17*$K$22+L17*$L$22</f>
        <v>217.70168067226894</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916.07142857142856</v>
      </c>
      <c r="C20" s="569">
        <f>SUM(C17:C19)</f>
        <v>1077.7310924369749</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217.70168067226894</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51">
      <c r="A28" s="594"/>
      <c r="B28" s="789">
        <v>34022</v>
      </c>
      <c r="C28" s="789">
        <v>8500</v>
      </c>
      <c r="D28" s="642" t="s">
        <v>946</v>
      </c>
      <c r="E28" s="641" t="s">
        <v>947</v>
      </c>
      <c r="F28" s="641" t="s">
        <v>948</v>
      </c>
      <c r="G28" s="641" t="s">
        <v>949</v>
      </c>
      <c r="H28" s="641" t="s">
        <v>950</v>
      </c>
      <c r="I28" s="641" t="s">
        <v>947</v>
      </c>
      <c r="J28" s="788">
        <v>39953</v>
      </c>
      <c r="K28" s="788">
        <v>40179</v>
      </c>
      <c r="L28" s="641" t="s">
        <v>951</v>
      </c>
      <c r="M28" s="641">
        <v>142.5</v>
      </c>
      <c r="N28" s="641">
        <v>641.25</v>
      </c>
      <c r="O28" s="641">
        <v>916.07142857142856</v>
      </c>
      <c r="P28" s="641">
        <v>1832.1428571428573</v>
      </c>
      <c r="Q28" s="641">
        <v>0</v>
      </c>
      <c r="R28" s="641">
        <v>0</v>
      </c>
      <c r="S28" s="641">
        <v>0</v>
      </c>
      <c r="T28" s="641">
        <v>0</v>
      </c>
      <c r="U28" s="641">
        <v>0</v>
      </c>
      <c r="V28" s="641">
        <v>0</v>
      </c>
      <c r="W28" s="641"/>
      <c r="X28" s="641">
        <v>1500</v>
      </c>
      <c r="Y28" s="641" t="s">
        <v>51</v>
      </c>
      <c r="Z28" s="643" t="s">
        <v>156</v>
      </c>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142.5</v>
      </c>
      <c r="N58" s="599">
        <f>SUM(N28:N57)</f>
        <v>641.25</v>
      </c>
      <c r="O58" s="599">
        <f t="shared" ref="O58:W58" si="2">SUM(O28:O57)</f>
        <v>916.07142857142856</v>
      </c>
      <c r="P58" s="599">
        <f t="shared" si="2"/>
        <v>1832.1428571428573</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142.5</v>
      </c>
      <c r="N60" s="599">
        <f ca="1">SUMIF($Z$28:AD57,"tertiair",N28:N57)</f>
        <v>641.25</v>
      </c>
      <c r="O60" s="599">
        <f ca="1">SUMIF($Z$28:AE57,"tertiair",O28:O57)</f>
        <v>916.07142857142856</v>
      </c>
      <c r="P60" s="599">
        <f ca="1">SUMIF($Z$28:AF57,"tertiair",P28:P57)</f>
        <v>1832.1428571428573</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0.58823529411764708</v>
      </c>
      <c r="C98" s="624">
        <f>IF(ISERROR(N58/(O58+N58)),0,N58/(N58+O58))</f>
        <v>0.41176470588235298</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754.41176470588255</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1077.7310924369749</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124736.84972176049</v>
      </c>
      <c r="C4" s="461">
        <f>huishoudens!C8</f>
        <v>0</v>
      </c>
      <c r="D4" s="461">
        <f>huishoudens!D8</f>
        <v>365448.85041803739</v>
      </c>
      <c r="E4" s="461">
        <f>huishoudens!E8</f>
        <v>8830.9349009256257</v>
      </c>
      <c r="F4" s="461">
        <f>huishoudens!F8</f>
        <v>33176.823525593041</v>
      </c>
      <c r="G4" s="461">
        <f>huishoudens!G8</f>
        <v>0</v>
      </c>
      <c r="H4" s="461">
        <f>huishoudens!H8</f>
        <v>0</v>
      </c>
      <c r="I4" s="461">
        <f>huishoudens!I8</f>
        <v>0</v>
      </c>
      <c r="J4" s="461">
        <f>huishoudens!J8</f>
        <v>1681.9891031864861</v>
      </c>
      <c r="K4" s="461">
        <f>huishoudens!K8</f>
        <v>0</v>
      </c>
      <c r="L4" s="461">
        <f>huishoudens!L8</f>
        <v>0</v>
      </c>
      <c r="M4" s="461">
        <f>huishoudens!M8</f>
        <v>0</v>
      </c>
      <c r="N4" s="461">
        <f>huishoudens!N8</f>
        <v>40677.12428034818</v>
      </c>
      <c r="O4" s="461">
        <f>huishoudens!O8</f>
        <v>311.10333333333335</v>
      </c>
      <c r="P4" s="462">
        <f>huishoudens!P8</f>
        <v>533.86666666666667</v>
      </c>
      <c r="Q4" s="463">
        <f>SUM(B4:P4)</f>
        <v>575397.54194985132</v>
      </c>
    </row>
    <row r="5" spans="1:17">
      <c r="A5" s="460" t="s">
        <v>156</v>
      </c>
      <c r="B5" s="461">
        <f ca="1">tertiair!B16</f>
        <v>179410.56860065227</v>
      </c>
      <c r="C5" s="461">
        <f ca="1">tertiair!C16</f>
        <v>916.07142857142856</v>
      </c>
      <c r="D5" s="461">
        <f ca="1">tertiair!D16</f>
        <v>211774.43822569764</v>
      </c>
      <c r="E5" s="461">
        <f>tertiair!E16</f>
        <v>1509.2502045045205</v>
      </c>
      <c r="F5" s="461">
        <f ca="1">tertiair!F16</f>
        <v>39381.367028790264</v>
      </c>
      <c r="G5" s="461">
        <f>tertiair!G16</f>
        <v>0</v>
      </c>
      <c r="H5" s="461">
        <f>tertiair!H16</f>
        <v>0</v>
      </c>
      <c r="I5" s="461">
        <f>tertiair!I16</f>
        <v>0</v>
      </c>
      <c r="J5" s="461">
        <f>tertiair!J16</f>
        <v>0</v>
      </c>
      <c r="K5" s="461">
        <f>tertiair!K16</f>
        <v>0</v>
      </c>
      <c r="L5" s="461">
        <f ca="1">tertiair!L16</f>
        <v>0</v>
      </c>
      <c r="M5" s="461">
        <f>tertiair!M16</f>
        <v>0</v>
      </c>
      <c r="N5" s="461">
        <f ca="1">tertiair!N16</f>
        <v>11889.003846045458</v>
      </c>
      <c r="O5" s="461">
        <f>tertiair!O16</f>
        <v>9.3800000000000008</v>
      </c>
      <c r="P5" s="462">
        <f>tertiair!P16</f>
        <v>0</v>
      </c>
      <c r="Q5" s="460">
        <f t="shared" ref="Q5:Q14" ca="1" si="0">SUM(B5:P5)</f>
        <v>444890.07933426159</v>
      </c>
    </row>
    <row r="6" spans="1:17">
      <c r="A6" s="460" t="s">
        <v>194</v>
      </c>
      <c r="B6" s="461">
        <f>'openbare verlichting'!B8</f>
        <v>6717.4930000000004</v>
      </c>
      <c r="C6" s="461"/>
      <c r="D6" s="461"/>
      <c r="E6" s="461"/>
      <c r="F6" s="461"/>
      <c r="G6" s="461"/>
      <c r="H6" s="461"/>
      <c r="I6" s="461"/>
      <c r="J6" s="461"/>
      <c r="K6" s="461"/>
      <c r="L6" s="461"/>
      <c r="M6" s="461"/>
      <c r="N6" s="461"/>
      <c r="O6" s="461"/>
      <c r="P6" s="462"/>
      <c r="Q6" s="460">
        <f t="shared" si="0"/>
        <v>6717.4930000000004</v>
      </c>
    </row>
    <row r="7" spans="1:17">
      <c r="A7" s="460" t="s">
        <v>112</v>
      </c>
      <c r="B7" s="461">
        <f>landbouw!B8</f>
        <v>2394.6792644139791</v>
      </c>
      <c r="C7" s="461">
        <f>landbouw!C8</f>
        <v>0</v>
      </c>
      <c r="D7" s="461">
        <f>landbouw!D8</f>
        <v>746.71351224050784</v>
      </c>
      <c r="E7" s="461">
        <f>landbouw!E8</f>
        <v>22.559483158519004</v>
      </c>
      <c r="F7" s="461">
        <f>landbouw!F8</f>
        <v>7814.6331640353947</v>
      </c>
      <c r="G7" s="461">
        <f>landbouw!G8</f>
        <v>0</v>
      </c>
      <c r="H7" s="461">
        <f>landbouw!H8</f>
        <v>0</v>
      </c>
      <c r="I7" s="461">
        <f>landbouw!I8</f>
        <v>0</v>
      </c>
      <c r="J7" s="461">
        <f>landbouw!J8</f>
        <v>296.23347272571385</v>
      </c>
      <c r="K7" s="461">
        <f>landbouw!K8</f>
        <v>0</v>
      </c>
      <c r="L7" s="461">
        <f>landbouw!L8</f>
        <v>0</v>
      </c>
      <c r="M7" s="461">
        <f>landbouw!M8</f>
        <v>0</v>
      </c>
      <c r="N7" s="461">
        <f>landbouw!N8</f>
        <v>0</v>
      </c>
      <c r="O7" s="461">
        <f>landbouw!O8</f>
        <v>0</v>
      </c>
      <c r="P7" s="462">
        <f>landbouw!P8</f>
        <v>0</v>
      </c>
      <c r="Q7" s="460">
        <f t="shared" si="0"/>
        <v>11274.818896574114</v>
      </c>
    </row>
    <row r="8" spans="1:17">
      <c r="A8" s="460" t="s">
        <v>685</v>
      </c>
      <c r="B8" s="461">
        <f>industrie!B18</f>
        <v>111856.72830046713</v>
      </c>
      <c r="C8" s="461">
        <f>industrie!C18</f>
        <v>0</v>
      </c>
      <c r="D8" s="461">
        <f>industrie!D18</f>
        <v>206678.43785878952</v>
      </c>
      <c r="E8" s="461">
        <f>industrie!E18</f>
        <v>1212.3756859797099</v>
      </c>
      <c r="F8" s="461">
        <f>industrie!F18</f>
        <v>28161.700128940338</v>
      </c>
      <c r="G8" s="461">
        <f>industrie!G18</f>
        <v>0</v>
      </c>
      <c r="H8" s="461">
        <f>industrie!H18</f>
        <v>0</v>
      </c>
      <c r="I8" s="461">
        <f>industrie!I18</f>
        <v>0</v>
      </c>
      <c r="J8" s="461">
        <f>industrie!J18</f>
        <v>518.48379097949555</v>
      </c>
      <c r="K8" s="461">
        <f>industrie!K18</f>
        <v>0</v>
      </c>
      <c r="L8" s="461">
        <f>industrie!L18</f>
        <v>0</v>
      </c>
      <c r="M8" s="461">
        <f>industrie!M18</f>
        <v>0</v>
      </c>
      <c r="N8" s="461">
        <f>industrie!N18</f>
        <v>7431.2895653920177</v>
      </c>
      <c r="O8" s="461">
        <f>industrie!O18</f>
        <v>0</v>
      </c>
      <c r="P8" s="462">
        <f>industrie!P18</f>
        <v>0</v>
      </c>
      <c r="Q8" s="460">
        <f t="shared" si="0"/>
        <v>355859.01533054822</v>
      </c>
    </row>
    <row r="9" spans="1:17" s="466" customFormat="1">
      <c r="A9" s="464" t="s">
        <v>579</v>
      </c>
      <c r="B9" s="465">
        <f>transport!B14</f>
        <v>12.232027054416802</v>
      </c>
      <c r="C9" s="465">
        <f>transport!C14</f>
        <v>0</v>
      </c>
      <c r="D9" s="465">
        <f>transport!D14</f>
        <v>34.016268016798641</v>
      </c>
      <c r="E9" s="465">
        <f>transport!E14</f>
        <v>2179.4340419989585</v>
      </c>
      <c r="F9" s="465">
        <f>transport!F14</f>
        <v>0</v>
      </c>
      <c r="G9" s="465">
        <f>transport!G14</f>
        <v>564345.82724128442</v>
      </c>
      <c r="H9" s="465">
        <f>transport!H14</f>
        <v>77442.508783823519</v>
      </c>
      <c r="I9" s="465">
        <f>transport!I14</f>
        <v>0</v>
      </c>
      <c r="J9" s="465">
        <f>transport!J14</f>
        <v>0</v>
      </c>
      <c r="K9" s="465">
        <f>transport!K14</f>
        <v>0</v>
      </c>
      <c r="L9" s="465">
        <f>transport!L14</f>
        <v>0</v>
      </c>
      <c r="M9" s="465">
        <f>transport!M14</f>
        <v>28673.090055196975</v>
      </c>
      <c r="N9" s="465">
        <f>transport!N14</f>
        <v>0</v>
      </c>
      <c r="O9" s="465">
        <f>transport!O14</f>
        <v>0</v>
      </c>
      <c r="P9" s="465">
        <f>transport!P14</f>
        <v>0</v>
      </c>
      <c r="Q9" s="464">
        <f>SUM(B9:P9)</f>
        <v>672687.10841737501</v>
      </c>
    </row>
    <row r="10" spans="1:17">
      <c r="A10" s="460" t="s">
        <v>569</v>
      </c>
      <c r="B10" s="461">
        <f>transport!B54</f>
        <v>0</v>
      </c>
      <c r="C10" s="461">
        <f>transport!C54</f>
        <v>0</v>
      </c>
      <c r="D10" s="461">
        <f>transport!D54</f>
        <v>0</v>
      </c>
      <c r="E10" s="461">
        <f>transport!E54</f>
        <v>0</v>
      </c>
      <c r="F10" s="461">
        <f>transport!F54</f>
        <v>0</v>
      </c>
      <c r="G10" s="461">
        <f>transport!G54</f>
        <v>11300.572729790463</v>
      </c>
      <c r="H10" s="461">
        <f>transport!H54</f>
        <v>0</v>
      </c>
      <c r="I10" s="461">
        <f>transport!I54</f>
        <v>0</v>
      </c>
      <c r="J10" s="461">
        <f>transport!J54</f>
        <v>0</v>
      </c>
      <c r="K10" s="461">
        <f>transport!K54</f>
        <v>0</v>
      </c>
      <c r="L10" s="461">
        <f>transport!L54</f>
        <v>0</v>
      </c>
      <c r="M10" s="461">
        <f>transport!M54</f>
        <v>496.22679002586079</v>
      </c>
      <c r="N10" s="461">
        <f>transport!N54</f>
        <v>0</v>
      </c>
      <c r="O10" s="461">
        <f>transport!O54</f>
        <v>0</v>
      </c>
      <c r="P10" s="462">
        <f>transport!P54</f>
        <v>0</v>
      </c>
      <c r="Q10" s="460">
        <f t="shared" si="0"/>
        <v>11796.799519816324</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7264.8930114978893</v>
      </c>
      <c r="C14" s="468"/>
      <c r="D14" s="468">
        <f>'SEAP template'!E25</f>
        <v>41218.105626820397</v>
      </c>
      <c r="E14" s="468"/>
      <c r="F14" s="468"/>
      <c r="G14" s="468"/>
      <c r="H14" s="468"/>
      <c r="I14" s="468"/>
      <c r="J14" s="468"/>
      <c r="K14" s="468"/>
      <c r="L14" s="468"/>
      <c r="M14" s="468"/>
      <c r="N14" s="468"/>
      <c r="O14" s="468"/>
      <c r="P14" s="469"/>
      <c r="Q14" s="460">
        <f t="shared" si="0"/>
        <v>48482.998638318284</v>
      </c>
    </row>
    <row r="15" spans="1:17" s="473" customFormat="1">
      <c r="A15" s="470" t="s">
        <v>573</v>
      </c>
      <c r="B15" s="471">
        <f ca="1">SUM(B4:B14)</f>
        <v>432393.44392584625</v>
      </c>
      <c r="C15" s="471">
        <f t="shared" ref="C15:Q15" ca="1" si="1">SUM(C4:C14)</f>
        <v>916.07142857142856</v>
      </c>
      <c r="D15" s="471">
        <f t="shared" ca="1" si="1"/>
        <v>825900.56190960226</v>
      </c>
      <c r="E15" s="471">
        <f t="shared" si="1"/>
        <v>13754.554316567333</v>
      </c>
      <c r="F15" s="471">
        <f t="shared" ca="1" si="1"/>
        <v>108534.52384735903</v>
      </c>
      <c r="G15" s="471">
        <f t="shared" si="1"/>
        <v>575646.39997107489</v>
      </c>
      <c r="H15" s="471">
        <f t="shared" si="1"/>
        <v>77442.508783823519</v>
      </c>
      <c r="I15" s="471">
        <f t="shared" si="1"/>
        <v>0</v>
      </c>
      <c r="J15" s="471">
        <f t="shared" si="1"/>
        <v>2496.7063668916953</v>
      </c>
      <c r="K15" s="471">
        <f t="shared" si="1"/>
        <v>0</v>
      </c>
      <c r="L15" s="471">
        <f t="shared" ca="1" si="1"/>
        <v>0</v>
      </c>
      <c r="M15" s="471">
        <f t="shared" si="1"/>
        <v>29169.316845222835</v>
      </c>
      <c r="N15" s="471">
        <f t="shared" ca="1" si="1"/>
        <v>59997.41769178566</v>
      </c>
      <c r="O15" s="471">
        <f t="shared" si="1"/>
        <v>320.48333333333335</v>
      </c>
      <c r="P15" s="471">
        <f t="shared" si="1"/>
        <v>533.86666666666667</v>
      </c>
      <c r="Q15" s="471">
        <f t="shared" ca="1" si="1"/>
        <v>2127105.8550867448</v>
      </c>
    </row>
    <row r="17" spans="1:17">
      <c r="A17" s="474" t="s">
        <v>574</v>
      </c>
      <c r="B17" s="778">
        <f ca="1">huishoudens!B10</f>
        <v>0.2082481518064335</v>
      </c>
      <c r="C17" s="778">
        <f ca="1">huishoudens!C10</f>
        <v>0.23764705882352943</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25976.218416713458</v>
      </c>
      <c r="C22" s="461">
        <f t="shared" ref="C22:C32" ca="1" si="3">C4*$C$17</f>
        <v>0</v>
      </c>
      <c r="D22" s="461">
        <f t="shared" ref="D22:D32" si="4">D4*$D$17</f>
        <v>73820.667784443562</v>
      </c>
      <c r="E22" s="461">
        <f t="shared" ref="E22:E32" si="5">E4*$E$17</f>
        <v>2004.6222225101171</v>
      </c>
      <c r="F22" s="461">
        <f t="shared" ref="F22:F32" si="6">F4*$F$17</f>
        <v>8858.2118813333418</v>
      </c>
      <c r="G22" s="461">
        <f t="shared" ref="G22:G32" si="7">G4*$G$17</f>
        <v>0</v>
      </c>
      <c r="H22" s="461">
        <f t="shared" ref="H22:H32" si="8">H4*$H$17</f>
        <v>0</v>
      </c>
      <c r="I22" s="461">
        <f t="shared" ref="I22:I32" si="9">I4*$I$17</f>
        <v>0</v>
      </c>
      <c r="J22" s="461">
        <f t="shared" ref="J22:J32" si="10">J4*$J$17</f>
        <v>595.42414252801609</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111255.1444475285</v>
      </c>
    </row>
    <row r="23" spans="1:17">
      <c r="A23" s="460" t="s">
        <v>156</v>
      </c>
      <c r="B23" s="461">
        <f t="shared" ca="1" si="2"/>
        <v>37361.919325627183</v>
      </c>
      <c r="C23" s="461">
        <f t="shared" ca="1" si="3"/>
        <v>217.70168067226894</v>
      </c>
      <c r="D23" s="461">
        <f t="shared" ca="1" si="4"/>
        <v>42778.436521590927</v>
      </c>
      <c r="E23" s="461">
        <f t="shared" si="5"/>
        <v>342.5997964225262</v>
      </c>
      <c r="F23" s="461">
        <f t="shared" ca="1" si="6"/>
        <v>10514.824996687001</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91215.482320999901</v>
      </c>
    </row>
    <row r="24" spans="1:17">
      <c r="A24" s="460" t="s">
        <v>194</v>
      </c>
      <c r="B24" s="461">
        <f t="shared" ca="1" si="2"/>
        <v>1398.9055020226544</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1398.9055020226544</v>
      </c>
    </row>
    <row r="25" spans="1:17">
      <c r="A25" s="460" t="s">
        <v>112</v>
      </c>
      <c r="B25" s="461">
        <f t="shared" ca="1" si="2"/>
        <v>498.68753098340085</v>
      </c>
      <c r="C25" s="461">
        <f t="shared" ca="1" si="3"/>
        <v>0</v>
      </c>
      <c r="D25" s="461">
        <f t="shared" si="4"/>
        <v>150.8361294725826</v>
      </c>
      <c r="E25" s="461">
        <f t="shared" si="5"/>
        <v>5.1210026769838137</v>
      </c>
      <c r="F25" s="461">
        <f t="shared" si="6"/>
        <v>2086.5070547974506</v>
      </c>
      <c r="G25" s="461">
        <f t="shared" si="7"/>
        <v>0</v>
      </c>
      <c r="H25" s="461">
        <f t="shared" si="8"/>
        <v>0</v>
      </c>
      <c r="I25" s="461">
        <f t="shared" si="9"/>
        <v>0</v>
      </c>
      <c r="J25" s="461">
        <f t="shared" si="10"/>
        <v>104.8666493449027</v>
      </c>
      <c r="K25" s="461">
        <f t="shared" si="11"/>
        <v>0</v>
      </c>
      <c r="L25" s="461">
        <f t="shared" si="12"/>
        <v>0</v>
      </c>
      <c r="M25" s="461">
        <f t="shared" si="13"/>
        <v>0</v>
      </c>
      <c r="N25" s="461">
        <f t="shared" si="14"/>
        <v>0</v>
      </c>
      <c r="O25" s="461">
        <f t="shared" si="15"/>
        <v>0</v>
      </c>
      <c r="P25" s="462">
        <f t="shared" si="16"/>
        <v>0</v>
      </c>
      <c r="Q25" s="460">
        <f t="shared" ca="1" si="17"/>
        <v>2846.0183672753205</v>
      </c>
    </row>
    <row r="26" spans="1:17">
      <c r="A26" s="460" t="s">
        <v>685</v>
      </c>
      <c r="B26" s="461">
        <f t="shared" ca="1" si="2"/>
        <v>23293.956935686667</v>
      </c>
      <c r="C26" s="461">
        <f t="shared" ca="1" si="3"/>
        <v>0</v>
      </c>
      <c r="D26" s="461">
        <f t="shared" si="4"/>
        <v>41749.044447475484</v>
      </c>
      <c r="E26" s="461">
        <f t="shared" si="5"/>
        <v>275.20928071739417</v>
      </c>
      <c r="F26" s="461">
        <f t="shared" si="6"/>
        <v>7519.1739344270709</v>
      </c>
      <c r="G26" s="461">
        <f t="shared" si="7"/>
        <v>0</v>
      </c>
      <c r="H26" s="461">
        <f t="shared" si="8"/>
        <v>0</v>
      </c>
      <c r="I26" s="461">
        <f t="shared" si="9"/>
        <v>0</v>
      </c>
      <c r="J26" s="461">
        <f t="shared" si="10"/>
        <v>183.54326200674143</v>
      </c>
      <c r="K26" s="461">
        <f t="shared" si="11"/>
        <v>0</v>
      </c>
      <c r="L26" s="461">
        <f t="shared" si="12"/>
        <v>0</v>
      </c>
      <c r="M26" s="461">
        <f t="shared" si="13"/>
        <v>0</v>
      </c>
      <c r="N26" s="461">
        <f t="shared" si="14"/>
        <v>0</v>
      </c>
      <c r="O26" s="461">
        <f t="shared" si="15"/>
        <v>0</v>
      </c>
      <c r="P26" s="462">
        <f t="shared" si="16"/>
        <v>0</v>
      </c>
      <c r="Q26" s="460">
        <f t="shared" ca="1" si="17"/>
        <v>73020.927860313357</v>
      </c>
    </row>
    <row r="27" spans="1:17" s="466" customFormat="1">
      <c r="A27" s="464" t="s">
        <v>579</v>
      </c>
      <c r="B27" s="772">
        <f t="shared" ca="1" si="2"/>
        <v>2.5472970269285917</v>
      </c>
      <c r="C27" s="465">
        <f t="shared" ca="1" si="3"/>
        <v>0</v>
      </c>
      <c r="D27" s="465">
        <f t="shared" si="4"/>
        <v>6.8712861393933258</v>
      </c>
      <c r="E27" s="465">
        <f t="shared" si="5"/>
        <v>494.7315275337636</v>
      </c>
      <c r="F27" s="465">
        <f t="shared" si="6"/>
        <v>0</v>
      </c>
      <c r="G27" s="465">
        <f t="shared" si="7"/>
        <v>150680.33587342294</v>
      </c>
      <c r="H27" s="465">
        <f t="shared" si="8"/>
        <v>19283.184687172055</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170467.67067129508</v>
      </c>
    </row>
    <row r="28" spans="1:17">
      <c r="A28" s="460" t="s">
        <v>569</v>
      </c>
      <c r="B28" s="461">
        <f t="shared" ca="1" si="2"/>
        <v>0</v>
      </c>
      <c r="C28" s="461">
        <f t="shared" ca="1" si="3"/>
        <v>0</v>
      </c>
      <c r="D28" s="461">
        <f t="shared" si="4"/>
        <v>0</v>
      </c>
      <c r="E28" s="461">
        <f t="shared" si="5"/>
        <v>0</v>
      </c>
      <c r="F28" s="461">
        <f t="shared" si="6"/>
        <v>0</v>
      </c>
      <c r="G28" s="461">
        <f t="shared" si="7"/>
        <v>3017.2529188540539</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3017.2529188540539</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1512.9005427159102</v>
      </c>
      <c r="C32" s="461">
        <f t="shared" ca="1" si="3"/>
        <v>0</v>
      </c>
      <c r="D32" s="461">
        <f t="shared" si="4"/>
        <v>8326.0573366177214</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9838.9578793336314</v>
      </c>
    </row>
    <row r="33" spans="1:17" s="473" customFormat="1">
      <c r="A33" s="470" t="s">
        <v>573</v>
      </c>
      <c r="B33" s="471">
        <f ca="1">SUM(B22:B32)</f>
        <v>90045.135550776205</v>
      </c>
      <c r="C33" s="471">
        <f t="shared" ref="C33:Q33" ca="1" si="18">SUM(C22:C32)</f>
        <v>217.70168067226894</v>
      </c>
      <c r="D33" s="471">
        <f t="shared" ca="1" si="18"/>
        <v>166831.91350573965</v>
      </c>
      <c r="E33" s="471">
        <f t="shared" si="18"/>
        <v>3122.2838298607849</v>
      </c>
      <c r="F33" s="471">
        <f t="shared" ca="1" si="18"/>
        <v>28978.717867244864</v>
      </c>
      <c r="G33" s="471">
        <f t="shared" si="18"/>
        <v>153697.58879227701</v>
      </c>
      <c r="H33" s="471">
        <f t="shared" si="18"/>
        <v>19283.184687172055</v>
      </c>
      <c r="I33" s="471">
        <f t="shared" si="18"/>
        <v>0</v>
      </c>
      <c r="J33" s="471">
        <f t="shared" si="18"/>
        <v>883.83405387966025</v>
      </c>
      <c r="K33" s="471">
        <f t="shared" si="18"/>
        <v>0</v>
      </c>
      <c r="L33" s="471">
        <f t="shared" ca="1" si="18"/>
        <v>0</v>
      </c>
      <c r="M33" s="471">
        <f t="shared" si="18"/>
        <v>0</v>
      </c>
      <c r="N33" s="471">
        <f t="shared" ca="1" si="18"/>
        <v>0</v>
      </c>
      <c r="O33" s="471">
        <f t="shared" si="18"/>
        <v>0</v>
      </c>
      <c r="P33" s="471">
        <f t="shared" si="18"/>
        <v>0</v>
      </c>
      <c r="Q33" s="471">
        <f t="shared" ca="1" si="18"/>
        <v>463060.35996762256</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9932.805633004109</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15706.138861594973</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641.25</v>
      </c>
      <c r="D8" s="1037">
        <f>'SEAP template'!D76</f>
        <v>754.41176470588255</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152.39117647058828</v>
      </c>
    </row>
    <row r="9" spans="1:16">
      <c r="A9" s="1040" t="s">
        <v>925</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25638.944494599084</v>
      </c>
      <c r="C10" s="1041">
        <f>SUM(C4:C9)</f>
        <v>641.25</v>
      </c>
      <c r="D10" s="1041">
        <f t="shared" ref="D10:H10" si="0">SUM(D8:D9)</f>
        <v>754.41176470588255</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152.39117647058828</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0.2082481518064335</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0</v>
      </c>
      <c r="C17" s="1044">
        <f>'SEAP template'!C87</f>
        <v>916.07142857142856</v>
      </c>
      <c r="D17" s="1038">
        <f>'SEAP template'!D87</f>
        <v>1077.7310924369749</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217.70168067226894</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916.07142857142856</v>
      </c>
      <c r="D20" s="1041">
        <f t="shared" ref="D20:H20" si="2">SUM(D17:D19)</f>
        <v>1077.7310924369749</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217.70168067226894</v>
      </c>
    </row>
    <row r="22" spans="1:16">
      <c r="A22" s="474" t="s">
        <v>933</v>
      </c>
      <c r="B22" s="778" t="s">
        <v>927</v>
      </c>
      <c r="C22" s="778">
        <f ca="1">'EF ele_warmte'!B22</f>
        <v>0.23764705882352943</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0.2082481518064335</v>
      </c>
      <c r="C17" s="510">
        <f ca="1">'EF ele_warmte'!B22</f>
        <v>0.23764705882352943</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2</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3.1266666666666669</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2019-06-29T16:13:02Z</dcterms:modified>
</cp:coreProperties>
</file>