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G9"/>
  <c r="G10" s="1"/>
  <c r="F9"/>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F10"/>
  <c r="B8"/>
  <c r="B6"/>
  <c r="B5"/>
  <c r="B4"/>
  <c r="O9" l="1"/>
  <c r="C98"/>
  <c r="I101" s="1"/>
  <c r="H8" s="1"/>
  <c r="H10" s="1"/>
  <c r="O18"/>
  <c r="B17"/>
  <c r="B20" s="1"/>
  <c r="O19"/>
  <c r="B10"/>
  <c r="I102"/>
  <c r="H17" s="1"/>
  <c r="H20" s="1"/>
  <c r="E102"/>
  <c r="E17" s="1"/>
  <c r="E20" s="1"/>
  <c r="G102"/>
  <c r="C102"/>
  <c r="H102"/>
  <c r="D102"/>
  <c r="F102"/>
  <c r="B102"/>
  <c r="C17" s="1"/>
  <c r="E101"/>
  <c r="E8" s="1"/>
  <c r="E10" s="1"/>
  <c r="G101"/>
  <c r="C101"/>
  <c r="N6" i="17"/>
  <c r="L6"/>
  <c r="F6"/>
  <c r="D6"/>
  <c r="C6"/>
  <c r="N16" i="16"/>
  <c r="L16"/>
  <c r="F16"/>
  <c r="D16"/>
  <c r="C16"/>
  <c r="B16"/>
  <c r="B13" i="15"/>
  <c r="H101" i="18" l="1"/>
  <c r="J8" s="1"/>
  <c r="D101"/>
  <c r="F101"/>
  <c r="I8" s="1"/>
  <c r="B101"/>
  <c r="C8" s="1"/>
  <c r="C10" s="1"/>
  <c r="C20"/>
  <c r="I17"/>
  <c r="I20" s="1"/>
  <c r="J17"/>
  <c r="J20" s="1"/>
  <c r="B19" i="6"/>
  <c r="B18"/>
  <c r="B5"/>
  <c r="C29" i="14" s="1"/>
  <c r="B6" i="6"/>
  <c r="C64" i="14" s="1"/>
  <c r="B14" i="48"/>
  <c r="P7"/>
  <c r="P25" s="1"/>
  <c r="O7"/>
  <c r="O25" s="1"/>
  <c r="M7"/>
  <c r="K7"/>
  <c r="I7"/>
  <c r="H7"/>
  <c r="G7"/>
  <c r="P10"/>
  <c r="O10"/>
  <c r="N10"/>
  <c r="L10"/>
  <c r="K10"/>
  <c r="J10"/>
  <c r="I10"/>
  <c r="H10"/>
  <c r="F10"/>
  <c r="E10"/>
  <c r="D10"/>
  <c r="C10"/>
  <c r="P9"/>
  <c r="P27" s="1"/>
  <c r="O9"/>
  <c r="O27" s="1"/>
  <c r="N9"/>
  <c r="L9"/>
  <c r="K9"/>
  <c r="J9"/>
  <c r="I9"/>
  <c r="F9"/>
  <c r="C9"/>
  <c r="P13"/>
  <c r="P31" s="1"/>
  <c r="O13"/>
  <c r="O31" s="1"/>
  <c r="N13"/>
  <c r="L13"/>
  <c r="K13"/>
  <c r="J13"/>
  <c r="I13"/>
  <c r="F13"/>
  <c r="E13"/>
  <c r="D13"/>
  <c r="C13"/>
  <c r="B13"/>
  <c r="M8"/>
  <c r="K8"/>
  <c r="I8"/>
  <c r="H8"/>
  <c r="G8"/>
  <c r="B12"/>
  <c r="P17"/>
  <c r="P32" s="1"/>
  <c r="O17"/>
  <c r="M4"/>
  <c r="L4"/>
  <c r="K4"/>
  <c r="I4"/>
  <c r="H4"/>
  <c r="G4"/>
  <c r="P11"/>
  <c r="P29" s="1"/>
  <c r="O11"/>
  <c r="O29" s="1"/>
  <c r="N11"/>
  <c r="M11"/>
  <c r="L11"/>
  <c r="K11"/>
  <c r="J11"/>
  <c r="I11"/>
  <c r="H11"/>
  <c r="G11"/>
  <c r="F11"/>
  <c r="E11"/>
  <c r="D11"/>
  <c r="C11"/>
  <c r="B11"/>
  <c r="Q11" s="1"/>
  <c r="O32"/>
  <c r="Q12"/>
  <c r="P28"/>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C88"/>
  <c r="C18" i="56" s="1"/>
  <c r="O87" i="14"/>
  <c r="O17" i="56" s="1"/>
  <c r="N87" i="14"/>
  <c r="N17" i="56" s="1"/>
  <c r="M87" i="14"/>
  <c r="M17" i="56" s="1"/>
  <c r="L87" i="14"/>
  <c r="K87"/>
  <c r="K17" i="56" s="1"/>
  <c r="H87" i="14"/>
  <c r="H17" i="56" s="1"/>
  <c r="G87" i="14"/>
  <c r="G17" i="56" s="1"/>
  <c r="F87" i="14"/>
  <c r="F17" i="56" s="1"/>
  <c r="F20"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G10" s="1"/>
  <c r="F76" i="14"/>
  <c r="F8" i="56" s="1"/>
  <c r="F10" s="1"/>
  <c r="E76" i="14"/>
  <c r="D76"/>
  <c r="D8" i="56" s="1"/>
  <c r="B75" i="14"/>
  <c r="B7" i="56" s="1"/>
  <c r="B74" i="14"/>
  <c r="B6" i="56" s="1"/>
  <c r="B73" i="14"/>
  <c r="B5" i="56" s="1"/>
  <c r="B72" i="14"/>
  <c r="B4" i="56" s="1"/>
  <c r="Q54" i="14"/>
  <c r="P54"/>
  <c r="L54"/>
  <c r="J54"/>
  <c r="I54"/>
  <c r="H54"/>
  <c r="Q24"/>
  <c r="P24"/>
  <c r="N24"/>
  <c r="L24"/>
  <c r="J24"/>
  <c r="I24"/>
  <c r="H24"/>
  <c r="H26" s="1"/>
  <c r="Q50"/>
  <c r="P50"/>
  <c r="O50"/>
  <c r="M50"/>
  <c r="L50"/>
  <c r="K50"/>
  <c r="J50"/>
  <c r="G50"/>
  <c r="D50"/>
  <c r="Q49"/>
  <c r="Q52" s="1"/>
  <c r="P49"/>
  <c r="P52" s="1"/>
  <c r="Q20"/>
  <c r="P20"/>
  <c r="O20"/>
  <c r="O22" s="1"/>
  <c r="M20"/>
  <c r="L20"/>
  <c r="K20"/>
  <c r="J20"/>
  <c r="G20"/>
  <c r="G22" s="1"/>
  <c r="D20"/>
  <c r="Q19"/>
  <c r="P19"/>
  <c r="O19"/>
  <c r="M19"/>
  <c r="M22" s="1"/>
  <c r="L19"/>
  <c r="L22" s="1"/>
  <c r="K19"/>
  <c r="J19"/>
  <c r="I19"/>
  <c r="G19"/>
  <c r="F19"/>
  <c r="E19"/>
  <c r="D19"/>
  <c r="D22" s="1"/>
  <c r="Q48"/>
  <c r="P48"/>
  <c r="O48"/>
  <c r="M48"/>
  <c r="L48"/>
  <c r="K48"/>
  <c r="J48"/>
  <c r="G48"/>
  <c r="D48"/>
  <c r="Q18"/>
  <c r="Q22" s="1"/>
  <c r="P18"/>
  <c r="O18"/>
  <c r="M18"/>
  <c r="L18"/>
  <c r="K18"/>
  <c r="K22" s="1"/>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F78"/>
  <c r="P56"/>
  <c r="L56"/>
  <c r="J56"/>
  <c r="H56"/>
  <c r="Q56"/>
  <c r="I56"/>
  <c r="R44"/>
  <c r="Q26"/>
  <c r="N26"/>
  <c r="J26"/>
  <c r="I26"/>
  <c r="E25"/>
  <c r="D14" i="48" s="1"/>
  <c r="C25" i="14"/>
  <c r="P26"/>
  <c r="L26"/>
  <c r="P22"/>
  <c r="R12"/>
  <c r="F13" i="15"/>
  <c r="D13"/>
  <c r="C13"/>
  <c r="J10" i="18" l="1"/>
  <c r="J76" i="14"/>
  <c r="I10" i="18"/>
  <c r="I76" i="14"/>
  <c r="I8" i="56" s="1"/>
  <c r="I10" s="1"/>
  <c r="Q14" i="48"/>
  <c r="N78" i="14"/>
  <c r="N8" i="56"/>
  <c r="N10" s="1"/>
  <c r="M78" i="14"/>
  <c r="M8" i="56"/>
  <c r="M10" s="1"/>
  <c r="H78" i="14"/>
  <c r="H9" i="56"/>
  <c r="H10" s="1"/>
  <c r="K78" i="14"/>
  <c r="K8" i="56"/>
  <c r="K10" s="1"/>
  <c r="O78" i="14"/>
  <c r="O9" i="56"/>
  <c r="O10" s="1"/>
  <c r="L90" i="14"/>
  <c r="L17" i="56"/>
  <c r="L20" s="1"/>
  <c r="G90" i="14"/>
  <c r="G18" i="56"/>
  <c r="G20" s="1"/>
  <c r="O90" i="14"/>
  <c r="O18" i="56"/>
  <c r="O20" s="1"/>
  <c r="F90" i="14"/>
  <c r="M20" i="56"/>
  <c r="K20"/>
  <c r="L78" i="14"/>
  <c r="N20" i="56"/>
  <c r="K90" i="14"/>
  <c r="K18" i="56"/>
  <c r="E8"/>
  <c r="E10" s="1"/>
  <c r="Q87" i="14"/>
  <c r="P17" i="56" s="1"/>
  <c r="D17"/>
  <c r="D20" s="1"/>
  <c r="C77" i="14"/>
  <c r="C9" i="56" s="1"/>
  <c r="D9"/>
  <c r="D10" s="1"/>
  <c r="Q88" i="14"/>
  <c r="P18" i="56" s="1"/>
  <c r="D18"/>
  <c r="G78" i="14"/>
  <c r="Q89"/>
  <c r="P19" i="56" s="1"/>
  <c r="I87" i="14"/>
  <c r="I17" i="56" s="1"/>
  <c r="I20" s="1"/>
  <c r="Q76" i="14"/>
  <c r="P8" i="56" s="1"/>
  <c r="L10"/>
  <c r="H20"/>
  <c r="D78" i="14"/>
  <c r="B76"/>
  <c r="B8" i="56" s="1"/>
  <c r="B10" s="1"/>
  <c r="Q77" i="14"/>
  <c r="C87"/>
  <c r="C17" i="56" s="1"/>
  <c r="C20" s="1"/>
  <c r="O17" i="18"/>
  <c r="O20" s="1"/>
  <c r="J87" i="14"/>
  <c r="B88"/>
  <c r="B18" i="56" s="1"/>
  <c r="C89" i="14"/>
  <c r="C19" i="56" s="1"/>
  <c r="B89" i="14"/>
  <c r="B19" i="56" s="1"/>
  <c r="B77" i="14"/>
  <c r="B9" i="56" s="1"/>
  <c r="O8" i="18"/>
  <c r="O10" s="1"/>
  <c r="N13" i="15"/>
  <c r="L13"/>
  <c r="O24" i="48"/>
  <c r="O30"/>
  <c r="P24"/>
  <c r="P30"/>
  <c r="R9" i="14"/>
  <c r="E78"/>
  <c r="I78"/>
  <c r="E55"/>
  <c r="R25"/>
  <c r="B78"/>
  <c r="B4" i="6" s="1"/>
  <c r="E90" i="14"/>
  <c r="M90"/>
  <c r="D90"/>
  <c r="Q78" l="1"/>
  <c r="B9" i="6" s="1"/>
  <c r="P9" i="56"/>
  <c r="P10" s="1"/>
  <c r="J90" i="14"/>
  <c r="J17" i="56"/>
  <c r="J20" s="1"/>
  <c r="I90" i="14"/>
  <c r="C76"/>
  <c r="J8" i="56"/>
  <c r="J10" s="1"/>
  <c r="J78" i="14"/>
  <c r="Q90"/>
  <c r="B17" i="6" s="1"/>
  <c r="P20" i="56"/>
  <c r="C90" i="14"/>
  <c r="B87"/>
  <c r="B90" l="1"/>
  <c r="B17" i="56"/>
  <c r="B20" s="1"/>
  <c r="C8"/>
  <c r="C10" s="1"/>
  <c r="C78" i="14"/>
  <c r="D5" i="17"/>
  <c r="H14" i="15" l="1"/>
  <c r="H16" s="1"/>
  <c r="G14"/>
  <c r="G16" s="1"/>
  <c r="I10" i="14" l="1"/>
  <c r="I16" s="1"/>
  <c r="H5" i="48"/>
  <c r="G5"/>
  <c r="H10" i="14"/>
  <c r="H16" s="1"/>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L10" i="14" l="1"/>
  <c r="L16" s="1"/>
  <c r="L27" s="1"/>
  <c r="K5" i="48"/>
  <c r="L29"/>
  <c r="L28"/>
  <c r="L32"/>
  <c r="L27"/>
  <c r="L31"/>
  <c r="L22"/>
  <c r="L24"/>
  <c r="L30"/>
  <c r="J30"/>
  <c r="J24"/>
  <c r="J32"/>
  <c r="J31"/>
  <c r="J29"/>
  <c r="J28"/>
  <c r="J27"/>
  <c r="C24" i="14"/>
  <c r="C26" s="1"/>
  <c r="B7" i="48"/>
  <c r="O4"/>
  <c r="P11" i="14"/>
  <c r="I32" i="48"/>
  <c r="I25"/>
  <c r="I29"/>
  <c r="I26"/>
  <c r="I30"/>
  <c r="I31"/>
  <c r="I22"/>
  <c r="I24"/>
  <c r="I28"/>
  <c r="I27"/>
  <c r="E11" i="14"/>
  <c r="D4" i="48"/>
  <c r="D22" s="1"/>
  <c r="H26"/>
  <c r="H32"/>
  <c r="H25"/>
  <c r="H28"/>
  <c r="H30"/>
  <c r="H22"/>
  <c r="H29"/>
  <c r="H24"/>
  <c r="H23"/>
  <c r="D11" i="14"/>
  <c r="C4" i="48"/>
  <c r="G32"/>
  <c r="G26"/>
  <c r="G22"/>
  <c r="G25"/>
  <c r="G30"/>
  <c r="G29"/>
  <c r="G24"/>
  <c r="G23"/>
  <c r="D31"/>
  <c r="D29"/>
  <c r="D28"/>
  <c r="D30"/>
  <c r="D24"/>
  <c r="D32"/>
  <c r="P5"/>
  <c r="P23" s="1"/>
  <c r="Q10" i="14"/>
  <c r="K25" i="48"/>
  <c r="K32"/>
  <c r="K27"/>
  <c r="K31"/>
  <c r="K22"/>
  <c r="K28"/>
  <c r="K26"/>
  <c r="K30"/>
  <c r="K29"/>
  <c r="K24"/>
  <c r="J10" i="14"/>
  <c r="J16" s="1"/>
  <c r="J27" s="1"/>
  <c r="I5" i="48"/>
  <c r="P4"/>
  <c r="Q11" i="14"/>
  <c r="C11"/>
  <c r="B4" i="48"/>
  <c r="F30"/>
  <c r="F24"/>
  <c r="F28"/>
  <c r="F32"/>
  <c r="F27"/>
  <c r="F31"/>
  <c r="F29"/>
  <c r="N32"/>
  <c r="N27"/>
  <c r="N30"/>
  <c r="N31"/>
  <c r="N28"/>
  <c r="N24"/>
  <c r="N29"/>
  <c r="C19" i="14"/>
  <c r="B10" i="48"/>
  <c r="E32"/>
  <c r="E31"/>
  <c r="E28"/>
  <c r="E29"/>
  <c r="E24"/>
  <c r="E30"/>
  <c r="M12" i="13"/>
  <c r="N41" i="14" s="1"/>
  <c r="M17" i="48"/>
  <c r="D8" i="17"/>
  <c r="D12" s="1"/>
  <c r="E54" i="14" s="1"/>
  <c r="E56" s="1"/>
  <c r="K19" i="19"/>
  <c r="L39" i="14" s="1"/>
  <c r="L46"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P10" i="14" l="1"/>
  <c r="O5" i="48"/>
  <c r="O23" s="1"/>
  <c r="K15"/>
  <c r="K23"/>
  <c r="G11" i="14"/>
  <c r="F4" i="48"/>
  <c r="F22" s="1"/>
  <c r="I18" i="14"/>
  <c r="H13" i="48"/>
  <c r="H31" s="1"/>
  <c r="I15"/>
  <c r="I23"/>
  <c r="Q13" i="14"/>
  <c r="P8" i="48"/>
  <c r="P26" s="1"/>
  <c r="P22"/>
  <c r="O22"/>
  <c r="L61" i="14"/>
  <c r="L63" s="1"/>
  <c r="K33" i="48"/>
  <c r="H18" i="14"/>
  <c r="G13" i="48"/>
  <c r="N18" i="14"/>
  <c r="M13" i="48"/>
  <c r="M31" s="1"/>
  <c r="J12" i="17"/>
  <c r="K54" i="14" s="1"/>
  <c r="K56" s="1"/>
  <c r="J7" i="48"/>
  <c r="J25" s="1"/>
  <c r="K24" i="14"/>
  <c r="K26" s="1"/>
  <c r="M32" i="48"/>
  <c r="M22"/>
  <c r="M29"/>
  <c r="M30"/>
  <c r="M26"/>
  <c r="M25"/>
  <c r="M24"/>
  <c r="M23"/>
  <c r="I33"/>
  <c r="J46" i="14"/>
  <c r="J61" s="1"/>
  <c r="J63" s="1"/>
  <c r="Q16"/>
  <c r="Q27" s="1"/>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E12" l="1"/>
  <c r="F41" i="14" s="1"/>
  <c r="F11"/>
  <c r="E4" i="48"/>
  <c r="N4"/>
  <c r="N22" s="1"/>
  <c r="O11" i="14"/>
  <c r="H19"/>
  <c r="G10" i="48"/>
  <c r="K11" i="14"/>
  <c r="J4" i="48"/>
  <c r="M9"/>
  <c r="N20" i="14"/>
  <c r="E7" i="48"/>
  <c r="E25" s="1"/>
  <c r="F24" i="14"/>
  <c r="F26" s="1"/>
  <c r="F20"/>
  <c r="F22" s="1"/>
  <c r="E9" i="48"/>
  <c r="E27" s="1"/>
  <c r="R18" i="14"/>
  <c r="I20"/>
  <c r="H9" i="48"/>
  <c r="Q13"/>
  <c r="G31"/>
  <c r="P13" i="14"/>
  <c r="P16" s="1"/>
  <c r="P27" s="1"/>
  <c r="O8" i="48"/>
  <c r="P46" i="14"/>
  <c r="P61" s="1"/>
  <c r="I22"/>
  <c r="I27" s="1"/>
  <c r="E12" i="17"/>
  <c r="F54" i="14" s="1"/>
  <c r="F56" s="1"/>
  <c r="D16"/>
  <c r="D27" s="1"/>
  <c r="B20" i="6" s="1"/>
  <c r="B22" s="1"/>
  <c r="C22" i="56" s="1"/>
  <c r="N22" i="14"/>
  <c r="N27" s="1"/>
  <c r="M10" i="48"/>
  <c r="M28" s="1"/>
  <c r="N19" i="14"/>
  <c r="D9" i="48"/>
  <c r="D27" s="1"/>
  <c r="E20" i="14"/>
  <c r="E22" s="1"/>
  <c r="B9" i="48"/>
  <c r="C20" i="14"/>
  <c r="D18" i="22"/>
  <c r="E50" i="14" s="1"/>
  <c r="E52" s="1"/>
  <c r="Q46"/>
  <c r="Q61" s="1"/>
  <c r="Q63" s="1"/>
  <c r="I52"/>
  <c r="I61" s="1"/>
  <c r="I63" s="1"/>
  <c r="P15" i="48"/>
  <c r="P33"/>
  <c r="M16" i="14"/>
  <c r="D22" i="16"/>
  <c r="E43" i="14" s="1"/>
  <c r="D8" i="48"/>
  <c r="D26" s="1"/>
  <c r="E13" i="14"/>
  <c r="C13"/>
  <c r="B8" i="48"/>
  <c r="O10" i="14"/>
  <c r="N5" i="48"/>
  <c r="N23" s="1"/>
  <c r="F5"/>
  <c r="G10" i="14"/>
  <c r="D20" i="15"/>
  <c r="E40" i="14" s="1"/>
  <c r="E46" s="1"/>
  <c r="E61"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G18" i="22"/>
  <c r="H50" i="14" s="1"/>
  <c r="G58" i="22"/>
  <c r="H49" i="14" s="1"/>
  <c r="H52" s="1"/>
  <c r="H61" s="1"/>
  <c r="M58" i="22"/>
  <c r="N49" i="14" s="1"/>
  <c r="M18" i="22"/>
  <c r="N50" i="14" s="1"/>
  <c r="N52" s="1"/>
  <c r="N61" s="1"/>
  <c r="H18" i="22"/>
  <c r="I50" i="14" s="1"/>
  <c r="N20" i="15"/>
  <c r="O40" i="14" s="1"/>
  <c r="F20" i="15"/>
  <c r="G40" i="14" s="1"/>
  <c r="N5" i="16"/>
  <c r="E5"/>
  <c r="J5"/>
  <c r="C35" i="13"/>
  <c r="F5" i="16"/>
  <c r="C36" i="13"/>
  <c r="N12"/>
  <c r="O41" i="14" s="1"/>
  <c r="C38" i="13"/>
  <c r="C39"/>
  <c r="C32"/>
  <c r="C34"/>
  <c r="J12"/>
  <c r="K41" i="14" s="1"/>
  <c r="L20" i="15"/>
  <c r="M40" i="14" s="1"/>
  <c r="M46" s="1"/>
  <c r="J22" i="48" l="1"/>
  <c r="M27"/>
  <c r="M33" s="1"/>
  <c r="M15"/>
  <c r="H27"/>
  <c r="H33" s="1"/>
  <c r="H15"/>
  <c r="E22"/>
  <c r="Q4"/>
  <c r="N63" i="14"/>
  <c r="R11"/>
  <c r="E5" i="48"/>
  <c r="E23" s="1"/>
  <c r="F10" i="14"/>
  <c r="H20"/>
  <c r="H22" s="1"/>
  <c r="H27" s="1"/>
  <c r="H63" s="1"/>
  <c r="G9" i="48"/>
  <c r="Q9" s="1"/>
  <c r="K10" i="14"/>
  <c r="J5" i="48"/>
  <c r="J23" s="1"/>
  <c r="C22" i="14"/>
  <c r="O26" i="48"/>
  <c r="O33" s="1"/>
  <c r="O15"/>
  <c r="G28"/>
  <c r="Q10"/>
  <c r="P63" i="14"/>
  <c r="R19"/>
  <c r="D15" i="48"/>
  <c r="E16" i="14"/>
  <c r="E27" s="1"/>
  <c r="E63" s="1"/>
  <c r="D33" i="48"/>
  <c r="M61" i="14"/>
  <c r="M63" s="1"/>
  <c r="F23" i="48"/>
  <c r="C16" i="14"/>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K16" l="1"/>
  <c r="K27" s="1"/>
  <c r="J33" i="48"/>
  <c r="R10" i="14"/>
  <c r="J15" i="48"/>
  <c r="C27" i="14"/>
  <c r="B3" i="6" s="1"/>
  <c r="B12" s="1"/>
  <c r="C55" i="14" s="1"/>
  <c r="R55" s="1"/>
  <c r="R20"/>
  <c r="R22" s="1"/>
  <c r="E8" i="48"/>
  <c r="F13" i="14"/>
  <c r="G27" i="48"/>
  <c r="G33" s="1"/>
  <c r="G15"/>
  <c r="K13" i="14"/>
  <c r="J8" i="48"/>
  <c r="J26" s="1"/>
  <c r="F46" i="14"/>
  <c r="F61" s="1"/>
  <c r="Q5" i="48"/>
  <c r="F16" i="14"/>
  <c r="F27" s="1"/>
  <c r="O13"/>
  <c r="O16" s="1"/>
  <c r="O27" s="1"/>
  <c r="N8" i="48"/>
  <c r="N22" i="16"/>
  <c r="O43" i="14" s="1"/>
  <c r="O46" s="1"/>
  <c r="O61" s="1"/>
  <c r="F8" i="48"/>
  <c r="G13" i="14"/>
  <c r="C32" i="48"/>
  <c r="C29"/>
  <c r="C22"/>
  <c r="C28"/>
  <c r="C30"/>
  <c r="C31"/>
  <c r="C23"/>
  <c r="C24"/>
  <c r="C27"/>
  <c r="C26"/>
  <c r="C25"/>
  <c r="E22" i="16"/>
  <c r="F43" i="14" s="1"/>
  <c r="J22" i="16"/>
  <c r="K43" i="14" s="1"/>
  <c r="K46" s="1"/>
  <c r="K61" s="1"/>
  <c r="C12" i="13"/>
  <c r="D41" i="14" s="1"/>
  <c r="D46" s="1"/>
  <c r="D61" s="1"/>
  <c r="D63" s="1"/>
  <c r="E26" i="48" l="1"/>
  <c r="E33" s="1"/>
  <c r="E15"/>
  <c r="F63" i="14"/>
  <c r="K63"/>
  <c r="C12" i="56"/>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<sst xmlns="http://schemas.openxmlformats.org/spreadsheetml/2006/main" count="2492" uniqueCount="952">
  <si>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</si>
  <si>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</si>
  <si>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</si>
  <si>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</si>
  <si>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</si>
  <si>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</si>
  <si>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</si>
  <si>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</si>
  <si>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</si>
  <si>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</si>
  <si>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</si>
  <si>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</si>
  <si>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</si>
  <si>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</si>
  <si>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</si>
  <si>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</si>
  <si>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</si>
  <si>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</si>
  <si>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</si>
  <si>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</si>
  <si>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</si>
  <si>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</si>
  <si>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</si>
  <si>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</si>
  <si>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</si>
  <si>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</si>
  <si>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</si>
  <si>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</si>
  <si>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</si>
  <si>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</si>
  <si>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</si>
  <si>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</si>
  <si>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</si>
  <si>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</si>
  <si>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</si>
  <si>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</si>
  <si>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</si>
  <si>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</si>
  <si>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</si>
  <si>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</si>
  <si>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</si>
  <si>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</si>
  <si>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</si>
  <si>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</si>
  <si>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</si>
  <si>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</si>
  <si>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</si>
  <si>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</si>
  <si>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</si>
  <si>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</si>
  <si>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</si>
  <si>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</si>
  <si>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</si>
  <si>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</si>
  <si>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</si>
  <si>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</si>
  <si>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</si>
  <si>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</si>
  <si>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</si>
  <si>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</si>
  <si>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</si>
  <si>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</si>
  <si>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</si>
  <si>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</si>
  <si>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</si>
  <si>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</si>
  <si>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</si>
  <si>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</si>
  <si>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</si>
  <si>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</si>
  <si>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</si>
  <si>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</si>
  <si>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</si>
  <si>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</si>
  <si>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</si>
  <si>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</si>
  <si>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</si>
  <si>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</si>
  <si>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</si>
  <si>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</si>
  <si>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</si>
  <si>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</si>
  <si>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</si>
  <si>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</si>
  <si>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</si>
  <si>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</si>
  <si>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</si>
  <si>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</si>
  <si>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</si>
  <si>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</si>
  <si>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</si>
  <si>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</si>
  <si>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</si>
  <si>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</si>
  <si>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</si>
  <si>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</si>
  <si>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</si>
  <si>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</si>
  <si>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</si>
  <si>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</si>
  <si>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</si>
  <si>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</si>
  <si>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</si>
  <si>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</si>
  <si>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</si>
  <si>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</si>
  <si>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</si>
  <si>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</si>
  <si>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</si>
  <si>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</si>
  <si>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</si>
  <si>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</si>
  <si>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</si>
  <si>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</si>
  <si>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</si>
  <si>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</si>
  <si>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</si>
  <si>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</si>
  <si>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</si>
  <si>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</si>
  <si>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</si>
  <si>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</si>
  <si>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</si>
  <si>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</si>
  <si>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</si>
  <si>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</si>
  <si>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</si>
  <si>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</si>
  <si>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</si>
  <si>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</si>
  <si>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</si>
  <si>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</si>
  <si>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</si>
  <si>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</si>
  <si>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</si>
  <si>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</si>
  <si>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</si>
  <si>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</si>
  <si>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</si>
  <si>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</si>
  <si>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</si>
  <si>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</si>
  <si>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</si>
  <si>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</si>
  <si>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</si>
  <si>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</si>
  <si>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</si>
  <si>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</si>
  <si>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</si>
  <si>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</si>
  <si>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</si>
  <si>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</si>
  <si>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</si>
  <si>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</si>
  <si>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</si>
  <si>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</si>
  <si>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</si>
  <si>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</si>
  <si>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</si>
  <si>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</si>
  <si>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</si>
  <si>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</si>
  <si>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</si>
  <si>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</si>
  <si>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</si>
  <si>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</si>
  <si>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</si>
  <si>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</si>
  <si>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</si>
  <si>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</si>
  <si>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</si>
  <si>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</si>
  <si>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</si>
  <si>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</si>
  <si>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</si>
  <si>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</si>
  <si>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</si>
  <si>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</si>
  <si>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</si>
  <si>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</si>
  <si>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</si>
  <si>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</si>
  <si>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</si>
  <si>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</si>
  <si>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</si>
  <si>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</si>
  <si>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</si>
  <si>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</si>
  <si>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</si>
  <si>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</si>
  <si>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</si>
  <si>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</si>
  <si>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</si>
  <si>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</si>
  <si>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</si>
  <si>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</si>
  <si>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</si>
  <si>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</si>
  <si>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</si>
  <si>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</si>
  <si>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</si>
  <si>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</si>
  <si>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</si>
  <si>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</si>
  <si>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</si>
  <si>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</si>
  <si>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</si>
  <si>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</si>
  <si>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</si>
  <si>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</si>
  <si>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</si>
  <si>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</si>
  <si>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</si>
  <si>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</si>
  <si>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</si>
  <si>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</si>
  <si>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</si>
  <si>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</si>
  <si>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</si>
  <si>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</si>
  <si>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</si>
  <si>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</si>
  <si>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</si>
  <si>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</si>
  <si>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</si>
  <si>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</si>
  <si>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</si>
  <si>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</si>
  <si>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</si>
  <si>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</si>
  <si>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</si>
  <si>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</si>
  <si>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</si>
  <si>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</si>
  <si>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</si>
  <si>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</si>
  <si>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</si>
  <si>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</si>
  <si>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</si>
  <si>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</si>
  <si>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</si>
  <si>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</si>
  <si>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</si>
  <si>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</si>
  <si>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</si>
  <si>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</si>
  <si>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</si>
  <si>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</si>
  <si>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</si>
  <si>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</si>
  <si>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</si>
  <si>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</si>
  <si>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</si>
  <si>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</si>
  <si>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</si>
  <si>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</si>
  <si>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</si>
  <si>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</si>
  <si>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</si>
  <si>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</si>
  <si>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</si>
  <si>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</si>
  <si>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</si>
  <si>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</si>
  <si>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</si>
  <si>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</si>
  <si>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</si>
  <si>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</si>
  <si>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</si>
  <si>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</si>
  <si>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</si>
  <si>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</si>
  <si>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</si>
  <si>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</si>
  <si>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</si>
  <si>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</si>
  <si>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</si>
  <si>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</si>
  <si>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</si>
  <si>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</si>
  <si>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</si>
  <si>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</si>
  <si>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</si>
  <si>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</si>
  <si>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</si>
  <si>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</si>
  <si>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</si>
  <si>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</si>
  <si>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</si>
  <si>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</si>
  <si>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</si>
  <si>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</si>
  <si>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</si>
  <si>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</si>
  <si>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</si>
  <si>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</si>
  <si>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</si>
  <si>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</si>
  <si>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</si>
  <si>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</si>
  <si>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</si>
  <si>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</si>
  <si>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</si>
  <si>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</si>
  <si>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</si>
  <si>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</si>
  <si>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</si>
  <si>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</si>
  <si>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</si>
  <si>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</si>
  <si>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</si>
  <si>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</si>
  <si>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</si>
  <si>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</si>
  <si>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</si>
  <si>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</si>
  <si>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</si>
  <si>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</si>
  <si>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</si>
  <si>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</si>
  <si>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</si>
  <si>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</si>
  <si>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</si>
  <si>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</si>
  <si>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</si>
  <si>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</si>
  <si>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</si>
  <si>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</si>
  <si>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</si>
  <si>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</si>
  <si>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</si>
  <si>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</si>
  <si>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</si>
  <si>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</si>
  <si>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</si>
  <si>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</si>
  <si>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</si>
  <si>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</si>
  <si>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</si>
  <si>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</si>
  <si>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</si>
  <si>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</si>
  <si>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</si>
  <si>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</si>
  <si>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</si>
  <si>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</si>
  <si>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</si>
  <si>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</si>
  <si>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</si>
  <si>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</si>
  <si>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</si>
  <si>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</si>
  <si>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</si>
  <si>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</si>
  <si>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</si>
  <si>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</si>
  <si>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</si>
  <si>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</si>
  <si>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</si>
  <si>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</si>
  <si>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</si>
  <si>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</si>
  <si>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</si>
  <si>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</si>
  <si>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</si>
  <si>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</si>
  <si>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</si>
  <si>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</si>
  <si>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</si>
  <si>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</si>
  <si>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</si>
  <si>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</si>
  <si>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</si>
  <si>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</si>
  <si>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</si>
  <si>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</si>
  <si>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</si>
  <si>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</si>
  <si>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</si>
  <si>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</si>
  <si>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</si>
  <si>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</si>
  <si>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</si>
  <si>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</si>
  <si>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</si>
  <si>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</si>
  <si>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</si>
  <si>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</si>
  <si>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</si>
  <si>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</si>
  <si>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</si>
  <si>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</si>
  <si>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</si>
  <si>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</si>
  <si>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</si>
  <si>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</si>
  <si>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</si>
  <si>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</si>
  <si>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</si>
  <si>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</si>
  <si>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</si>
  <si>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</si>
  <si>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</si>
  <si>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</si>
  <si>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</si>
  <si>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</si>
  <si>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</si>
  <si>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</si>
  <si>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</si>
  <si>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</si>
  <si>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</si>
  <si>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</si>
  <si>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</si>
  <si>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</si>
  <si>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</si>
  <si>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</si>
  <si>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</si>
  <si>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</si>
  <si>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</si>
  <si>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</si>
  <si>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</si>
  <si>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</si>
  <si>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</si>
  <si>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</si>
  <si>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</si>
  <si>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</si>
  <si>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</si>
  <si>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</si>
  <si>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</si>
  <si>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</si>
  <si>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</si>
  <si>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</si>
  <si>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</si>
  <si>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</si>
  <si>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</si>
  <si>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</si>
  <si>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</si>
  <si>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</si>
  <si>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</si>
  <si>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</si>
  <si>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</si>
  <si>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</si>
  <si>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</si>
  <si>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</si>
  <si>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</si>
  <si>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</si>
  <si>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</si>
  <si>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</si>
  <si>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</si>
  <si>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</si>
  <si>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</si>
  <si>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</si>
  <si>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</si>
  <si>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</si>
  <si>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</si>
  <si>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</si>
  <si>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</si>
  <si>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</si>
  <si>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</si>
  <si>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</si>
  <si>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</si>
  <si>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</si>
  <si>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</si>
  <si>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</si>
  <si>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</si>
  <si>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</si>
  <si>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</si>
  <si>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</si>
  <si>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</si>
  <si>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</si>
  <si>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</si>
  <si>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</si>
  <si>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</si>
  <si>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</si>
  <si>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</si>
  <si>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</si>
  <si>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</si>
  <si>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</si>
  <si>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</si>
  <si>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</si>
  <si>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</si>
  <si>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</si>
  <si>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</si>
  <si>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</si>
  <si>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</si>
  <si>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</si>
  <si>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</si>
  <si>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</si>
  <si>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</si>
  <si>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</si>
  <si>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</si>
  <si>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</si>
  <si>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</si>
  <si>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</si>
  <si>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</si>
  <si>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</si>
  <si>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</si>
  <si>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</si>
  <si>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</si>
  <si>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</si>
  <si>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</si>
  <si>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</si>
  <si>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</si>
  <si>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</si>
  <si>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</si>
  <si>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</si>
  <si>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</si>
  <si>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</si>
  <si>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</si>
  <si>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</si>
  <si>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</si>
  <si>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</si>
  <si>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</si>
  <si>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</si>
  <si>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</si>
  <si>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</si>
  <si>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</si>
  <si>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</si>
  <si>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</si>
  <si>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</si>
  <si>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</si>
  <si>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</si>
  <si>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</si>
  <si>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</si>
  <si>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</si>
  <si>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</si>
  <si>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</si>
  <si>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</si>
  <si>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</si>
  <si>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</si>
  <si>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</si>
  <si>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</si>
  <si>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</si>
  <si>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</si>
  <si>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</si>
  <si>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</si>
  <si>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</si>
  <si>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</si>
  <si>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</si>
  <si>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</si>
  <si>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</si>
  <si>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</si>
  <si>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</si>
  <si>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</si>
  <si>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</si>
  <si>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</si>
  <si>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</si>
  <si>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</si>
  <si>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</si>
  <si>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</si>
  <si>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</si>
  <si>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</si>
  <si>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</si>
  <si>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</si>
  <si>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</si>
  <si>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</si>
  <si>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</si>
  <si>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</si>
  <si>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</si>
  <si>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</si>
  <si>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</si>
  <si>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</si>
  <si>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</si>
  <si>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</si>
  <si>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</si>
  <si>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</si>
  <si>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</si>
  <si>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</si>
  <si>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</si>
  <si>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</si>
  <si>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</si>
  <si>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</si>
  <si>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</si>
  <si>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</si>
  <si>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</si>
  <si>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</si>
  <si>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</si>
  <si>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</si>
  <si>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</si>
  <si>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</si>
  <si>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</si>
  <si>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</si>
  <si>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</si>
  <si>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</si>
  <si>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</si>
  <si>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</si>
  <si>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</si>
  <si>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</si>
  <si>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</si>
  <si>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</si>
  <si>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</si>
  <si>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</si>
  <si>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</si>
  <si>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</si>
  <si>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</si>
  <si>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</si>
  <si>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</si>
  <si>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</si>
  <si>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</si>
  <si>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</si>
  <si>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</si>
  <si>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</si>
  <si>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</si>
  <si>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</si>
  <si>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</si>
  <si>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</si>
  <si>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</si>
  <si>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</si>
  <si>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</si>
  <si>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</si>
  <si>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</si>
  <si>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</si>
  <si>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</si>
  <si>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</si>
  <si>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</si>
  <si>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</si>
  <si>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</si>
  <si>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</si>
  <si>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</si>
  <si>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</si>
  <si>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</si>
  <si>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</si>
  <si>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</si>
  <si>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</si>
  <si>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</si>
  <si>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</si>
  <si>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</si>
  <si>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</si>
  <si>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</si>
  <si>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</si>
  <si>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</si>
  <si>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</si>
  <si>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</si>
  <si>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</si>
  <si>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</si>
  <si>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</si>
  <si>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</si>
  <si>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</si>
  <si>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</si>
  <si>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</si>
  <si>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</si>
  <si>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</si>
  <si>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</si>
  <si>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</si>
  <si>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</si>
  <si>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</si>
  <si>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</si>
  <si>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</si>
  <si>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</si>
  <si>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</si>
  <si>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</si>
  <si>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</si>
  <si>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</si>
  <si>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</si>
  <si>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</si>
  <si>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</si>
  <si>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</si>
  <si>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</si>
  <si>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</si>
  <si>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</si>
  <si>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</si>
  <si>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</si>
  <si>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</si>
  <si>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</si>
  <si>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</si>
  <si>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</si>
  <si>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</si>
  <si>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</si>
  <si>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</si>
  <si>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</si>
  <si>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</si>
  <si>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</si>
  <si>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</si>
  <si>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</si>
  <si>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</si>
  <si>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</si>
  <si>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</si>
  <si>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</si>
  <si>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</si>
  <si>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</si>
  <si>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</si>
  <si>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</si>
  <si>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</si>
  <si>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</si>
  <si>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</si>
  <si>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</si>
  <si>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</si>
  <si>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</si>
  <si>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</si>
  <si>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</si>
  <si>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</si>
  <si>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</si>
  <si>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</si>
  <si>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</si>
  <si>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</si>
  <si>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</si>
  <si>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</si>
  <si>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</si>
  <si>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</si>
  <si>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</si>
  <si>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</si>
  <si>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</si>
  <si>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</si>
  <si>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</si>
  <si>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</si>
  <si>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</si>
  <si>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</si>
  <si>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</si>
  <si>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</si>
  <si>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</si>
  <si>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</si>
  <si>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</si>
  <si>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</si>
  <si>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</si>
  <si>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</si>
  <si>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</si>
  <si>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</si>
  <si>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</si>
  <si>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</si>
  <si>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</si>
  <si>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</si>
  <si>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</si>
  <si>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</si>
  <si>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</si>
  <si>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</si>
  <si>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</si>
  <si>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</si>
  <si>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</si>
  <si>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</si>
  <si>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</si>
  <si>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</si>
  <si>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</si>
  <si>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</si>
  <si>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</si>
  <si>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</si>
  <si>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</si>
  <si>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</si>
  <si>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</si>
  <si>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</si>
  <si>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</si>
  <si>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</si>
  <si>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</si>
  <si>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</si>
  <si>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</si>
  <si>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</si>
  <si>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</si>
  <si>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</si>
  <si>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</si>
  <si>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</si>
  <si>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</si>
  <si>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</si>
  <si>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</si>
  <si>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</si>
  <si>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</si>
  <si>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</si>
  <si>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</si>
  <si>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</si>
  <si>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</si>
  <si>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</si>
  <si>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</si>
  <si>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</si>
  <si>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</si>
  <si>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</si>
  <si>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</si>
  <si>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</si>
  <si>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</si>
  <si>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</si>
  <si>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</si>
  <si>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</si>
  <si>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</si>
  <si>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</si>
  <si>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</si>
  <si>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</si>
  <si>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</si>
  <si>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</si>
  <si>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</si>
  <si>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</si>
  <si>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</si>
  <si>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</si>
  <si>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</si>
  <si>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</si>
  <si>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</si>
  <si>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</si>
  <si>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</si>
  <si>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</si>
  <si>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</si>
  <si>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</si>
  <si>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</si>
  <si>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</si>
  <si>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</si>
  <si>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</si>
  <si>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</si>
  <si>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</si>
  <si>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</si>
  <si>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</si>
  <si>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</si>
  <si>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</si>
  <si>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</si>
  <si>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</si>
  <si>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</si>
  <si>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</si>
  <si>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</si>
  <si>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</si>
  <si>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</si>
  <si>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</si>
  <si>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</si>
  <si>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</si>
  <si>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</si>
  <si>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</si>
  <si>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</si>
  <si>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</si>
  <si>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</si>
  <si>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</si>
  <si>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</si>
  <si>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</si>
  <si>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</si>
  <si>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</si>
  <si>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</si>
  <si>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</si>
  <si>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</si>
  <si>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</si>
  <si>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</si>
  <si>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</si>
  <si>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</si>
  <si>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</si>
  <si>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</si>
  <si>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</si>
  <si>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</si>
  <si>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</si>
  <si>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</si>
  <si>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</si>
  <si>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</si>
  <si>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</si>
  <si>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</si>
  <si>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</si>
  <si>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</si>
  <si>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</si>
  <si>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</si>
  <si>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</si>
  <si>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</si>
  <si>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</si>
  <si>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</si>
  <si>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</si>
  <si>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</si>
  <si>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</si>
  <si>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</si>
  <si>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</si>
  <si>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</si>
  <si>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</si>
  <si>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</si>
  <si>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</si>
  <si>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</si>
  <si>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</si>
  <si>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</si>
  <si>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</si>
  <si>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</si>
  <si>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</si>
  <si>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</si>
  <si>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</si>
  <si>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</si>
  <si>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</si>
  <si>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</si>
  <si>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</si>
  <si>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</si>
  <si>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</si>
  <si>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</si>
  <si>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</si>
  <si>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</si>
  <si>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</si>
  <si>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</si>
  <si>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</si>
  <si>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</si>
  <si>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</si>
  <si>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</si>
  <si>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</si>
  <si>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</si>
  <si>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</si>
  <si>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</si>
  <si>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</si>
  <si>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</si>
  <si>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</si>
  <si>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</si>
  <si>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</si>
  <si>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</si>
  <si>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</si>
  <si>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</si>
  <si>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</si>
  <si>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</si>
  <si>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</si>
  <si>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</si>
  <si>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</si>
  <si>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</si>
  <si>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</si>
  <si>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</si>
  <si>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</si>
  <si>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</si>
  <si>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</si>
  <si>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</si>
  <si>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</si>
  <si>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</si>
  <si>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</si>
  <si>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</si>
  <si>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</si>
  <si>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</si>
  <si>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</si>
  <si>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</si>
  <si>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</si>
  <si>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</si>
  <si>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</si>
  <si>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</si>
  <si>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</si>
  <si>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</si>
  <si>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</si>
  <si>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</si>
  <si>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</si>
  <si>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</si>
  <si>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</si>
  <si>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</si>
  <si>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</si>
  <si>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</si>
  <si>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</si>
  <si>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</si>
  <si>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</si>
  <si>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</si>
  <si>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</si>
  <si>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</si>
  <si>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</si>
  <si>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</si>
  <si>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</si>
  <si>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</si>
  <si>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</si>
  <si>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</si>
  <si>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</si>
  <si>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</si>
  <si>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</si>
  <si>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</si>
  <si>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</si>
  <si>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</si>
  <si>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</si>
  <si>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</si>
  <si>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33040</t>
  </si>
  <si>
    <t>LANGEMARK-POELKAPELLE</t>
  </si>
  <si>
    <t>Paarden&amp;pony's 200 - 600 kg</t>
  </si>
  <si>
    <t>Paarden&amp;pony's &lt; 200 kg</t>
  </si>
  <si>
    <t>op basis van VEA (maart 2018) en Inventaris Hernieuwbare Energiebronnen (juni 2018)</t>
  </si>
  <si>
    <t>VEA (juni 2018)</t>
  </si>
  <si>
    <t>Husagro bvba</t>
  </si>
  <si>
    <t>Diksmuidestraat 6 A, 8920 Langemark</t>
  </si>
  <si>
    <t>WKK-0341 Husagro</t>
  </si>
  <si>
    <t>interne verbrandingsmotor</t>
  </si>
  <si>
    <t>WKK interne verbrandinsgmotor (gas)</t>
  </si>
  <si>
    <t>GASELWEST</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</si>
</sst>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33040</v>
      </c>
      <c r="B6" s="397"/>
      <c r="C6" s="398"/>
    </row>
    <row r="7" spans="1:7" s="395" customFormat="1" ht="15.75" customHeight="1">
      <c r="A7" s="399" t="str">
        <f>txtMunicipality</f>
        <v>LANGEMARK-POELKAPELLE</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7591.6301824863131</v>
      </c>
      <c r="D10" s="688">
        <f ca="1">tertiair!C16</f>
        <v>0</v>
      </c>
      <c r="E10" s="688">
        <f ca="1">tertiair!D16</f>
        <v>4982.9282605929893</v>
      </c>
      <c r="F10" s="688">
        <f>tertiair!E16</f>
        <v>62.660986900366879</v>
      </c>
      <c r="G10" s="688">
        <f ca="1">tertiair!F16</f>
        <v>1297.3910308172617</v>
      </c>
      <c r="H10" s="688">
        <f>tertiair!G16</f>
        <v>0</v>
      </c>
      <c r="I10" s="688">
        <f>tertiair!H16</f>
        <v>0</v>
      </c>
      <c r="J10" s="688">
        <f>tertiair!I16</f>
        <v>0</v>
      </c>
      <c r="K10" s="688">
        <f>tertiair!J16</f>
        <v>0</v>
      </c>
      <c r="L10" s="688">
        <f>tertiair!K16</f>
        <v>0</v>
      </c>
      <c r="M10" s="688">
        <f ca="1">tertiair!L16</f>
        <v>0</v>
      </c>
      <c r="N10" s="688">
        <f>tertiair!M16</f>
        <v>0</v>
      </c>
      <c r="O10" s="688">
        <f ca="1">tertiair!N16</f>
        <v>242.78145965180332</v>
      </c>
      <c r="P10" s="688">
        <f>tertiair!O16</f>
        <v>0</v>
      </c>
      <c r="Q10" s="689">
        <f>tertiair!P16</f>
        <v>0</v>
      </c>
      <c r="R10" s="691">
        <f ca="1">SUM(C10:Q10)</f>
        <v>14177.391920448734</v>
      </c>
      <c r="S10" s="68"/>
    </row>
    <row r="11" spans="1:19" s="457" customFormat="1">
      <c r="A11" s="803" t="s">
        <v>225</v>
      </c>
      <c r="B11" s="808"/>
      <c r="C11" s="688">
        <f>huishoudens!B8</f>
        <v>14533.26892135711</v>
      </c>
      <c r="D11" s="688">
        <f>huishoudens!C8</f>
        <v>0</v>
      </c>
      <c r="E11" s="688">
        <f>huishoudens!D8</f>
        <v>18553.285497062385</v>
      </c>
      <c r="F11" s="688">
        <f>huishoudens!E8</f>
        <v>7280.2855632514629</v>
      </c>
      <c r="G11" s="688">
        <f>huishoudens!F8</f>
        <v>16338.702226532612</v>
      </c>
      <c r="H11" s="688">
        <f>huishoudens!G8</f>
        <v>0</v>
      </c>
      <c r="I11" s="688">
        <f>huishoudens!H8</f>
        <v>0</v>
      </c>
      <c r="J11" s="688">
        <f>huishoudens!I8</f>
        <v>0</v>
      </c>
      <c r="K11" s="688">
        <f>huishoudens!J8</f>
        <v>5342.6032864816571</v>
      </c>
      <c r="L11" s="688">
        <f>huishoudens!K8</f>
        <v>0</v>
      </c>
      <c r="M11" s="688">
        <f>huishoudens!L8</f>
        <v>0</v>
      </c>
      <c r="N11" s="688">
        <f>huishoudens!M8</f>
        <v>0</v>
      </c>
      <c r="O11" s="688">
        <f>huishoudens!N8</f>
        <v>11079.103966219001</v>
      </c>
      <c r="P11" s="688">
        <f>huishoudens!O8</f>
        <v>68.786666666666676</v>
      </c>
      <c r="Q11" s="689">
        <f>huishoudens!P8</f>
        <v>76.266666666666666</v>
      </c>
      <c r="R11" s="691">
        <f>SUM(C11:Q11)</f>
        <v>73272.302794237548</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27349.62727242224</v>
      </c>
      <c r="D13" s="688">
        <f>industrie!C18</f>
        <v>0</v>
      </c>
      <c r="E13" s="688">
        <f>industrie!D18</f>
        <v>242748.8448884486</v>
      </c>
      <c r="F13" s="688">
        <f>industrie!E18</f>
        <v>250.13145605277001</v>
      </c>
      <c r="G13" s="688">
        <f>industrie!F18</f>
        <v>5130.2603752944706</v>
      </c>
      <c r="H13" s="688">
        <f>industrie!G18</f>
        <v>0</v>
      </c>
      <c r="I13" s="688">
        <f>industrie!H18</f>
        <v>0</v>
      </c>
      <c r="J13" s="688">
        <f>industrie!I18</f>
        <v>0</v>
      </c>
      <c r="K13" s="688">
        <f>industrie!J18</f>
        <v>101.60105129315689</v>
      </c>
      <c r="L13" s="688">
        <f>industrie!K18</f>
        <v>0</v>
      </c>
      <c r="M13" s="688">
        <f>industrie!L18</f>
        <v>0</v>
      </c>
      <c r="N13" s="688">
        <f>industrie!M18</f>
        <v>0</v>
      </c>
      <c r="O13" s="688">
        <f>industrie!N18</f>
        <v>762.10525469455888</v>
      </c>
      <c r="P13" s="688">
        <f>industrie!O18</f>
        <v>0</v>
      </c>
      <c r="Q13" s="689">
        <f>industrie!P18</f>
        <v>0</v>
      </c>
      <c r="R13" s="691">
        <f>SUM(C13:Q13)</f>
        <v>276342.57029820583</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49474.526376265669</v>
      </c>
      <c r="D16" s="721">
        <f t="shared" ref="D16:R16" ca="1" si="0">SUM(D9:D15)</f>
        <v>0</v>
      </c>
      <c r="E16" s="721">
        <f t="shared" ca="1" si="0"/>
        <v>266285.05864610395</v>
      </c>
      <c r="F16" s="721">
        <f t="shared" si="0"/>
        <v>7593.0780062045997</v>
      </c>
      <c r="G16" s="721">
        <f t="shared" ca="1" si="0"/>
        <v>22766.353632644343</v>
      </c>
      <c r="H16" s="721">
        <f t="shared" si="0"/>
        <v>0</v>
      </c>
      <c r="I16" s="721">
        <f t="shared" si="0"/>
        <v>0</v>
      </c>
      <c r="J16" s="721">
        <f t="shared" si="0"/>
        <v>0</v>
      </c>
      <c r="K16" s="721">
        <f t="shared" si="0"/>
        <v>5444.2043377748141</v>
      </c>
      <c r="L16" s="721">
        <f t="shared" si="0"/>
        <v>0</v>
      </c>
      <c r="M16" s="721">
        <f t="shared" ca="1" si="0"/>
        <v>0</v>
      </c>
      <c r="N16" s="721">
        <f t="shared" si="0"/>
        <v>0</v>
      </c>
      <c r="O16" s="721">
        <f t="shared" ca="1" si="0"/>
        <v>12083.990680565365</v>
      </c>
      <c r="P16" s="721">
        <f t="shared" si="0"/>
        <v>68.786666666666676</v>
      </c>
      <c r="Q16" s="721">
        <f t="shared" si="0"/>
        <v>76.266666666666666</v>
      </c>
      <c r="R16" s="721">
        <f t="shared" ca="1" si="0"/>
        <v>363792.26501289208</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1059.4893601835527</v>
      </c>
      <c r="I19" s="688">
        <f>transport!H54</f>
        <v>0</v>
      </c>
      <c r="J19" s="688">
        <f>transport!I54</f>
        <v>0</v>
      </c>
      <c r="K19" s="688">
        <f>transport!J54</f>
        <v>0</v>
      </c>
      <c r="L19" s="688">
        <f>transport!K54</f>
        <v>0</v>
      </c>
      <c r="M19" s="688">
        <f>transport!L54</f>
        <v>0</v>
      </c>
      <c r="N19" s="688">
        <f>transport!M54</f>
        <v>46.523925542682271</v>
      </c>
      <c r="O19" s="688">
        <f>transport!N54</f>
        <v>0</v>
      </c>
      <c r="P19" s="688">
        <f>transport!O54</f>
        <v>0</v>
      </c>
      <c r="Q19" s="689">
        <f>transport!P54</f>
        <v>0</v>
      </c>
      <c r="R19" s="691">
        <f>SUM(C19:Q19)</f>
        <v>1106.0132857262349</v>
      </c>
      <c r="S19" s="68"/>
    </row>
    <row r="20" spans="1:19" s="457" customFormat="1">
      <c r="A20" s="803" t="s">
        <v>307</v>
      </c>
      <c r="B20" s="808"/>
      <c r="C20" s="688">
        <f>transport!B14</f>
        <v>1.0870189001636752</v>
      </c>
      <c r="D20" s="688">
        <f>transport!C14</f>
        <v>0</v>
      </c>
      <c r="E20" s="688">
        <f>transport!D14</f>
        <v>3.5060810735562371</v>
      </c>
      <c r="F20" s="688">
        <f>transport!E14</f>
        <v>199.48311542606075</v>
      </c>
      <c r="G20" s="688">
        <f>transport!F14</f>
        <v>0</v>
      </c>
      <c r="H20" s="688">
        <f>transport!G14</f>
        <v>39126.96705233011</v>
      </c>
      <c r="I20" s="688">
        <f>transport!H14</f>
        <v>7704.0349944187619</v>
      </c>
      <c r="J20" s="688">
        <f>transport!I14</f>
        <v>0</v>
      </c>
      <c r="K20" s="688">
        <f>transport!J14</f>
        <v>0</v>
      </c>
      <c r="L20" s="688">
        <f>transport!K14</f>
        <v>0</v>
      </c>
      <c r="M20" s="688">
        <f>transport!L14</f>
        <v>0</v>
      </c>
      <c r="N20" s="688">
        <f>transport!M14</f>
        <v>2094.7400713576803</v>
      </c>
      <c r="O20" s="688">
        <f>transport!N14</f>
        <v>0</v>
      </c>
      <c r="P20" s="688">
        <f>transport!O14</f>
        <v>0</v>
      </c>
      <c r="Q20" s="689">
        <f>transport!P14</f>
        <v>0</v>
      </c>
      <c r="R20" s="691">
        <f>SUM(C20:Q20)</f>
        <v>49129.81833350633</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1.0870189001636752</v>
      </c>
      <c r="D22" s="806">
        <f t="shared" ref="D22:R22" si="1">SUM(D18:D21)</f>
        <v>0</v>
      </c>
      <c r="E22" s="806">
        <f t="shared" si="1"/>
        <v>3.5060810735562371</v>
      </c>
      <c r="F22" s="806">
        <f t="shared" si="1"/>
        <v>199.48311542606075</v>
      </c>
      <c r="G22" s="806">
        <f t="shared" si="1"/>
        <v>0</v>
      </c>
      <c r="H22" s="806">
        <f t="shared" si="1"/>
        <v>40186.45641251366</v>
      </c>
      <c r="I22" s="806">
        <f t="shared" si="1"/>
        <v>7704.0349944187619</v>
      </c>
      <c r="J22" s="806">
        <f t="shared" si="1"/>
        <v>0</v>
      </c>
      <c r="K22" s="806">
        <f t="shared" si="1"/>
        <v>0</v>
      </c>
      <c r="L22" s="806">
        <f t="shared" si="1"/>
        <v>0</v>
      </c>
      <c r="M22" s="806">
        <f t="shared" si="1"/>
        <v>0</v>
      </c>
      <c r="N22" s="806">
        <f t="shared" si="1"/>
        <v>2141.2639969003626</v>
      </c>
      <c r="O22" s="806">
        <f t="shared" si="1"/>
        <v>0</v>
      </c>
      <c r="P22" s="806">
        <f t="shared" si="1"/>
        <v>0</v>
      </c>
      <c r="Q22" s="806">
        <f t="shared" si="1"/>
        <v>0</v>
      </c>
      <c r="R22" s="806">
        <f t="shared" si="1"/>
        <v>50235.831619232566</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4826.7862342554472</v>
      </c>
      <c r="D24" s="688">
        <f>+landbouw!C8</f>
        <v>9495</v>
      </c>
      <c r="E24" s="688">
        <f>+landbouw!D8</f>
        <v>2805.7516753946875</v>
      </c>
      <c r="F24" s="688">
        <f>+landbouw!E8</f>
        <v>45.471560379550219</v>
      </c>
      <c r="G24" s="688">
        <f>+landbouw!F8</f>
        <v>15751.405352045256</v>
      </c>
      <c r="H24" s="688">
        <f>+landbouw!G8</f>
        <v>0</v>
      </c>
      <c r="I24" s="688">
        <f>+landbouw!H8</f>
        <v>0</v>
      </c>
      <c r="J24" s="688">
        <f>+landbouw!I8</f>
        <v>0</v>
      </c>
      <c r="K24" s="688">
        <f>+landbouw!J8</f>
        <v>597.09693466113242</v>
      </c>
      <c r="L24" s="688">
        <f>+landbouw!K8</f>
        <v>0</v>
      </c>
      <c r="M24" s="688">
        <f>+landbouw!L8</f>
        <v>0</v>
      </c>
      <c r="N24" s="688">
        <f>+landbouw!M8</f>
        <v>0</v>
      </c>
      <c r="O24" s="688">
        <f>+landbouw!N8</f>
        <v>0</v>
      </c>
      <c r="P24" s="688">
        <f>+landbouw!O8</f>
        <v>0</v>
      </c>
      <c r="Q24" s="689">
        <f>+landbouw!P8</f>
        <v>0</v>
      </c>
      <c r="R24" s="691">
        <f>SUM(C24:Q24)</f>
        <v>33521.511756736072</v>
      </c>
      <c r="S24" s="68"/>
    </row>
    <row r="25" spans="1:19" s="457" customFormat="1" ht="15" thickBot="1">
      <c r="A25" s="825" t="s">
        <v>912</v>
      </c>
      <c r="B25" s="1001"/>
      <c r="C25" s="1002">
        <f>IF(Onbekend_ele_kWh="---",0,Onbekend_ele_kWh)/1000+IF(REST_rest_ele_kWh="---",0,REST_rest_ele_kWh)/1000</f>
        <v>1448.91191937545</v>
      </c>
      <c r="D25" s="1002"/>
      <c r="E25" s="1002">
        <f>IF(onbekend_gas_kWh="---",0,onbekend_gas_kWh)/1000+IF(REST_rest_gas_kWh="---",0,REST_rest_gas_kWh)/1000</f>
        <v>779.44515900696899</v>
      </c>
      <c r="F25" s="1002"/>
      <c r="G25" s="1002"/>
      <c r="H25" s="1002"/>
      <c r="I25" s="1002"/>
      <c r="J25" s="1002"/>
      <c r="K25" s="1002"/>
      <c r="L25" s="1002"/>
      <c r="M25" s="1002"/>
      <c r="N25" s="1002"/>
      <c r="O25" s="1002"/>
      <c r="P25" s="1002"/>
      <c r="Q25" s="1003"/>
      <c r="R25" s="691">
        <f>SUM(C25:Q25)</f>
        <v>2228.3570783824189</v>
      </c>
      <c r="S25" s="68"/>
    </row>
    <row r="26" spans="1:19" s="457" customFormat="1" ht="15.75" thickBot="1">
      <c r="A26" s="694" t="s">
        <v>913</v>
      </c>
      <c r="B26" s="811"/>
      <c r="C26" s="806">
        <f>SUM(C24:C25)</f>
        <v>6275.6981536308977</v>
      </c>
      <c r="D26" s="806">
        <f t="shared" ref="D26:R26" si="2">SUM(D24:D25)</f>
        <v>9495</v>
      </c>
      <c r="E26" s="806">
        <f t="shared" si="2"/>
        <v>3585.1968344016564</v>
      </c>
      <c r="F26" s="806">
        <f t="shared" si="2"/>
        <v>45.471560379550219</v>
      </c>
      <c r="G26" s="806">
        <f t="shared" si="2"/>
        <v>15751.405352045256</v>
      </c>
      <c r="H26" s="806">
        <f t="shared" si="2"/>
        <v>0</v>
      </c>
      <c r="I26" s="806">
        <f t="shared" si="2"/>
        <v>0</v>
      </c>
      <c r="J26" s="806">
        <f t="shared" si="2"/>
        <v>0</v>
      </c>
      <c r="K26" s="806">
        <f t="shared" si="2"/>
        <v>597.09693466113242</v>
      </c>
      <c r="L26" s="806">
        <f t="shared" si="2"/>
        <v>0</v>
      </c>
      <c r="M26" s="806">
        <f t="shared" si="2"/>
        <v>0</v>
      </c>
      <c r="N26" s="806">
        <f t="shared" si="2"/>
        <v>0</v>
      </c>
      <c r="O26" s="806">
        <f t="shared" si="2"/>
        <v>0</v>
      </c>
      <c r="P26" s="806">
        <f t="shared" si="2"/>
        <v>0</v>
      </c>
      <c r="Q26" s="806">
        <f t="shared" si="2"/>
        <v>0</v>
      </c>
      <c r="R26" s="806">
        <f t="shared" si="2"/>
        <v>35749.86883511849</v>
      </c>
      <c r="S26" s="68"/>
    </row>
    <row r="27" spans="1:19" s="457" customFormat="1" ht="17.25" thickTop="1" thickBot="1">
      <c r="A27" s="695" t="s">
        <v>116</v>
      </c>
      <c r="B27" s="798"/>
      <c r="C27" s="696">
        <f ca="1">C22+C16+C26</f>
        <v>55751.31154879673</v>
      </c>
      <c r="D27" s="696">
        <f t="shared" ref="D27:R27" ca="1" si="3">D22+D16+D26</f>
        <v>9495</v>
      </c>
      <c r="E27" s="696">
        <f t="shared" ca="1" si="3"/>
        <v>269873.76156157913</v>
      </c>
      <c r="F27" s="696">
        <f t="shared" si="3"/>
        <v>7838.0326820102109</v>
      </c>
      <c r="G27" s="696">
        <f t="shared" ca="1" si="3"/>
        <v>38517.758984689601</v>
      </c>
      <c r="H27" s="696">
        <f t="shared" si="3"/>
        <v>40186.45641251366</v>
      </c>
      <c r="I27" s="696">
        <f t="shared" si="3"/>
        <v>7704.0349944187619</v>
      </c>
      <c r="J27" s="696">
        <f t="shared" si="3"/>
        <v>0</v>
      </c>
      <c r="K27" s="696">
        <f t="shared" si="3"/>
        <v>6041.3012724359469</v>
      </c>
      <c r="L27" s="696">
        <f t="shared" si="3"/>
        <v>0</v>
      </c>
      <c r="M27" s="696">
        <f t="shared" ca="1" si="3"/>
        <v>0</v>
      </c>
      <c r="N27" s="696">
        <f t="shared" si="3"/>
        <v>2141.2639969003626</v>
      </c>
      <c r="O27" s="696">
        <f t="shared" ca="1" si="3"/>
        <v>12083.990680565365</v>
      </c>
      <c r="P27" s="696">
        <f t="shared" si="3"/>
        <v>68.786666666666676</v>
      </c>
      <c r="Q27" s="696">
        <f t="shared" si="3"/>
        <v>76.266666666666666</v>
      </c>
      <c r="R27" s="696">
        <f t="shared" ca="1" si="3"/>
        <v>449777.96546724311</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1794.2158302166349</v>
      </c>
      <c r="D40" s="688">
        <f ca="1">tertiair!C20</f>
        <v>0</v>
      </c>
      <c r="E40" s="688">
        <f ca="1">tertiair!D20</f>
        <v>1006.5515086397839</v>
      </c>
      <c r="F40" s="688">
        <f>tertiair!E20</f>
        <v>14.224044026383282</v>
      </c>
      <c r="G40" s="688">
        <f ca="1">tertiair!F20</f>
        <v>346.4034052282089</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3161.3947881110112</v>
      </c>
    </row>
    <row r="41" spans="1:18">
      <c r="A41" s="816" t="s">
        <v>225</v>
      </c>
      <c r="B41" s="823"/>
      <c r="C41" s="688">
        <f ca="1">huishoudens!B12</f>
        <v>3434.8118304880795</v>
      </c>
      <c r="D41" s="688">
        <f ca="1">huishoudens!C12</f>
        <v>0</v>
      </c>
      <c r="E41" s="688">
        <f>huishoudens!D12</f>
        <v>3747.7636704066022</v>
      </c>
      <c r="F41" s="688">
        <f>huishoudens!E12</f>
        <v>1652.6248228580821</v>
      </c>
      <c r="G41" s="688">
        <f>huishoudens!F12</f>
        <v>4362.4334944842076</v>
      </c>
      <c r="H41" s="688">
        <f>huishoudens!G12</f>
        <v>0</v>
      </c>
      <c r="I41" s="688">
        <f>huishoudens!H12</f>
        <v>0</v>
      </c>
      <c r="J41" s="688">
        <f>huishoudens!I12</f>
        <v>0</v>
      </c>
      <c r="K41" s="688">
        <f>huishoudens!J12</f>
        <v>1891.2815634145065</v>
      </c>
      <c r="L41" s="688">
        <f>huishoudens!K12</f>
        <v>0</v>
      </c>
      <c r="M41" s="688">
        <f>huishoudens!L12</f>
        <v>0</v>
      </c>
      <c r="N41" s="688">
        <f>huishoudens!M12</f>
        <v>0</v>
      </c>
      <c r="O41" s="688">
        <f>huishoudens!N12</f>
        <v>0</v>
      </c>
      <c r="P41" s="688">
        <f>huishoudens!O12</f>
        <v>0</v>
      </c>
      <c r="Q41" s="763">
        <f>huishoudens!P12</f>
        <v>0</v>
      </c>
      <c r="R41" s="844">
        <f t="shared" ca="1" si="4"/>
        <v>15088.915381651479</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6463.8467658646459</v>
      </c>
      <c r="D43" s="688">
        <f ca="1">industrie!C22</f>
        <v>0</v>
      </c>
      <c r="E43" s="688">
        <f>industrie!D22</f>
        <v>49035.266667466618</v>
      </c>
      <c r="F43" s="688">
        <f>industrie!E22</f>
        <v>56.779840523978791</v>
      </c>
      <c r="G43" s="688">
        <f>industrie!F22</f>
        <v>1369.7795202036236</v>
      </c>
      <c r="H43" s="688">
        <f>industrie!G22</f>
        <v>0</v>
      </c>
      <c r="I43" s="688">
        <f>industrie!H22</f>
        <v>0</v>
      </c>
      <c r="J43" s="688">
        <f>industrie!I22</f>
        <v>0</v>
      </c>
      <c r="K43" s="688">
        <f>industrie!J22</f>
        <v>35.966772157777534</v>
      </c>
      <c r="L43" s="688">
        <f>industrie!K22</f>
        <v>0</v>
      </c>
      <c r="M43" s="688">
        <f>industrie!L22</f>
        <v>0</v>
      </c>
      <c r="N43" s="688">
        <f>industrie!M22</f>
        <v>0</v>
      </c>
      <c r="O43" s="688">
        <f>industrie!N22</f>
        <v>0</v>
      </c>
      <c r="P43" s="688">
        <f>industrie!O22</f>
        <v>0</v>
      </c>
      <c r="Q43" s="763">
        <f>industrie!P22</f>
        <v>0</v>
      </c>
      <c r="R43" s="843">
        <f t="shared" ca="1" si="4"/>
        <v>56961.639566216647</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11692.87442656936</v>
      </c>
      <c r="D46" s="721">
        <f t="shared" ref="D46:Q46" ca="1" si="5">SUM(D39:D45)</f>
        <v>0</v>
      </c>
      <c r="E46" s="721">
        <f t="shared" ca="1" si="5"/>
        <v>53789.581846513007</v>
      </c>
      <c r="F46" s="721">
        <f t="shared" si="5"/>
        <v>1723.6287074084441</v>
      </c>
      <c r="G46" s="721">
        <f t="shared" ca="1" si="5"/>
        <v>6078.6164199160394</v>
      </c>
      <c r="H46" s="721">
        <f t="shared" si="5"/>
        <v>0</v>
      </c>
      <c r="I46" s="721">
        <f t="shared" si="5"/>
        <v>0</v>
      </c>
      <c r="J46" s="721">
        <f t="shared" si="5"/>
        <v>0</v>
      </c>
      <c r="K46" s="721">
        <f t="shared" si="5"/>
        <v>1927.2483355722841</v>
      </c>
      <c r="L46" s="721">
        <f t="shared" si="5"/>
        <v>0</v>
      </c>
      <c r="M46" s="721">
        <f t="shared" ca="1" si="5"/>
        <v>0</v>
      </c>
      <c r="N46" s="721">
        <f t="shared" si="5"/>
        <v>0</v>
      </c>
      <c r="O46" s="721">
        <f t="shared" ca="1" si="5"/>
        <v>0</v>
      </c>
      <c r="P46" s="721">
        <f t="shared" si="5"/>
        <v>0</v>
      </c>
      <c r="Q46" s="721">
        <f t="shared" si="5"/>
        <v>0</v>
      </c>
      <c r="R46" s="721">
        <f ca="1">SUM(R39:R45)</f>
        <v>75211.949735979142</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282.88365916900858</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282.88365916900858</v>
      </c>
    </row>
    <row r="50" spans="1:18">
      <c r="A50" s="819" t="s">
        <v>307</v>
      </c>
      <c r="B50" s="829"/>
      <c r="C50" s="1008">
        <f ca="1">transport!B18</f>
        <v>0.25690747198378272</v>
      </c>
      <c r="D50" s="1008">
        <f>transport!C18</f>
        <v>0</v>
      </c>
      <c r="E50" s="1008">
        <f>transport!D18</f>
        <v>0.70822837685835993</v>
      </c>
      <c r="F50" s="1008">
        <f>transport!E18</f>
        <v>45.282667201715789</v>
      </c>
      <c r="G50" s="1008">
        <f>transport!F18</f>
        <v>0</v>
      </c>
      <c r="H50" s="1008">
        <f>transport!G18</f>
        <v>10446.90020297214</v>
      </c>
      <c r="I50" s="1008">
        <f>transport!H18</f>
        <v>1918.3047136102716</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12411.452719632969</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0.25690747198378272</v>
      </c>
      <c r="D52" s="721">
        <f t="shared" ref="D52:Q52" ca="1" si="6">SUM(D48:D51)</f>
        <v>0</v>
      </c>
      <c r="E52" s="721">
        <f t="shared" si="6"/>
        <v>0.70822837685835993</v>
      </c>
      <c r="F52" s="721">
        <f t="shared" si="6"/>
        <v>45.282667201715789</v>
      </c>
      <c r="G52" s="721">
        <f t="shared" si="6"/>
        <v>0</v>
      </c>
      <c r="H52" s="721">
        <f t="shared" si="6"/>
        <v>10729.783862141148</v>
      </c>
      <c r="I52" s="721">
        <f t="shared" si="6"/>
        <v>1918.3047136102716</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12694.336378801978</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1140.768986686408</v>
      </c>
      <c r="D54" s="1008">
        <f ca="1">+landbouw!C12</f>
        <v>2256.4588235294118</v>
      </c>
      <c r="E54" s="1008">
        <f>+landbouw!D12</f>
        <v>566.76183842972694</v>
      </c>
      <c r="F54" s="1008">
        <f>+landbouw!E12</f>
        <v>10.3220442061579</v>
      </c>
      <c r="G54" s="1008">
        <f>+landbouw!F12</f>
        <v>4205.6252289960839</v>
      </c>
      <c r="H54" s="1008">
        <f>+landbouw!G12</f>
        <v>0</v>
      </c>
      <c r="I54" s="1008">
        <f>+landbouw!H12</f>
        <v>0</v>
      </c>
      <c r="J54" s="1008">
        <f>+landbouw!I12</f>
        <v>0</v>
      </c>
      <c r="K54" s="1008">
        <f>+landbouw!J12</f>
        <v>211.37231487004087</v>
      </c>
      <c r="L54" s="1008">
        <f>+landbouw!K12</f>
        <v>0</v>
      </c>
      <c r="M54" s="1008">
        <f>+landbouw!L12</f>
        <v>0</v>
      </c>
      <c r="N54" s="1008">
        <f>+landbouw!M12</f>
        <v>0</v>
      </c>
      <c r="O54" s="1008">
        <f>+landbouw!N12</f>
        <v>0</v>
      </c>
      <c r="P54" s="1008">
        <f>+landbouw!O12</f>
        <v>0</v>
      </c>
      <c r="Q54" s="1009">
        <f>+landbouw!P12</f>
        <v>0</v>
      </c>
      <c r="R54" s="720">
        <f ca="1">SUM(C54:Q54)</f>
        <v>8391.3092367178288</v>
      </c>
    </row>
    <row r="55" spans="1:18" ht="15" thickBot="1">
      <c r="A55" s="819" t="s">
        <v>912</v>
      </c>
      <c r="B55" s="829"/>
      <c r="C55" s="1008">
        <f ca="1">C25*'EF ele_warmte'!B12</f>
        <v>342.43774259846697</v>
      </c>
      <c r="D55" s="1008"/>
      <c r="E55" s="1008">
        <f>E25*EF_CO2_aardgas</f>
        <v>157.44792211940774</v>
      </c>
      <c r="F55" s="1008"/>
      <c r="G55" s="1008"/>
      <c r="H55" s="1008"/>
      <c r="I55" s="1008"/>
      <c r="J55" s="1008"/>
      <c r="K55" s="1008"/>
      <c r="L55" s="1008"/>
      <c r="M55" s="1008"/>
      <c r="N55" s="1008"/>
      <c r="O55" s="1008"/>
      <c r="P55" s="1008"/>
      <c r="Q55" s="1009"/>
      <c r="R55" s="720">
        <f ca="1">SUM(C55:Q55)</f>
        <v>499.8856647178747</v>
      </c>
    </row>
    <row r="56" spans="1:18" ht="15.75" thickBot="1">
      <c r="A56" s="817" t="s">
        <v>913</v>
      </c>
      <c r="B56" s="830"/>
      <c r="C56" s="721">
        <f ca="1">SUM(C54:C55)</f>
        <v>1483.2067292848749</v>
      </c>
      <c r="D56" s="721">
        <f t="shared" ref="D56:Q56" ca="1" si="7">SUM(D54:D55)</f>
        <v>2256.4588235294118</v>
      </c>
      <c r="E56" s="721">
        <f t="shared" si="7"/>
        <v>724.20976054913467</v>
      </c>
      <c r="F56" s="721">
        <f t="shared" si="7"/>
        <v>10.3220442061579</v>
      </c>
      <c r="G56" s="721">
        <f t="shared" si="7"/>
        <v>4205.6252289960839</v>
      </c>
      <c r="H56" s="721">
        <f t="shared" si="7"/>
        <v>0</v>
      </c>
      <c r="I56" s="721">
        <f t="shared" si="7"/>
        <v>0</v>
      </c>
      <c r="J56" s="721">
        <f t="shared" si="7"/>
        <v>0</v>
      </c>
      <c r="K56" s="721">
        <f t="shared" si="7"/>
        <v>211.37231487004087</v>
      </c>
      <c r="L56" s="721">
        <f t="shared" si="7"/>
        <v>0</v>
      </c>
      <c r="M56" s="721">
        <f t="shared" si="7"/>
        <v>0</v>
      </c>
      <c r="N56" s="721">
        <f t="shared" si="7"/>
        <v>0</v>
      </c>
      <c r="O56" s="721">
        <f t="shared" si="7"/>
        <v>0</v>
      </c>
      <c r="P56" s="721">
        <f t="shared" si="7"/>
        <v>0</v>
      </c>
      <c r="Q56" s="722">
        <f t="shared" si="7"/>
        <v>0</v>
      </c>
      <c r="R56" s="723">
        <f ca="1">SUM(R54:R55)</f>
        <v>8891.1949014357033</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13176.338063326219</v>
      </c>
      <c r="D61" s="729">
        <f t="shared" ref="D61:Q61" ca="1" si="8">D46+D52+D56</f>
        <v>2256.4588235294118</v>
      </c>
      <c r="E61" s="729">
        <f t="shared" ca="1" si="8"/>
        <v>54514.499835439005</v>
      </c>
      <c r="F61" s="729">
        <f t="shared" si="8"/>
        <v>1779.2334188163179</v>
      </c>
      <c r="G61" s="729">
        <f t="shared" ca="1" si="8"/>
        <v>10284.241648912124</v>
      </c>
      <c r="H61" s="729">
        <f t="shared" si="8"/>
        <v>10729.783862141148</v>
      </c>
      <c r="I61" s="729">
        <f t="shared" si="8"/>
        <v>1918.3047136102716</v>
      </c>
      <c r="J61" s="729">
        <f t="shared" si="8"/>
        <v>0</v>
      </c>
      <c r="K61" s="729">
        <f t="shared" si="8"/>
        <v>2138.6206504423249</v>
      </c>
      <c r="L61" s="729">
        <f t="shared" si="8"/>
        <v>0</v>
      </c>
      <c r="M61" s="729">
        <f t="shared" ca="1" si="8"/>
        <v>0</v>
      </c>
      <c r="N61" s="729">
        <f t="shared" si="8"/>
        <v>0</v>
      </c>
      <c r="O61" s="729">
        <f t="shared" ca="1" si="8"/>
        <v>0</v>
      </c>
      <c r="P61" s="729">
        <f t="shared" si="8"/>
        <v>0</v>
      </c>
      <c r="Q61" s="729">
        <f t="shared" si="8"/>
        <v>0</v>
      </c>
      <c r="R61" s="729">
        <f ca="1">R46+R52+R56</f>
        <v>96797.481016216829</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0.2363413110343339</v>
      </c>
      <c r="D63" s="773">
        <f t="shared" ca="1" si="9"/>
        <v>0.23764705882352941</v>
      </c>
      <c r="E63" s="1010">
        <f t="shared" ca="1" si="9"/>
        <v>0.20200000000000007</v>
      </c>
      <c r="F63" s="773">
        <f t="shared" si="9"/>
        <v>0.22700000000000001</v>
      </c>
      <c r="G63" s="773">
        <f t="shared" ca="1" si="9"/>
        <v>0.26700000000000002</v>
      </c>
      <c r="H63" s="773">
        <f t="shared" si="9"/>
        <v>0.26700000000000002</v>
      </c>
      <c r="I63" s="773">
        <f t="shared" si="9"/>
        <v>0.249</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3277.0269928888893</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6646.5</v>
      </c>
      <c r="D76" s="1020">
        <f>'lokale energieproductie'!C8</f>
        <v>7819.411764705882</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1579.5211764705882</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3277.0269928888893</v>
      </c>
      <c r="C78" s="744">
        <f>SUM(C72:C77)</f>
        <v>6646.5</v>
      </c>
      <c r="D78" s="745">
        <f t="shared" ref="D78:H78" si="10">SUM(D76:D77)</f>
        <v>7819.411764705882</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1579.5211764705882</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9495</v>
      </c>
      <c r="D87" s="766">
        <f>'lokale energieproductie'!C17</f>
        <v>11170.588235294117</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2256.4588235294118</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9495</v>
      </c>
      <c r="D90" s="744">
        <f t="shared" ref="D90:H90" si="12">SUM(D87:D89)</f>
        <v>11170.588235294117</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2256.4588235294118</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14533.26892135711</v>
      </c>
      <c r="C4" s="461">
        <f>huishoudens!C8</f>
        <v>0</v>
      </c>
      <c r="D4" s="461">
        <f>huishoudens!D8</f>
        <v>18553.285497062385</v>
      </c>
      <c r="E4" s="461">
        <f>huishoudens!E8</f>
        <v>7280.2855632514629</v>
      </c>
      <c r="F4" s="461">
        <f>huishoudens!F8</f>
        <v>16338.702226532612</v>
      </c>
      <c r="G4" s="461">
        <f>huishoudens!G8</f>
        <v>0</v>
      </c>
      <c r="H4" s="461">
        <f>huishoudens!H8</f>
        <v>0</v>
      </c>
      <c r="I4" s="461">
        <f>huishoudens!I8</f>
        <v>0</v>
      </c>
      <c r="J4" s="461">
        <f>huishoudens!J8</f>
        <v>5342.6032864816571</v>
      </c>
      <c r="K4" s="461">
        <f>huishoudens!K8</f>
        <v>0</v>
      </c>
      <c r="L4" s="461">
        <f>huishoudens!L8</f>
        <v>0</v>
      </c>
      <c r="M4" s="461">
        <f>huishoudens!M8</f>
        <v>0</v>
      </c>
      <c r="N4" s="461">
        <f>huishoudens!N8</f>
        <v>11079.103966219001</v>
      </c>
      <c r="O4" s="461">
        <f>huishoudens!O8</f>
        <v>68.786666666666676</v>
      </c>
      <c r="P4" s="462">
        <f>huishoudens!P8</f>
        <v>76.266666666666666</v>
      </c>
      <c r="Q4" s="463">
        <f>SUM(B4:P4)</f>
        <v>73272.302794237548</v>
      </c>
    </row>
    <row r="5" spans="1:17">
      <c r="A5" s="460" t="s">
        <v>156</v>
      </c>
      <c r="B5" s="461">
        <f ca="1">tertiair!B16</f>
        <v>6843.929182486313</v>
      </c>
      <c r="C5" s="461">
        <f ca="1">tertiair!C16</f>
        <v>0</v>
      </c>
      <c r="D5" s="461">
        <f ca="1">tertiair!D16</f>
        <v>4982.9282605929893</v>
      </c>
      <c r="E5" s="461">
        <f>tertiair!E16</f>
        <v>62.660986900366879</v>
      </c>
      <c r="F5" s="461">
        <f ca="1">tertiair!F16</f>
        <v>1297.3910308172617</v>
      </c>
      <c r="G5" s="461">
        <f>tertiair!G16</f>
        <v>0</v>
      </c>
      <c r="H5" s="461">
        <f>tertiair!H16</f>
        <v>0</v>
      </c>
      <c r="I5" s="461">
        <f>tertiair!I16</f>
        <v>0</v>
      </c>
      <c r="J5" s="461">
        <f>tertiair!J16</f>
        <v>0</v>
      </c>
      <c r="K5" s="461">
        <f>tertiair!K16</f>
        <v>0</v>
      </c>
      <c r="L5" s="461">
        <f ca="1">tertiair!L16</f>
        <v>0</v>
      </c>
      <c r="M5" s="461">
        <f>tertiair!M16</f>
        <v>0</v>
      </c>
      <c r="N5" s="461">
        <f ca="1">tertiair!N16</f>
        <v>242.78145965180332</v>
      </c>
      <c r="O5" s="461">
        <f>tertiair!O16</f>
        <v>0</v>
      </c>
      <c r="P5" s="462">
        <f>tertiair!P16</f>
        <v>0</v>
      </c>
      <c r="Q5" s="460">
        <f t="shared" ref="Q5:Q14" ca="1" si="0">SUM(B5:P5)</f>
        <v>13429.690920448733</v>
      </c>
    </row>
    <row r="6" spans="1:17">
      <c r="A6" s="460" t="s">
        <v>194</v>
      </c>
      <c r="B6" s="461">
        <f>'openbare verlichting'!B8</f>
        <v>747.70100000000002</v>
      </c>
      <c r="C6" s="461"/>
      <c r="D6" s="461"/>
      <c r="E6" s="461"/>
      <c r="F6" s="461"/>
      <c r="G6" s="461"/>
      <c r="H6" s="461"/>
      <c r="I6" s="461"/>
      <c r="J6" s="461"/>
      <c r="K6" s="461"/>
      <c r="L6" s="461"/>
      <c r="M6" s="461"/>
      <c r="N6" s="461"/>
      <c r="O6" s="461"/>
      <c r="P6" s="462"/>
      <c r="Q6" s="460">
        <f t="shared" si="0"/>
        <v>747.70100000000002</v>
      </c>
    </row>
    <row r="7" spans="1:17">
      <c r="A7" s="460" t="s">
        <v>112</v>
      </c>
      <c r="B7" s="461">
        <f>landbouw!B8</f>
        <v>4826.7862342554472</v>
      </c>
      <c r="C7" s="461">
        <f>landbouw!C8</f>
        <v>9495</v>
      </c>
      <c r="D7" s="461">
        <f>landbouw!D8</f>
        <v>2805.7516753946875</v>
      </c>
      <c r="E7" s="461">
        <f>landbouw!E8</f>
        <v>45.471560379550219</v>
      </c>
      <c r="F7" s="461">
        <f>landbouw!F8</f>
        <v>15751.405352045256</v>
      </c>
      <c r="G7" s="461">
        <f>landbouw!G8</f>
        <v>0</v>
      </c>
      <c r="H7" s="461">
        <f>landbouw!H8</f>
        <v>0</v>
      </c>
      <c r="I7" s="461">
        <f>landbouw!I8</f>
        <v>0</v>
      </c>
      <c r="J7" s="461">
        <f>landbouw!J8</f>
        <v>597.09693466113242</v>
      </c>
      <c r="K7" s="461">
        <f>landbouw!K8</f>
        <v>0</v>
      </c>
      <c r="L7" s="461">
        <f>landbouw!L8</f>
        <v>0</v>
      </c>
      <c r="M7" s="461">
        <f>landbouw!M8</f>
        <v>0</v>
      </c>
      <c r="N7" s="461">
        <f>landbouw!N8</f>
        <v>0</v>
      </c>
      <c r="O7" s="461">
        <f>landbouw!O8</f>
        <v>0</v>
      </c>
      <c r="P7" s="462">
        <f>landbouw!P8</f>
        <v>0</v>
      </c>
      <c r="Q7" s="460">
        <f t="shared" si="0"/>
        <v>33521.511756736072</v>
      </c>
    </row>
    <row r="8" spans="1:17">
      <c r="A8" s="460" t="s">
        <v>685</v>
      </c>
      <c r="B8" s="461">
        <f>industrie!B18</f>
        <v>27349.62727242224</v>
      </c>
      <c r="C8" s="461">
        <f>industrie!C18</f>
        <v>0</v>
      </c>
      <c r="D8" s="461">
        <f>industrie!D18</f>
        <v>242748.8448884486</v>
      </c>
      <c r="E8" s="461">
        <f>industrie!E18</f>
        <v>250.13145605277001</v>
      </c>
      <c r="F8" s="461">
        <f>industrie!F18</f>
        <v>5130.2603752944706</v>
      </c>
      <c r="G8" s="461">
        <f>industrie!G18</f>
        <v>0</v>
      </c>
      <c r="H8" s="461">
        <f>industrie!H18</f>
        <v>0</v>
      </c>
      <c r="I8" s="461">
        <f>industrie!I18</f>
        <v>0</v>
      </c>
      <c r="J8" s="461">
        <f>industrie!J18</f>
        <v>101.60105129315689</v>
      </c>
      <c r="K8" s="461">
        <f>industrie!K18</f>
        <v>0</v>
      </c>
      <c r="L8" s="461">
        <f>industrie!L18</f>
        <v>0</v>
      </c>
      <c r="M8" s="461">
        <f>industrie!M18</f>
        <v>0</v>
      </c>
      <c r="N8" s="461">
        <f>industrie!N18</f>
        <v>762.10525469455888</v>
      </c>
      <c r="O8" s="461">
        <f>industrie!O18</f>
        <v>0</v>
      </c>
      <c r="P8" s="462">
        <f>industrie!P18</f>
        <v>0</v>
      </c>
      <c r="Q8" s="460">
        <f t="shared" si="0"/>
        <v>276342.57029820583</v>
      </c>
    </row>
    <row r="9" spans="1:17" s="466" customFormat="1">
      <c r="A9" s="464" t="s">
        <v>579</v>
      </c>
      <c r="B9" s="465">
        <f>transport!B14</f>
        <v>1.0870189001636752</v>
      </c>
      <c r="C9" s="465">
        <f>transport!C14</f>
        <v>0</v>
      </c>
      <c r="D9" s="465">
        <f>transport!D14</f>
        <v>3.5060810735562371</v>
      </c>
      <c r="E9" s="465">
        <f>transport!E14</f>
        <v>199.48311542606075</v>
      </c>
      <c r="F9" s="465">
        <f>transport!F14</f>
        <v>0</v>
      </c>
      <c r="G9" s="465">
        <f>transport!G14</f>
        <v>39126.96705233011</v>
      </c>
      <c r="H9" s="465">
        <f>transport!H14</f>
        <v>7704.0349944187619</v>
      </c>
      <c r="I9" s="465">
        <f>transport!I14</f>
        <v>0</v>
      </c>
      <c r="J9" s="465">
        <f>transport!J14</f>
        <v>0</v>
      </c>
      <c r="K9" s="465">
        <f>transport!K14</f>
        <v>0</v>
      </c>
      <c r="L9" s="465">
        <f>transport!L14</f>
        <v>0</v>
      </c>
      <c r="M9" s="465">
        <f>transport!M14</f>
        <v>2094.7400713576803</v>
      </c>
      <c r="N9" s="465">
        <f>transport!N14</f>
        <v>0</v>
      </c>
      <c r="O9" s="465">
        <f>transport!O14</f>
        <v>0</v>
      </c>
      <c r="P9" s="465">
        <f>transport!P14</f>
        <v>0</v>
      </c>
      <c r="Q9" s="464">
        <f>SUM(B9:P9)</f>
        <v>49129.81833350633</v>
      </c>
    </row>
    <row r="10" spans="1:17">
      <c r="A10" s="460" t="s">
        <v>569</v>
      </c>
      <c r="B10" s="461">
        <f>transport!B54</f>
        <v>0</v>
      </c>
      <c r="C10" s="461">
        <f>transport!C54</f>
        <v>0</v>
      </c>
      <c r="D10" s="461">
        <f>transport!D54</f>
        <v>0</v>
      </c>
      <c r="E10" s="461">
        <f>transport!E54</f>
        <v>0</v>
      </c>
      <c r="F10" s="461">
        <f>transport!F54</f>
        <v>0</v>
      </c>
      <c r="G10" s="461">
        <f>transport!G54</f>
        <v>1059.4893601835527</v>
      </c>
      <c r="H10" s="461">
        <f>transport!H54</f>
        <v>0</v>
      </c>
      <c r="I10" s="461">
        <f>transport!I54</f>
        <v>0</v>
      </c>
      <c r="J10" s="461">
        <f>transport!J54</f>
        <v>0</v>
      </c>
      <c r="K10" s="461">
        <f>transport!K54</f>
        <v>0</v>
      </c>
      <c r="L10" s="461">
        <f>transport!L54</f>
        <v>0</v>
      </c>
      <c r="M10" s="461">
        <f>transport!M54</f>
        <v>46.523925542682271</v>
      </c>
      <c r="N10" s="461">
        <f>transport!N54</f>
        <v>0</v>
      </c>
      <c r="O10" s="461">
        <f>transport!O54</f>
        <v>0</v>
      </c>
      <c r="P10" s="462">
        <f>transport!P54</f>
        <v>0</v>
      </c>
      <c r="Q10" s="460">
        <f t="shared" si="0"/>
        <v>1106.0132857262349</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1448.91191937545</v>
      </c>
      <c r="C14" s="468"/>
      <c r="D14" s="468">
        <f>'SEAP template'!E25</f>
        <v>779.44515900696899</v>
      </c>
      <c r="E14" s="468"/>
      <c r="F14" s="468"/>
      <c r="G14" s="468"/>
      <c r="H14" s="468"/>
      <c r="I14" s="468"/>
      <c r="J14" s="468"/>
      <c r="K14" s="468"/>
      <c r="L14" s="468"/>
      <c r="M14" s="468"/>
      <c r="N14" s="468"/>
      <c r="O14" s="468"/>
      <c r="P14" s="469"/>
      <c r="Q14" s="460">
        <f t="shared" si="0"/>
        <v>2228.3570783824189</v>
      </c>
    </row>
    <row r="15" spans="1:17" s="473" customFormat="1">
      <c r="A15" s="470" t="s">
        <v>573</v>
      </c>
      <c r="B15" s="471">
        <f ca="1">SUM(B4:B14)</f>
        <v>55751.31154879673</v>
      </c>
      <c r="C15" s="471">
        <f t="shared" ref="C15:Q15" ca="1" si="1">SUM(C4:C14)</f>
        <v>9495</v>
      </c>
      <c r="D15" s="471">
        <f t="shared" ca="1" si="1"/>
        <v>269873.76156157919</v>
      </c>
      <c r="E15" s="471">
        <f t="shared" si="1"/>
        <v>7838.0326820102109</v>
      </c>
      <c r="F15" s="471">
        <f t="shared" ca="1" si="1"/>
        <v>38517.758984689601</v>
      </c>
      <c r="G15" s="471">
        <f t="shared" si="1"/>
        <v>40186.45641251366</v>
      </c>
      <c r="H15" s="471">
        <f t="shared" si="1"/>
        <v>7704.0349944187619</v>
      </c>
      <c r="I15" s="471">
        <f t="shared" si="1"/>
        <v>0</v>
      </c>
      <c r="J15" s="471">
        <f t="shared" si="1"/>
        <v>6041.3012724359469</v>
      </c>
      <c r="K15" s="471">
        <f t="shared" si="1"/>
        <v>0</v>
      </c>
      <c r="L15" s="471">
        <f t="shared" ca="1" si="1"/>
        <v>0</v>
      </c>
      <c r="M15" s="471">
        <f t="shared" si="1"/>
        <v>2141.2639969003626</v>
      </c>
      <c r="N15" s="471">
        <f t="shared" ca="1" si="1"/>
        <v>12083.990680565365</v>
      </c>
      <c r="O15" s="471">
        <f t="shared" si="1"/>
        <v>68.786666666666676</v>
      </c>
      <c r="P15" s="471">
        <f t="shared" si="1"/>
        <v>76.266666666666666</v>
      </c>
      <c r="Q15" s="471">
        <f t="shared" ca="1" si="1"/>
        <v>449777.96546724316</v>
      </c>
    </row>
    <row r="17" spans="1:17">
      <c r="A17" s="474" t="s">
        <v>574</v>
      </c>
      <c r="B17" s="778">
        <f ca="1">huishoudens!B10</f>
        <v>0.23634131103433392</v>
      </c>
      <c r="C17" s="778">
        <f ca="1">huishoudens!C10</f>
        <v>0.23764705882352941</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3434.8118304880795</v>
      </c>
      <c r="C22" s="461">
        <f t="shared" ref="C22:C32" ca="1" si="3">C4*$C$17</f>
        <v>0</v>
      </c>
      <c r="D22" s="461">
        <f t="shared" ref="D22:D32" si="4">D4*$D$17</f>
        <v>3747.7636704066022</v>
      </c>
      <c r="E22" s="461">
        <f t="shared" ref="E22:E32" si="5">E4*$E$17</f>
        <v>1652.6248228580821</v>
      </c>
      <c r="F22" s="461">
        <f t="shared" ref="F22:F32" si="6">F4*$F$17</f>
        <v>4362.4334944842076</v>
      </c>
      <c r="G22" s="461">
        <f t="shared" ref="G22:G32" si="7">G4*$G$17</f>
        <v>0</v>
      </c>
      <c r="H22" s="461">
        <f t="shared" ref="H22:H32" si="8">H4*$H$17</f>
        <v>0</v>
      </c>
      <c r="I22" s="461">
        <f t="shared" ref="I22:I32" si="9">I4*$I$17</f>
        <v>0</v>
      </c>
      <c r="J22" s="461">
        <f t="shared" ref="J22:J32" si="10">J4*$J$17</f>
        <v>1891.2815634145065</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15088.915381651479</v>
      </c>
    </row>
    <row r="23" spans="1:17">
      <c r="A23" s="460" t="s">
        <v>156</v>
      </c>
      <c r="B23" s="461">
        <f t="shared" ca="1" si="2"/>
        <v>1617.5031956149523</v>
      </c>
      <c r="C23" s="461">
        <f t="shared" ca="1" si="3"/>
        <v>0</v>
      </c>
      <c r="D23" s="461">
        <f t="shared" ca="1" si="4"/>
        <v>1006.5515086397839</v>
      </c>
      <c r="E23" s="461">
        <f t="shared" si="5"/>
        <v>14.224044026383282</v>
      </c>
      <c r="F23" s="461">
        <f t="shared" ca="1" si="6"/>
        <v>346.4034052282089</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2984.6821535093286</v>
      </c>
    </row>
    <row r="24" spans="1:17">
      <c r="A24" s="460" t="s">
        <v>194</v>
      </c>
      <c r="B24" s="461">
        <f t="shared" ca="1" si="2"/>
        <v>176.71263460168251</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176.71263460168251</v>
      </c>
    </row>
    <row r="25" spans="1:17">
      <c r="A25" s="460" t="s">
        <v>112</v>
      </c>
      <c r="B25" s="461">
        <f t="shared" ca="1" si="2"/>
        <v>1140.768986686408</v>
      </c>
      <c r="C25" s="461">
        <f t="shared" ca="1" si="3"/>
        <v>2256.4588235294118</v>
      </c>
      <c r="D25" s="461">
        <f t="shared" si="4"/>
        <v>566.76183842972694</v>
      </c>
      <c r="E25" s="461">
        <f t="shared" si="5"/>
        <v>10.3220442061579</v>
      </c>
      <c r="F25" s="461">
        <f t="shared" si="6"/>
        <v>4205.6252289960839</v>
      </c>
      <c r="G25" s="461">
        <f t="shared" si="7"/>
        <v>0</v>
      </c>
      <c r="H25" s="461">
        <f t="shared" si="8"/>
        <v>0</v>
      </c>
      <c r="I25" s="461">
        <f t="shared" si="9"/>
        <v>0</v>
      </c>
      <c r="J25" s="461">
        <f t="shared" si="10"/>
        <v>211.37231487004087</v>
      </c>
      <c r="K25" s="461">
        <f t="shared" si="11"/>
        <v>0</v>
      </c>
      <c r="L25" s="461">
        <f t="shared" si="12"/>
        <v>0</v>
      </c>
      <c r="M25" s="461">
        <f t="shared" si="13"/>
        <v>0</v>
      </c>
      <c r="N25" s="461">
        <f t="shared" si="14"/>
        <v>0</v>
      </c>
      <c r="O25" s="461">
        <f t="shared" si="15"/>
        <v>0</v>
      </c>
      <c r="P25" s="462">
        <f t="shared" si="16"/>
        <v>0</v>
      </c>
      <c r="Q25" s="460">
        <f t="shared" ca="1" si="17"/>
        <v>8391.3092367178288</v>
      </c>
    </row>
    <row r="26" spans="1:17">
      <c r="A26" s="460" t="s">
        <v>685</v>
      </c>
      <c r="B26" s="461">
        <f t="shared" ca="1" si="2"/>
        <v>6463.8467658646459</v>
      </c>
      <c r="C26" s="461">
        <f t="shared" ca="1" si="3"/>
        <v>0</v>
      </c>
      <c r="D26" s="461">
        <f t="shared" si="4"/>
        <v>49035.266667466618</v>
      </c>
      <c r="E26" s="461">
        <f t="shared" si="5"/>
        <v>56.779840523978791</v>
      </c>
      <c r="F26" s="461">
        <f t="shared" si="6"/>
        <v>1369.7795202036236</v>
      </c>
      <c r="G26" s="461">
        <f t="shared" si="7"/>
        <v>0</v>
      </c>
      <c r="H26" s="461">
        <f t="shared" si="8"/>
        <v>0</v>
      </c>
      <c r="I26" s="461">
        <f t="shared" si="9"/>
        <v>0</v>
      </c>
      <c r="J26" s="461">
        <f t="shared" si="10"/>
        <v>35.966772157777534</v>
      </c>
      <c r="K26" s="461">
        <f t="shared" si="11"/>
        <v>0</v>
      </c>
      <c r="L26" s="461">
        <f t="shared" si="12"/>
        <v>0</v>
      </c>
      <c r="M26" s="461">
        <f t="shared" si="13"/>
        <v>0</v>
      </c>
      <c r="N26" s="461">
        <f t="shared" si="14"/>
        <v>0</v>
      </c>
      <c r="O26" s="461">
        <f t="shared" si="15"/>
        <v>0</v>
      </c>
      <c r="P26" s="462">
        <f t="shared" si="16"/>
        <v>0</v>
      </c>
      <c r="Q26" s="460">
        <f t="shared" ca="1" si="17"/>
        <v>56961.639566216647</v>
      </c>
    </row>
    <row r="27" spans="1:17" s="466" customFormat="1">
      <c r="A27" s="464" t="s">
        <v>579</v>
      </c>
      <c r="B27" s="772">
        <f t="shared" ca="1" si="2"/>
        <v>0.25690747198378272</v>
      </c>
      <c r="C27" s="465">
        <f t="shared" ca="1" si="3"/>
        <v>0</v>
      </c>
      <c r="D27" s="465">
        <f t="shared" si="4"/>
        <v>0.70822837685835993</v>
      </c>
      <c r="E27" s="465">
        <f t="shared" si="5"/>
        <v>45.282667201715789</v>
      </c>
      <c r="F27" s="465">
        <f t="shared" si="6"/>
        <v>0</v>
      </c>
      <c r="G27" s="465">
        <f t="shared" si="7"/>
        <v>10446.90020297214</v>
      </c>
      <c r="H27" s="465">
        <f t="shared" si="8"/>
        <v>1918.3047136102716</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12411.452719632969</v>
      </c>
    </row>
    <row r="28" spans="1:17">
      <c r="A28" s="460" t="s">
        <v>569</v>
      </c>
      <c r="B28" s="461">
        <f t="shared" ca="1" si="2"/>
        <v>0</v>
      </c>
      <c r="C28" s="461">
        <f t="shared" ca="1" si="3"/>
        <v>0</v>
      </c>
      <c r="D28" s="461">
        <f t="shared" si="4"/>
        <v>0</v>
      </c>
      <c r="E28" s="461">
        <f t="shared" si="5"/>
        <v>0</v>
      </c>
      <c r="F28" s="461">
        <f t="shared" si="6"/>
        <v>0</v>
      </c>
      <c r="G28" s="461">
        <f t="shared" si="7"/>
        <v>282.88365916900858</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282.88365916900858</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342.43774259846697</v>
      </c>
      <c r="C32" s="461">
        <f t="shared" ca="1" si="3"/>
        <v>0</v>
      </c>
      <c r="D32" s="461">
        <f t="shared" si="4"/>
        <v>157.44792211940774</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499.8856647178747</v>
      </c>
    </row>
    <row r="33" spans="1:17" s="473" customFormat="1">
      <c r="A33" s="470" t="s">
        <v>573</v>
      </c>
      <c r="B33" s="471">
        <f ca="1">SUM(B22:B32)</f>
        <v>13176.338063326219</v>
      </c>
      <c r="C33" s="471">
        <f t="shared" ref="C33:Q33" ca="1" si="18">SUM(C22:C32)</f>
        <v>2256.4588235294118</v>
      </c>
      <c r="D33" s="471">
        <f t="shared" ca="1" si="18"/>
        <v>54514.499835438997</v>
      </c>
      <c r="E33" s="471">
        <f t="shared" si="18"/>
        <v>1779.2334188163179</v>
      </c>
      <c r="F33" s="471">
        <f t="shared" ca="1" si="18"/>
        <v>10284.241648912122</v>
      </c>
      <c r="G33" s="471">
        <f t="shared" si="18"/>
        <v>10729.783862141148</v>
      </c>
      <c r="H33" s="471">
        <f t="shared" si="18"/>
        <v>1918.3047136102716</v>
      </c>
      <c r="I33" s="471">
        <f t="shared" si="18"/>
        <v>0</v>
      </c>
      <c r="J33" s="471">
        <f t="shared" si="18"/>
        <v>2138.6206504423249</v>
      </c>
      <c r="K33" s="471">
        <f t="shared" si="18"/>
        <v>0</v>
      </c>
      <c r="L33" s="471">
        <f t="shared" ca="1" si="18"/>
        <v>0</v>
      </c>
      <c r="M33" s="471">
        <f t="shared" si="18"/>
        <v>0</v>
      </c>
      <c r="N33" s="471">
        <f t="shared" ca="1" si="18"/>
        <v>0</v>
      </c>
      <c r="O33" s="471">
        <f t="shared" si="18"/>
        <v>0</v>
      </c>
      <c r="P33" s="471">
        <f t="shared" si="18"/>
        <v>0</v>
      </c>
      <c r="Q33" s="471">
        <f t="shared" ca="1" si="18"/>
        <v>96797.481016216814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3277.0269928888893</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6646.5</v>
      </c>
      <c r="D8" s="1037">
        <f>'SEAP template'!D76</f>
        <v>7819.411764705882</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1579.5211764705882</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3277.0269928888893</v>
      </c>
      <c r="C10" s="1041">
        <f>SUM(C4:C9)</f>
        <v>6646.5</v>
      </c>
      <c r="D10" s="1041">
        <f t="shared" ref="D10:H10" si="0">SUM(D8:D9)</f>
        <v>7819.411764705882</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1579.5211764705882</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0.23634131103433392</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9495</v>
      </c>
      <c r="D17" s="1038">
        <f>'SEAP template'!D87</f>
        <v>11170.588235294117</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2256.4588235294118</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9495</v>
      </c>
      <c r="D20" s="1041">
        <f t="shared" ref="D20:H20" si="2">SUM(D17:D19)</f>
        <v>11170.588235294117</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2256.4588235294118</v>
      </c>
    </row>
    <row r="22" spans="1:16">
      <c r="A22" s="474" t="s">
        <v>933</v>
      </c>
      <c r="B22" s="778" t="s">
        <v>927</v>
      </c>
      <c r="C22" s="778">
        <f ca="1">'EF ele_warmte'!B22</f>
        <v>0.23764705882352941</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0.23634131103433392</v>
      </c>
      <c r="C17" s="510">
        <f ca="1">'EF ele_warmte'!B22</f>
        <v>0.23764705882352941</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0.23634131103433392</v>
      </c>
      <c r="C17" s="510">
        <f ca="1">'EF ele_warmte'!B22</f>
        <v>0.23764705882352941</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0.23634131103433392</v>
      </c>
      <c r="C29" s="511">
        <f ca="1">'EF ele_warmte'!B22</f>
        <v>0.23764705882352941</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33040</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3138</v>
      </c>
      <c r="C9" s="338">
        <v>3227</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4232</v>
      </c>
    </row>
    <row r="15" spans="1:6">
      <c r="A15" s="1286" t="s">
        <v>184</v>
      </c>
      <c r="B15" s="335">
        <v>1054</v>
      </c>
    </row>
    <row r="16" spans="1:6">
      <c r="A16" s="1286" t="s">
        <v>6</v>
      </c>
      <c r="B16" s="335">
        <v>1269</v>
      </c>
    </row>
    <row r="17" spans="1:6">
      <c r="A17" s="1286" t="s">
        <v>7</v>
      </c>
      <c r="B17" s="335">
        <v>1226</v>
      </c>
    </row>
    <row r="18" spans="1:6">
      <c r="A18" s="1286" t="s">
        <v>8</v>
      </c>
      <c r="B18" s="335">
        <v>1919</v>
      </c>
    </row>
    <row r="19" spans="1:6">
      <c r="A19" s="1286" t="s">
        <v>9</v>
      </c>
      <c r="B19" s="335">
        <v>2493</v>
      </c>
    </row>
    <row r="20" spans="1:6">
      <c r="A20" s="1286" t="s">
        <v>10</v>
      </c>
      <c r="B20" s="335">
        <v>1122</v>
      </c>
    </row>
    <row r="21" spans="1:6">
      <c r="A21" s="1286" t="s">
        <v>11</v>
      </c>
      <c r="B21" s="335">
        <v>11866</v>
      </c>
    </row>
    <row r="22" spans="1:6">
      <c r="A22" s="1286" t="s">
        <v>12</v>
      </c>
      <c r="B22" s="335">
        <v>58786</v>
      </c>
    </row>
    <row r="23" spans="1:6">
      <c r="A23" s="1286" t="s">
        <v>13</v>
      </c>
      <c r="B23" s="335">
        <v>429</v>
      </c>
    </row>
    <row r="24" spans="1:6">
      <c r="A24" s="1286" t="s">
        <v>14</v>
      </c>
      <c r="B24" s="335">
        <v>30</v>
      </c>
    </row>
    <row r="25" spans="1:6">
      <c r="A25" s="1286" t="s">
        <v>15</v>
      </c>
      <c r="B25" s="335">
        <v>3293</v>
      </c>
    </row>
    <row r="26" spans="1:6">
      <c r="A26" s="1286" t="s">
        <v>16</v>
      </c>
      <c r="B26" s="335">
        <v>284</v>
      </c>
    </row>
    <row r="27" spans="1:6">
      <c r="A27" s="1286" t="s">
        <v>17</v>
      </c>
      <c r="B27" s="335">
        <v>26</v>
      </c>
    </row>
    <row r="28" spans="1:6" s="341" customFormat="1">
      <c r="A28" s="1287" t="s">
        <v>18</v>
      </c>
      <c r="B28" s="1287">
        <v>464020</v>
      </c>
    </row>
    <row r="29" spans="1:6">
      <c r="A29" s="1287" t="s">
        <v>942</v>
      </c>
      <c r="B29" s="1287">
        <v>145</v>
      </c>
      <c r="C29" s="341"/>
      <c r="D29" s="341"/>
      <c r="E29" s="341"/>
      <c r="F29" s="341"/>
    </row>
    <row r="30" spans="1:6">
      <c r="A30" s="1282" t="s">
        <v>943</v>
      </c>
      <c r="B30" s="1282">
        <v>13</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1</v>
      </c>
      <c r="D38" s="335">
        <v>21473.794082175798</v>
      </c>
      <c r="E38" s="335">
        <v>0</v>
      </c>
      <c r="F38" s="335">
        <v>0</v>
      </c>
    </row>
    <row r="39" spans="1:6">
      <c r="A39" s="1286" t="s">
        <v>30</v>
      </c>
      <c r="B39" s="1286" t="s">
        <v>31</v>
      </c>
      <c r="C39" s="335">
        <v>1256</v>
      </c>
      <c r="D39" s="335">
        <v>20569052.657497101</v>
      </c>
      <c r="E39" s="335">
        <v>2852</v>
      </c>
      <c r="F39" s="335">
        <v>12408874.377063399</v>
      </c>
    </row>
    <row r="40" spans="1:6">
      <c r="A40" s="1286" t="s">
        <v>30</v>
      </c>
      <c r="B40" s="1286" t="s">
        <v>29</v>
      </c>
      <c r="C40" s="335">
        <v>0</v>
      </c>
      <c r="D40" s="335">
        <v>0</v>
      </c>
      <c r="E40" s="335">
        <v>0</v>
      </c>
      <c r="F40" s="335">
        <v>0</v>
      </c>
    </row>
    <row r="41" spans="1:6">
      <c r="A41" s="1286" t="s">
        <v>32</v>
      </c>
      <c r="B41" s="1286" t="s">
        <v>33</v>
      </c>
      <c r="C41" s="335">
        <v>3</v>
      </c>
      <c r="D41" s="335">
        <v>53595.043412332001</v>
      </c>
      <c r="E41" s="335">
        <v>58</v>
      </c>
      <c r="F41" s="335">
        <v>538968.34203372197</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4</v>
      </c>
      <c r="F44" s="335">
        <v>40324.7515743166</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3</v>
      </c>
      <c r="F47" s="335">
        <v>17059.3421866223</v>
      </c>
    </row>
    <row r="48" spans="1:6">
      <c r="A48" s="1286" t="s">
        <v>32</v>
      </c>
      <c r="B48" s="1286" t="s">
        <v>29</v>
      </c>
      <c r="C48" s="335">
        <v>22</v>
      </c>
      <c r="D48" s="335">
        <v>269069292.85952401</v>
      </c>
      <c r="E48" s="335">
        <v>34</v>
      </c>
      <c r="F48" s="335">
        <v>20057072.134622101</v>
      </c>
    </row>
    <row r="49" spans="1:6">
      <c r="A49" s="1286" t="s">
        <v>32</v>
      </c>
      <c r="B49" s="1286" t="s">
        <v>40</v>
      </c>
      <c r="C49" s="335">
        <v>0</v>
      </c>
      <c r="D49" s="335">
        <v>0</v>
      </c>
      <c r="E49" s="335">
        <v>0</v>
      </c>
      <c r="F49" s="335">
        <v>0</v>
      </c>
    </row>
    <row r="50" spans="1:6">
      <c r="A50" s="1286" t="s">
        <v>32</v>
      </c>
      <c r="B50" s="1286" t="s">
        <v>41</v>
      </c>
      <c r="C50" s="335">
        <v>0</v>
      </c>
      <c r="D50" s="335">
        <v>0</v>
      </c>
      <c r="E50" s="335">
        <v>10</v>
      </c>
      <c r="F50" s="335">
        <v>6696202.7020054804</v>
      </c>
    </row>
    <row r="51" spans="1:6">
      <c r="A51" s="1286" t="s">
        <v>42</v>
      </c>
      <c r="B51" s="1286" t="s">
        <v>43</v>
      </c>
      <c r="C51" s="335">
        <v>14</v>
      </c>
      <c r="D51" s="335">
        <v>24138679.9376042</v>
      </c>
      <c r="E51" s="335">
        <v>205</v>
      </c>
      <c r="F51" s="335">
        <v>4795695.3262216598</v>
      </c>
    </row>
    <row r="52" spans="1:6">
      <c r="A52" s="1286" t="s">
        <v>42</v>
      </c>
      <c r="B52" s="1286" t="s">
        <v>29</v>
      </c>
      <c r="C52" s="335">
        <v>1</v>
      </c>
      <c r="D52" s="335">
        <v>25124.580571726001</v>
      </c>
      <c r="E52" s="335">
        <v>4</v>
      </c>
      <c r="F52" s="335">
        <v>31090.908033787498</v>
      </c>
    </row>
    <row r="53" spans="1:6">
      <c r="A53" s="1286" t="s">
        <v>44</v>
      </c>
      <c r="B53" s="1286" t="s">
        <v>45</v>
      </c>
      <c r="C53" s="335">
        <v>44</v>
      </c>
      <c r="D53" s="335">
        <v>779445.15900696896</v>
      </c>
      <c r="E53" s="335">
        <v>84</v>
      </c>
      <c r="F53" s="335">
        <v>1448911.9193754499</v>
      </c>
    </row>
    <row r="54" spans="1:6">
      <c r="A54" s="1286" t="s">
        <v>46</v>
      </c>
      <c r="B54" s="1286" t="s">
        <v>47</v>
      </c>
      <c r="C54" s="335">
        <v>0</v>
      </c>
      <c r="D54" s="335">
        <v>0</v>
      </c>
      <c r="E54" s="335">
        <v>1</v>
      </c>
      <c r="F54" s="335">
        <v>747701</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7</v>
      </c>
      <c r="D57" s="335">
        <v>122759.45383006999</v>
      </c>
      <c r="E57" s="335">
        <v>26</v>
      </c>
      <c r="F57" s="335">
        <v>239567.62256726</v>
      </c>
    </row>
    <row r="58" spans="1:6">
      <c r="A58" s="1286" t="s">
        <v>49</v>
      </c>
      <c r="B58" s="1286" t="s">
        <v>51</v>
      </c>
      <c r="C58" s="335">
        <v>0</v>
      </c>
      <c r="D58" s="335">
        <v>0</v>
      </c>
      <c r="E58" s="335">
        <v>4</v>
      </c>
      <c r="F58" s="335">
        <v>18998.4296163912</v>
      </c>
    </row>
    <row r="59" spans="1:6">
      <c r="A59" s="1286" t="s">
        <v>49</v>
      </c>
      <c r="B59" s="1286" t="s">
        <v>52</v>
      </c>
      <c r="C59" s="335">
        <v>4</v>
      </c>
      <c r="D59" s="335">
        <v>179199.08907420599</v>
      </c>
      <c r="E59" s="335">
        <v>73</v>
      </c>
      <c r="F59" s="335">
        <v>2906783.9163053199</v>
      </c>
    </row>
    <row r="60" spans="1:6">
      <c r="A60" s="1286" t="s">
        <v>49</v>
      </c>
      <c r="B60" s="1286" t="s">
        <v>53</v>
      </c>
      <c r="C60" s="335">
        <v>14</v>
      </c>
      <c r="D60" s="335">
        <v>427780.70399397</v>
      </c>
      <c r="E60" s="335">
        <v>28</v>
      </c>
      <c r="F60" s="335">
        <v>588190.55956409802</v>
      </c>
    </row>
    <row r="61" spans="1:6">
      <c r="A61" s="1286" t="s">
        <v>49</v>
      </c>
      <c r="B61" s="1286" t="s">
        <v>54</v>
      </c>
      <c r="C61" s="335">
        <v>44</v>
      </c>
      <c r="D61" s="335">
        <v>1870718.94181573</v>
      </c>
      <c r="E61" s="335">
        <v>103</v>
      </c>
      <c r="F61" s="335">
        <v>1661321.6404325699</v>
      </c>
    </row>
    <row r="62" spans="1:6">
      <c r="A62" s="1286" t="s">
        <v>49</v>
      </c>
      <c r="B62" s="1286" t="s">
        <v>55</v>
      </c>
      <c r="C62" s="335">
        <v>6</v>
      </c>
      <c r="D62" s="335">
        <v>448148.65670611802</v>
      </c>
      <c r="E62" s="335">
        <v>8</v>
      </c>
      <c r="F62" s="335">
        <v>70807.370082054404</v>
      </c>
    </row>
    <row r="63" spans="1:6">
      <c r="A63" s="1286" t="s">
        <v>49</v>
      </c>
      <c r="B63" s="1286" t="s">
        <v>29</v>
      </c>
      <c r="C63" s="335">
        <v>50</v>
      </c>
      <c r="D63" s="335">
        <v>2475703.8647716902</v>
      </c>
      <c r="E63" s="335">
        <v>71</v>
      </c>
      <c r="F63" s="335">
        <v>1358259.64391862</v>
      </c>
    </row>
    <row r="64" spans="1:6">
      <c r="A64" s="1286" t="s">
        <v>56</v>
      </c>
      <c r="B64" s="1286" t="s">
        <v>57</v>
      </c>
      <c r="C64" s="335">
        <v>0</v>
      </c>
      <c r="D64" s="335">
        <v>0</v>
      </c>
      <c r="E64" s="335">
        <v>0</v>
      </c>
      <c r="F64" s="335">
        <v>0</v>
      </c>
    </row>
    <row r="65" spans="1:6">
      <c r="A65" s="1286" t="s">
        <v>56</v>
      </c>
      <c r="B65" s="1286" t="s">
        <v>29</v>
      </c>
      <c r="C65" s="335">
        <v>1</v>
      </c>
      <c r="D65" s="335">
        <v>0</v>
      </c>
      <c r="E65" s="335">
        <v>1</v>
      </c>
      <c r="F65" s="335">
        <v>12829.9520597255</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10</v>
      </c>
      <c r="F68" s="335">
        <v>68585.781632821207</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29523120</v>
      </c>
      <c r="E73" s="335">
        <v>33590433.088115074</v>
      </c>
    </row>
    <row r="74" spans="1:6">
      <c r="A74" s="1286" t="s">
        <v>64</v>
      </c>
      <c r="B74" s="1286" t="s">
        <v>772</v>
      </c>
      <c r="C74" s="1297" t="s">
        <v>766</v>
      </c>
      <c r="D74" s="335">
        <v>2364040.0372268325</v>
      </c>
      <c r="E74" s="335">
        <v>3128574.9851236753</v>
      </c>
    </row>
    <row r="75" spans="1:6">
      <c r="A75" s="1286" t="s">
        <v>65</v>
      </c>
      <c r="B75" s="1286" t="s">
        <v>771</v>
      </c>
      <c r="C75" s="1297" t="s">
        <v>767</v>
      </c>
      <c r="D75" s="335">
        <v>20810798</v>
      </c>
      <c r="E75" s="335">
        <v>26968816.197705828</v>
      </c>
    </row>
    <row r="76" spans="1:6">
      <c r="A76" s="1286" t="s">
        <v>65</v>
      </c>
      <c r="B76" s="1286" t="s">
        <v>772</v>
      </c>
      <c r="C76" s="1297" t="s">
        <v>768</v>
      </c>
      <c r="D76" s="335">
        <v>1252256.0372268325</v>
      </c>
      <c r="E76" s="335">
        <v>1789808.313683005</v>
      </c>
    </row>
    <row r="77" spans="1:6">
      <c r="A77" s="1286" t="s">
        <v>66</v>
      </c>
      <c r="B77" s="1286" t="s">
        <v>771</v>
      </c>
      <c r="C77" s="1297" t="s">
        <v>769</v>
      </c>
      <c r="D77" s="335">
        <v>1330408</v>
      </c>
      <c r="E77" s="335">
        <v>1562076.4244319277</v>
      </c>
    </row>
    <row r="78" spans="1:6">
      <c r="A78" s="1282" t="s">
        <v>66</v>
      </c>
      <c r="B78" s="1282" t="s">
        <v>772</v>
      </c>
      <c r="C78" s="1282" t="s">
        <v>770</v>
      </c>
      <c r="D78" s="1282">
        <v>240103</v>
      </c>
      <c r="E78" s="1282">
        <v>272547.34152759443</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290995.92554633494</v>
      </c>
      <c r="C83" s="335">
        <v>274656.0201417486</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2124.3945442937102</v>
      </c>
    </row>
    <row r="92" spans="1:6">
      <c r="A92" s="1282" t="s">
        <v>69</v>
      </c>
      <c r="B92" s="338">
        <v>1152.6324485951793</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589</v>
      </c>
    </row>
    <row r="98" spans="1:6">
      <c r="A98" s="1286" t="s">
        <v>72</v>
      </c>
      <c r="B98" s="335">
        <v>0</v>
      </c>
    </row>
    <row r="99" spans="1:6">
      <c r="A99" s="1286" t="s">
        <v>73</v>
      </c>
      <c r="B99" s="335">
        <v>207</v>
      </c>
    </row>
    <row r="100" spans="1:6">
      <c r="A100" s="1286" t="s">
        <v>74</v>
      </c>
      <c r="B100" s="335">
        <v>248</v>
      </c>
    </row>
    <row r="101" spans="1:6">
      <c r="A101" s="1286" t="s">
        <v>75</v>
      </c>
      <c r="B101" s="335">
        <v>97</v>
      </c>
    </row>
    <row r="102" spans="1:6">
      <c r="A102" s="1286" t="s">
        <v>76</v>
      </c>
      <c r="B102" s="335">
        <v>44</v>
      </c>
    </row>
    <row r="103" spans="1:6">
      <c r="A103" s="1286" t="s">
        <v>77</v>
      </c>
      <c r="B103" s="335">
        <v>236</v>
      </c>
    </row>
    <row r="104" spans="1:6">
      <c r="A104" s="1286" t="s">
        <v>78</v>
      </c>
      <c r="B104" s="335">
        <v>1428</v>
      </c>
    </row>
    <row r="105" spans="1:6">
      <c r="A105" s="1282" t="s">
        <v>79</v>
      </c>
      <c r="B105" s="1282">
        <v>2</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2</v>
      </c>
      <c r="C123" s="335">
        <v>2</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42</v>
      </c>
    </row>
    <row r="130" spans="1:6">
      <c r="A130" s="1286" t="s">
        <v>295</v>
      </c>
      <c r="B130" s="335">
        <v>0</v>
      </c>
    </row>
    <row r="131" spans="1:6">
      <c r="A131" s="1286" t="s">
        <v>296</v>
      </c>
      <c r="B131" s="335">
        <v>0</v>
      </c>
    </row>
    <row r="132" spans="1:6">
      <c r="A132" s="1282" t="s">
        <v>297</v>
      </c>
      <c r="B132" s="338">
        <v>2</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55751.31154879673</v>
      </c>
      <c r="C3" s="44" t="s">
        <v>170</v>
      </c>
      <c r="D3" s="44"/>
      <c r="E3" s="157"/>
      <c r="F3" s="44"/>
      <c r="G3" s="44"/>
      <c r="H3" s="44"/>
      <c r="I3" s="44"/>
      <c r="J3" s="44"/>
      <c r="K3" s="97"/>
    </row>
    <row r="4" spans="1:11">
      <c r="A4" s="365" t="s">
        <v>171</v>
      </c>
      <c r="B4" s="50">
        <f>IF(ISERROR('SEAP template'!B78),0,'SEAP template'!B78)</f>
        <v>3277.0269928888893</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1579.5211764705882</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0.23634131103433392</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2256.4588235294118</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9495</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0.23764705882352941</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747.70100000000002</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747.70100000000002</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0.23634131103433392</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176.71263460168251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12408.874377063399</v>
      </c>
      <c r="C5" s="18">
        <f>IF(ISERROR('Eigen informatie GS &amp; warmtenet'!B57),0,'Eigen informatie GS &amp; warmtenet'!B57)</f>
        <v>0</v>
      </c>
      <c r="D5" s="31">
        <f>(SUM(HH_hh_gas_kWh,HH_rest_gas_kWh)/1000)*0.902</f>
        <v>18553.285497062385</v>
      </c>
      <c r="E5" s="18">
        <f>B46*B57</f>
        <v>7280.2855632514629</v>
      </c>
      <c r="F5" s="18">
        <f>B51*B62</f>
        <v>16338.702226532612</v>
      </c>
      <c r="G5" s="19"/>
      <c r="H5" s="18"/>
      <c r="I5" s="18"/>
      <c r="J5" s="18">
        <f>B50*B61+C50*C61</f>
        <v>5342.6032864816571</v>
      </c>
      <c r="K5" s="18"/>
      <c r="L5" s="18"/>
      <c r="M5" s="18"/>
      <c r="N5" s="18">
        <f>B48*B59+C48*C59</f>
        <v>11079.103966219001</v>
      </c>
      <c r="O5" s="18">
        <f>B69*B70*B71</f>
        <v>68.786666666666676</v>
      </c>
      <c r="P5" s="18">
        <f>B77*B78*B79/1000-B77*B78*B79/1000/B80</f>
        <v>76.266666666666666</v>
      </c>
    </row>
    <row r="6" spans="1:16">
      <c r="A6" s="17" t="s">
        <v>639</v>
      </c>
      <c r="B6" s="780">
        <f>kWh_PV_kleiner_dan_10kW</f>
        <v>2124.3945442937102</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14533.26892135711</v>
      </c>
      <c r="C8" s="22">
        <f>C5</f>
        <v>0</v>
      </c>
      <c r="D8" s="22">
        <f>D5</f>
        <v>18553.285497062385</v>
      </c>
      <c r="E8" s="22">
        <f>E5</f>
        <v>7280.2855632514629</v>
      </c>
      <c r="F8" s="22">
        <f>F5</f>
        <v>16338.702226532612</v>
      </c>
      <c r="G8" s="22"/>
      <c r="H8" s="22"/>
      <c r="I8" s="22"/>
      <c r="J8" s="22">
        <f>J5</f>
        <v>5342.6032864816571</v>
      </c>
      <c r="K8" s="22"/>
      <c r="L8" s="22">
        <f>L5</f>
        <v>0</v>
      </c>
      <c r="M8" s="22">
        <f>M5</f>
        <v>0</v>
      </c>
      <c r="N8" s="22">
        <f>N5</f>
        <v>11079.103966219001</v>
      </c>
      <c r="O8" s="22">
        <f>O5</f>
        <v>68.786666666666676</v>
      </c>
      <c r="P8" s="22">
        <f>P5</f>
        <v>76.266666666666666</v>
      </c>
    </row>
    <row r="9" spans="1:16">
      <c r="B9" s="20"/>
      <c r="C9" s="20"/>
      <c r="D9" s="262"/>
      <c r="E9" s="20"/>
      <c r="F9" s="20"/>
      <c r="G9" s="20"/>
      <c r="H9" s="20"/>
      <c r="I9" s="20"/>
      <c r="J9" s="20"/>
      <c r="K9" s="20"/>
      <c r="L9" s="20"/>
      <c r="M9" s="20"/>
      <c r="N9" s="20"/>
      <c r="O9" s="20"/>
      <c r="P9" s="20"/>
    </row>
    <row r="10" spans="1:16">
      <c r="A10" s="25" t="s">
        <v>214</v>
      </c>
      <c r="B10" s="26">
        <f ca="1">'EF ele_warmte'!B12</f>
        <v>0.23634131103433392</v>
      </c>
      <c r="C10" s="26">
        <f ca="1">'EF ele_warmte'!B22</f>
        <v>0.23764705882352941</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3434.8118304880795</v>
      </c>
      <c r="C12" s="24">
        <f ca="1">C10*C8</f>
        <v>0</v>
      </c>
      <c r="D12" s="24">
        <f>D8*D10</f>
        <v>3747.7636704066022</v>
      </c>
      <c r="E12" s="24">
        <f>E10*E8</f>
        <v>1652.6248228580821</v>
      </c>
      <c r="F12" s="24">
        <f>F10*F8</f>
        <v>4362.4334944842076</v>
      </c>
      <c r="G12" s="24"/>
      <c r="H12" s="24"/>
      <c r="I12" s="24"/>
      <c r="J12" s="24">
        <f>J10*J8</f>
        <v>1891.2815634145065</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589</v>
      </c>
      <c r="C18" s="169" t="s">
        <v>111</v>
      </c>
      <c r="D18" s="231"/>
      <c r="E18" s="16"/>
    </row>
    <row r="19" spans="1:7">
      <c r="A19" s="174" t="s">
        <v>72</v>
      </c>
      <c r="B19" s="38">
        <f>aantalw2001_ander</f>
        <v>0</v>
      </c>
      <c r="C19" s="169" t="s">
        <v>111</v>
      </c>
      <c r="D19" s="232"/>
      <c r="E19" s="16"/>
    </row>
    <row r="20" spans="1:7">
      <c r="A20" s="174" t="s">
        <v>73</v>
      </c>
      <c r="B20" s="38">
        <f>aantalw2001_propaan</f>
        <v>207</v>
      </c>
      <c r="C20" s="170">
        <f>IF(ISERROR(B20/SUM($B$20,$B$21,$B$22)*100),0,B20/SUM($B$20,$B$21,$B$22)*100)</f>
        <v>37.5</v>
      </c>
      <c r="D20" s="232"/>
      <c r="E20" s="16"/>
    </row>
    <row r="21" spans="1:7">
      <c r="A21" s="174" t="s">
        <v>74</v>
      </c>
      <c r="B21" s="38">
        <f>aantalw2001_elektriciteit</f>
        <v>248</v>
      </c>
      <c r="C21" s="170">
        <f>IF(ISERROR(B21/SUM($B$20,$B$21,$B$22)*100),0,B21/SUM($B$20,$B$21,$B$22)*100)</f>
        <v>44.927536231884055</v>
      </c>
      <c r="D21" s="232"/>
      <c r="E21" s="16"/>
    </row>
    <row r="22" spans="1:7">
      <c r="A22" s="174" t="s">
        <v>75</v>
      </c>
      <c r="B22" s="38">
        <f>aantalw2001_hout</f>
        <v>97</v>
      </c>
      <c r="C22" s="170">
        <f>IF(ISERROR(B22/SUM($B$20,$B$21,$B$22)*100),0,B22/SUM($B$20,$B$21,$B$22)*100)</f>
        <v>17.572463768115941</v>
      </c>
      <c r="D22" s="232"/>
      <c r="E22" s="16"/>
    </row>
    <row r="23" spans="1:7">
      <c r="A23" s="174" t="s">
        <v>76</v>
      </c>
      <c r="B23" s="38">
        <f>aantalw2001_niet_gespec</f>
        <v>44</v>
      </c>
      <c r="C23" s="169" t="s">
        <v>111</v>
      </c>
      <c r="D23" s="231"/>
      <c r="E23" s="16"/>
    </row>
    <row r="24" spans="1:7">
      <c r="A24" s="174" t="s">
        <v>77</v>
      </c>
      <c r="B24" s="38">
        <f>aantalw2001_steenkool</f>
        <v>236</v>
      </c>
      <c r="C24" s="169" t="s">
        <v>111</v>
      </c>
      <c r="D24" s="232"/>
      <c r="E24" s="16"/>
    </row>
    <row r="25" spans="1:7">
      <c r="A25" s="174" t="s">
        <v>78</v>
      </c>
      <c r="B25" s="38">
        <f>aantalw2001_stookolie</f>
        <v>1428</v>
      </c>
      <c r="C25" s="169" t="s">
        <v>111</v>
      </c>
      <c r="D25" s="231"/>
      <c r="E25" s="53"/>
    </row>
    <row r="26" spans="1:7">
      <c r="A26" s="174" t="s">
        <v>79</v>
      </c>
      <c r="B26" s="38">
        <f>aantalw2001_WP</f>
        <v>2</v>
      </c>
      <c r="C26" s="169" t="s">
        <v>111</v>
      </c>
      <c r="D26" s="231"/>
      <c r="E26" s="16"/>
    </row>
    <row r="27" spans="1:7" s="16" customFormat="1">
      <c r="A27" s="174"/>
      <c r="B27" s="30"/>
      <c r="C27" s="37"/>
      <c r="D27" s="231"/>
    </row>
    <row r="28" spans="1:7" s="16" customFormat="1">
      <c r="A28" s="233" t="s">
        <v>665</v>
      </c>
      <c r="B28" s="38">
        <f>aantalHuishoudens2011</f>
        <v>3138</v>
      </c>
      <c r="C28" s="37"/>
      <c r="D28" s="231"/>
    </row>
    <row r="29" spans="1:7" s="16" customFormat="1">
      <c r="A29" s="233" t="s">
        <v>666</v>
      </c>
      <c r="B29" s="38">
        <f>SUM(HH_hh_gas_aantal,HH_rest_gas_aantal)</f>
        <v>1256</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1256</v>
      </c>
      <c r="C32" s="170">
        <f>IF(ISERROR(B32/SUM($B$32,$B$34,$B$35,$B$36,$B$38,$B$39)*100),0,B32/SUM($B$32,$B$34,$B$35,$B$36,$B$38,$B$39)*100)</f>
        <v>40.076579451180599</v>
      </c>
      <c r="D32" s="236"/>
      <c r="G32" s="16"/>
    </row>
    <row r="33" spans="1:7">
      <c r="A33" s="174" t="s">
        <v>72</v>
      </c>
      <c r="B33" s="35" t="s">
        <v>111</v>
      </c>
      <c r="C33" s="170"/>
      <c r="D33" s="236"/>
      <c r="G33" s="16"/>
    </row>
    <row r="34" spans="1:7">
      <c r="A34" s="174" t="s">
        <v>73</v>
      </c>
      <c r="B34" s="34">
        <f>IF((($B$28-$B$32-$B$39-$B$77-$B$38)*C20/100)&lt;0,0,($B$28-$B$32-$B$39-$B$77-$B$38)*C20/100)</f>
        <v>330.37500000000006</v>
      </c>
      <c r="C34" s="170">
        <f>IF(ISERROR(B34/SUM($B$32,$B$34,$B$35,$B$36,$B$38,$B$39)*100),0,B34/SUM($B$32,$B$34,$B$35,$B$36,$B$38,$B$39)*100)</f>
        <v>10.541640076579453</v>
      </c>
      <c r="D34" s="236"/>
      <c r="G34" s="16"/>
    </row>
    <row r="35" spans="1:7">
      <c r="A35" s="174" t="s">
        <v>74</v>
      </c>
      <c r="B35" s="34">
        <f>IF((($B$28-$B$32-$B$39-$B$77-$B$38)*C21/100)&lt;0,0,($B$28-$B$32-$B$39-$B$77-$B$38)*C21/100)</f>
        <v>395.81159420289862</v>
      </c>
      <c r="C35" s="170">
        <f>IF(ISERROR(B35/SUM($B$32,$B$34,$B$35,$B$36,$B$38,$B$39)*100),0,B35/SUM($B$32,$B$34,$B$35,$B$36,$B$38,$B$39)*100)</f>
        <v>12.629597772906784</v>
      </c>
      <c r="D35" s="236"/>
      <c r="G35" s="16"/>
    </row>
    <row r="36" spans="1:7">
      <c r="A36" s="174" t="s">
        <v>75</v>
      </c>
      <c r="B36" s="34">
        <f>IF((($B$28-$B$32-$B$39-$B$77-$B$38)*C22/100)&lt;0,0,($B$28-$B$32-$B$39-$B$77-$B$38)*C22/100)</f>
        <v>154.81340579710147</v>
      </c>
      <c r="C36" s="170">
        <f>IF(ISERROR(B36/SUM($B$32,$B$34,$B$35,$B$36,$B$38,$B$39)*100),0,B36/SUM($B$32,$B$34,$B$35,$B$36,$B$38,$B$39)*100)</f>
        <v>4.9398023547256376</v>
      </c>
      <c r="D36" s="236"/>
      <c r="G36" s="16"/>
    </row>
    <row r="37" spans="1:7">
      <c r="A37" s="174" t="s">
        <v>76</v>
      </c>
      <c r="B37" s="35" t="s">
        <v>111</v>
      </c>
      <c r="C37" s="170"/>
      <c r="D37" s="176"/>
      <c r="G37" s="16"/>
    </row>
    <row r="38" spans="1:7">
      <c r="A38" s="174" t="s">
        <v>77</v>
      </c>
      <c r="B38" s="34">
        <f>IF((B24-(B29-B18)*0.1)&lt;0,0,B24-(B29-B18)*0.1)</f>
        <v>169.3</v>
      </c>
      <c r="C38" s="170">
        <f>IF(ISERROR(B38/SUM($B$32,$B$34,$B$35,$B$36,$B$38,$B$39)*100),0,B38/SUM($B$32,$B$34,$B$35,$B$36,$B$38,$B$39)*100)</f>
        <v>5.4020421186981498</v>
      </c>
      <c r="D38" s="237"/>
      <c r="G38" s="16"/>
    </row>
    <row r="39" spans="1:7">
      <c r="A39" s="174" t="s">
        <v>78</v>
      </c>
      <c r="B39" s="34">
        <f>IF((B25-(B29-B18))&lt;0,0,B25-(B29-B18)*0.9)</f>
        <v>827.69999999999993</v>
      </c>
      <c r="C39" s="170">
        <f>IF(ISERROR(B39/SUM($B$32,$B$34,$B$35,$B$36,$B$38,$B$39)*100),0,B39/SUM($B$32,$B$34,$B$35,$B$36,$B$38,$B$39)*100)</f>
        <v>26.410338225909381</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1256</v>
      </c>
      <c r="C44" s="35" t="s">
        <v>111</v>
      </c>
      <c r="D44" s="177"/>
    </row>
    <row r="45" spans="1:7">
      <c r="A45" s="174" t="s">
        <v>72</v>
      </c>
      <c r="B45" s="34" t="str">
        <f t="shared" si="0"/>
        <v>-</v>
      </c>
      <c r="C45" s="35" t="s">
        <v>111</v>
      </c>
      <c r="D45" s="177"/>
    </row>
    <row r="46" spans="1:7">
      <c r="A46" s="174" t="s">
        <v>73</v>
      </c>
      <c r="B46" s="34">
        <f t="shared" si="0"/>
        <v>330.37500000000006</v>
      </c>
      <c r="C46" s="35" t="s">
        <v>111</v>
      </c>
      <c r="D46" s="177"/>
    </row>
    <row r="47" spans="1:7">
      <c r="A47" s="174" t="s">
        <v>74</v>
      </c>
      <c r="B47" s="34">
        <f t="shared" si="0"/>
        <v>395.81159420289862</v>
      </c>
      <c r="C47" s="35" t="s">
        <v>111</v>
      </c>
      <c r="D47" s="177"/>
    </row>
    <row r="48" spans="1:7">
      <c r="A48" s="174" t="s">
        <v>75</v>
      </c>
      <c r="B48" s="34">
        <f t="shared" si="0"/>
        <v>154.81340579710147</v>
      </c>
      <c r="C48" s="34">
        <f>B48*10</f>
        <v>1548.1340579710147</v>
      </c>
      <c r="D48" s="237"/>
    </row>
    <row r="49" spans="1:6">
      <c r="A49" s="174" t="s">
        <v>76</v>
      </c>
      <c r="B49" s="34" t="str">
        <f t="shared" si="0"/>
        <v>-</v>
      </c>
      <c r="C49" s="35" t="s">
        <v>111</v>
      </c>
      <c r="D49" s="237"/>
    </row>
    <row r="50" spans="1:6">
      <c r="A50" s="174" t="s">
        <v>77</v>
      </c>
      <c r="B50" s="34">
        <f t="shared" si="0"/>
        <v>169.3</v>
      </c>
      <c r="C50" s="34">
        <f>B50*2</f>
        <v>338.6</v>
      </c>
      <c r="D50" s="237"/>
    </row>
    <row r="51" spans="1:6">
      <c r="A51" s="174" t="s">
        <v>78</v>
      </c>
      <c r="B51" s="34">
        <f t="shared" si="0"/>
        <v>827.69999999999993</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44</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4</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6843.929182486313</v>
      </c>
      <c r="C5" s="18">
        <f>IF(ISERROR('Eigen informatie GS &amp; warmtenet'!B58),0,'Eigen informatie GS &amp; warmtenet'!B58)</f>
        <v>0</v>
      </c>
      <c r="D5" s="31">
        <f>SUM(D6:D12)</f>
        <v>4982.9282605929893</v>
      </c>
      <c r="E5" s="18">
        <f>SUM(E6:E12)</f>
        <v>62.660986900366879</v>
      </c>
      <c r="F5" s="18">
        <f>SUM(F6:F12)</f>
        <v>1297.3910308172617</v>
      </c>
      <c r="G5" s="19"/>
      <c r="H5" s="18"/>
      <c r="I5" s="18"/>
      <c r="J5" s="18">
        <f>SUM(J6:J12)</f>
        <v>0</v>
      </c>
      <c r="K5" s="18"/>
      <c r="L5" s="18"/>
      <c r="M5" s="18"/>
      <c r="N5" s="18">
        <f>SUM(N6:N12)</f>
        <v>242.78145965180332</v>
      </c>
      <c r="O5" s="18">
        <f>B38*B39*B40</f>
        <v>0</v>
      </c>
      <c r="P5" s="18">
        <f>B46*B47*B48/1000-B46*B47*B48/1000/B49</f>
        <v>0</v>
      </c>
      <c r="R5" s="33"/>
    </row>
    <row r="6" spans="1:18">
      <c r="A6" s="33" t="s">
        <v>54</v>
      </c>
      <c r="B6" s="38">
        <f>B26</f>
        <v>1661.3216404325699</v>
      </c>
      <c r="C6" s="34"/>
      <c r="D6" s="38">
        <f>IF(ISERROR(TER_kantoor_gas_kWh/1000),0,TER_kantoor_gas_kWh/1000)*0.902</f>
        <v>1687.3884855177885</v>
      </c>
      <c r="E6" s="34">
        <f>$C$26*'E Balans VL '!I12/100/3.6*1000000</f>
        <v>2.7265655217237494</v>
      </c>
      <c r="F6" s="34">
        <f>$C$26*('E Balans VL '!L12+'E Balans VL '!N12)/100/3.6*1000000</f>
        <v>195.83073263149873</v>
      </c>
      <c r="G6" s="35"/>
      <c r="H6" s="34"/>
      <c r="I6" s="34"/>
      <c r="J6" s="34">
        <f>$C$26*('E Balans VL '!D12+'E Balans VL '!E12)/100/3.6*1000000</f>
        <v>0</v>
      </c>
      <c r="K6" s="34"/>
      <c r="L6" s="34"/>
      <c r="M6" s="34"/>
      <c r="N6" s="34">
        <f>$C$26*'E Balans VL '!Y12/100/3.6*1000000</f>
        <v>0.33566217044738228</v>
      </c>
      <c r="O6" s="34"/>
      <c r="P6" s="34"/>
      <c r="R6" s="33"/>
    </row>
    <row r="7" spans="1:18">
      <c r="A7" s="33" t="s">
        <v>53</v>
      </c>
      <c r="B7" s="38">
        <f t="shared" ref="B7:B12" si="0">B27</f>
        <v>588.19055956409807</v>
      </c>
      <c r="C7" s="34"/>
      <c r="D7" s="38">
        <f>IF(ISERROR(TER_horeca_gas_kWh/1000),0,TER_horeca_gas_kWh/1000)*0.902</f>
        <v>385.85819500256093</v>
      </c>
      <c r="E7" s="34">
        <f>$C$27*'E Balans VL '!I9/100/3.6*1000000</f>
        <v>30.522833803407583</v>
      </c>
      <c r="F7" s="34">
        <f>$C$27*('E Balans VL '!L9+'E Balans VL '!N9)/100/3.6*1000000</f>
        <v>134.22551248571247</v>
      </c>
      <c r="G7" s="35"/>
      <c r="H7" s="34"/>
      <c r="I7" s="34"/>
      <c r="J7" s="34">
        <f>$C$27*('E Balans VL '!D9+'E Balans VL '!E9)/100/3.6*1000000</f>
        <v>0</v>
      </c>
      <c r="K7" s="34"/>
      <c r="L7" s="34"/>
      <c r="M7" s="34"/>
      <c r="N7" s="34">
        <f>$C$27*'E Balans VL '!Y9/100/3.6*1000000</f>
        <v>6.2112653539885071E-2</v>
      </c>
      <c r="O7" s="34"/>
      <c r="P7" s="34"/>
      <c r="R7" s="33"/>
    </row>
    <row r="8" spans="1:18">
      <c r="A8" s="6" t="s">
        <v>52</v>
      </c>
      <c r="B8" s="38">
        <f t="shared" si="0"/>
        <v>2906.78391630532</v>
      </c>
      <c r="C8" s="34"/>
      <c r="D8" s="38">
        <f>IF(ISERROR(TER_handel_gas_kWh/1000),0,TER_handel_gas_kWh/1000)*0.902</f>
        <v>161.63757834493379</v>
      </c>
      <c r="E8" s="34">
        <f>$C$28*'E Balans VL '!I13/100/3.6*1000000</f>
        <v>15.653388585572239</v>
      </c>
      <c r="F8" s="34">
        <f>$C$28*('E Balans VL '!L13+'E Balans VL '!N13)/100/3.6*1000000</f>
        <v>592.77962237251484</v>
      </c>
      <c r="G8" s="35"/>
      <c r="H8" s="34"/>
      <c r="I8" s="34"/>
      <c r="J8" s="34">
        <f>$C$28*('E Balans VL '!D13+'E Balans VL '!E13)/100/3.6*1000000</f>
        <v>0</v>
      </c>
      <c r="K8" s="34"/>
      <c r="L8" s="34"/>
      <c r="M8" s="34"/>
      <c r="N8" s="34">
        <f>$C$28*'E Balans VL '!Y13/100/3.6*1000000</f>
        <v>14.453901387179618</v>
      </c>
      <c r="O8" s="34"/>
      <c r="P8" s="34"/>
      <c r="R8" s="33"/>
    </row>
    <row r="9" spans="1:18">
      <c r="A9" s="33" t="s">
        <v>51</v>
      </c>
      <c r="B9" s="38">
        <f t="shared" si="0"/>
        <v>18.998429616391199</v>
      </c>
      <c r="C9" s="34"/>
      <c r="D9" s="38">
        <f>IF(ISERROR(TER_gezond_gas_kWh/1000),0,TER_gezond_gas_kWh/1000)*0.902</f>
        <v>0</v>
      </c>
      <c r="E9" s="34">
        <f>$C$29*'E Balans VL '!I10/100/3.6*1000000</f>
        <v>1.882765979909113E-2</v>
      </c>
      <c r="F9" s="34">
        <f>$C$29*('E Balans VL '!L10+'E Balans VL '!N10)/100/3.6*1000000</f>
        <v>6.5919074681627094</v>
      </c>
      <c r="G9" s="35"/>
      <c r="H9" s="34"/>
      <c r="I9" s="34"/>
      <c r="J9" s="34">
        <f>$C$29*('E Balans VL '!D10+'E Balans VL '!E10)/100/3.6*1000000</f>
        <v>0</v>
      </c>
      <c r="K9" s="34"/>
      <c r="L9" s="34"/>
      <c r="M9" s="34"/>
      <c r="N9" s="34">
        <f>$C$29*'E Balans VL '!Y10/100/3.6*1000000</f>
        <v>0.16370782217837587</v>
      </c>
      <c r="O9" s="34"/>
      <c r="P9" s="34"/>
      <c r="R9" s="33"/>
    </row>
    <row r="10" spans="1:18">
      <c r="A10" s="33" t="s">
        <v>50</v>
      </c>
      <c r="B10" s="38">
        <f t="shared" si="0"/>
        <v>239.56762256726</v>
      </c>
      <c r="C10" s="34"/>
      <c r="D10" s="38">
        <f>IF(ISERROR(TER_ander_gas_kWh/1000),0,TER_ander_gas_kWh/1000)*0.902</f>
        <v>110.72902735472313</v>
      </c>
      <c r="E10" s="34">
        <f>$C$30*'E Balans VL '!I14/100/3.6*1000000</f>
        <v>1.9599025833871997</v>
      </c>
      <c r="F10" s="34">
        <f>$C$30*('E Balans VL '!L14+'E Balans VL '!N14)/100/3.6*1000000</f>
        <v>70.03981963680863</v>
      </c>
      <c r="G10" s="35"/>
      <c r="H10" s="34"/>
      <c r="I10" s="34"/>
      <c r="J10" s="34">
        <f>$C$30*('E Balans VL '!D14+'E Balans VL '!E14)/100/3.6*1000000</f>
        <v>0</v>
      </c>
      <c r="K10" s="34"/>
      <c r="L10" s="34"/>
      <c r="M10" s="34"/>
      <c r="N10" s="34">
        <f>$C$30*'E Balans VL '!Y14/100/3.6*1000000</f>
        <v>138.19908429323638</v>
      </c>
      <c r="O10" s="34"/>
      <c r="P10" s="34"/>
      <c r="R10" s="33"/>
    </row>
    <row r="11" spans="1:18">
      <c r="A11" s="33" t="s">
        <v>55</v>
      </c>
      <c r="B11" s="38">
        <f t="shared" si="0"/>
        <v>70.807370082054405</v>
      </c>
      <c r="C11" s="34"/>
      <c r="D11" s="38">
        <f>IF(ISERROR(TER_onderwijs_gas_kWh/1000),0,TER_onderwijs_gas_kWh/1000)*0.902</f>
        <v>404.23008834891846</v>
      </c>
      <c r="E11" s="34">
        <f>$C$31*'E Balans VL '!I11/100/3.6*1000000</f>
        <v>4.3642675259014302E-2</v>
      </c>
      <c r="F11" s="34">
        <f>$C$31*('E Balans VL '!L11+'E Balans VL '!N11)/100/3.6*1000000</f>
        <v>27.375275975665758</v>
      </c>
      <c r="G11" s="35"/>
      <c r="H11" s="34"/>
      <c r="I11" s="34"/>
      <c r="J11" s="34">
        <f>$C$31*('E Balans VL '!D11+'E Balans VL '!E11)/100/3.6*1000000</f>
        <v>0</v>
      </c>
      <c r="K11" s="34"/>
      <c r="L11" s="34"/>
      <c r="M11" s="34"/>
      <c r="N11" s="34">
        <f>$C$31*'E Balans VL '!Y11/100/3.6*1000000</f>
        <v>0.23032120118149466</v>
      </c>
      <c r="O11" s="34"/>
      <c r="P11" s="34"/>
      <c r="R11" s="33"/>
    </row>
    <row r="12" spans="1:18">
      <c r="A12" s="33" t="s">
        <v>260</v>
      </c>
      <c r="B12" s="38">
        <f t="shared" si="0"/>
        <v>1358.25964391862</v>
      </c>
      <c r="C12" s="34"/>
      <c r="D12" s="38">
        <f>IF(ISERROR(TER_rest_gas_kWh/1000),0,TER_rest_gas_kWh/1000)*0.902</f>
        <v>2233.0848860240649</v>
      </c>
      <c r="E12" s="34">
        <f>$C$32*'E Balans VL '!I8/100/3.6*1000000</f>
        <v>11.735826071218</v>
      </c>
      <c r="F12" s="34">
        <f>$C$32*('E Balans VL '!L8+'E Balans VL '!N8)/100/3.6*1000000</f>
        <v>270.54816024689865</v>
      </c>
      <c r="G12" s="35"/>
      <c r="H12" s="34"/>
      <c r="I12" s="34"/>
      <c r="J12" s="34">
        <f>$C$32*('E Balans VL '!D8+'E Balans VL '!E8)/100/3.6*1000000</f>
        <v>0</v>
      </c>
      <c r="K12" s="34"/>
      <c r="L12" s="34"/>
      <c r="M12" s="34"/>
      <c r="N12" s="34">
        <f>$C$32*'E Balans VL '!Y8/100/3.6*1000000</f>
        <v>89.336670124040182</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6843.929182486313</v>
      </c>
      <c r="C16" s="22">
        <f t="shared" ca="1" si="1"/>
        <v>0</v>
      </c>
      <c r="D16" s="22">
        <f t="shared" ca="1" si="1"/>
        <v>4982.9282605929893</v>
      </c>
      <c r="E16" s="22">
        <f t="shared" si="1"/>
        <v>62.660986900366879</v>
      </c>
      <c r="F16" s="22">
        <f t="shared" ca="1" si="1"/>
        <v>1297.3910308172617</v>
      </c>
      <c r="G16" s="22">
        <f t="shared" si="1"/>
        <v>0</v>
      </c>
      <c r="H16" s="22">
        <f t="shared" si="1"/>
        <v>0</v>
      </c>
      <c r="I16" s="22">
        <f t="shared" si="1"/>
        <v>0</v>
      </c>
      <c r="J16" s="22">
        <f t="shared" si="1"/>
        <v>0</v>
      </c>
      <c r="K16" s="22">
        <f t="shared" si="1"/>
        <v>0</v>
      </c>
      <c r="L16" s="22">
        <f t="shared" ca="1" si="1"/>
        <v>0</v>
      </c>
      <c r="M16" s="22">
        <f t="shared" si="1"/>
        <v>0</v>
      </c>
      <c r="N16" s="22">
        <f t="shared" ca="1" si="1"/>
        <v>242.78145965180332</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0.23634131103433392</v>
      </c>
      <c r="C18" s="26">
        <f ca="1">'EF ele_warmte'!B22</f>
        <v>0.23764705882352941</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1617.5031956149523</v>
      </c>
      <c r="C20" s="24">
        <f t="shared" ref="C20:P20" ca="1" si="2">C16*C18</f>
        <v>0</v>
      </c>
      <c r="D20" s="24">
        <f t="shared" ca="1" si="2"/>
        <v>1006.5515086397839</v>
      </c>
      <c r="E20" s="24">
        <f t="shared" si="2"/>
        <v>14.224044026383282</v>
      </c>
      <c r="F20" s="24">
        <f t="shared" ca="1" si="2"/>
        <v>346.4034052282089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1661.3216404325699</v>
      </c>
      <c r="C26" s="40">
        <f>IF(ISERROR(B26*3.6/1000000/'E Balans VL '!Z12*100),0,B26*3.6/1000000/'E Balans VL '!Z12*100)</f>
        <v>3.530189347387018E-2</v>
      </c>
      <c r="D26" s="240" t="s">
        <v>707</v>
      </c>
      <c r="F26" s="6"/>
    </row>
    <row r="27" spans="1:18">
      <c r="A27" s="234" t="s">
        <v>53</v>
      </c>
      <c r="B27" s="34">
        <f>IF(ISERROR(TER_horeca_ele_kWh/1000),0,TER_horeca_ele_kWh/1000)</f>
        <v>588.19055956409807</v>
      </c>
      <c r="C27" s="40">
        <f>IF(ISERROR(B27*3.6/1000000/'E Balans VL '!Z9*100),0,B27*3.6/1000000/'E Balans VL '!Z9*100)</f>
        <v>4.6295145495566514E-2</v>
      </c>
      <c r="D27" s="240" t="s">
        <v>707</v>
      </c>
      <c r="F27" s="6"/>
    </row>
    <row r="28" spans="1:18">
      <c r="A28" s="174" t="s">
        <v>52</v>
      </c>
      <c r="B28" s="34">
        <f>IF(ISERROR(TER_handel_ele_kWh/1000),0,TER_handel_ele_kWh/1000)</f>
        <v>2906.78391630532</v>
      </c>
      <c r="C28" s="40">
        <f>IF(ISERROR(B28*3.6/1000000/'E Balans VL '!Z13*100),0,B28*3.6/1000000/'E Balans VL '!Z13*100)</f>
        <v>8.1420573145047428E-2</v>
      </c>
      <c r="D28" s="240" t="s">
        <v>707</v>
      </c>
      <c r="F28" s="6"/>
    </row>
    <row r="29" spans="1:18">
      <c r="A29" s="234" t="s">
        <v>51</v>
      </c>
      <c r="B29" s="34">
        <f>IF(ISERROR(TER_gezond_ele_kWh/1000),0,TER_gezond_ele_kWh/1000)</f>
        <v>18.998429616391199</v>
      </c>
      <c r="C29" s="40">
        <f>IF(ISERROR(B29*3.6/1000000/'E Balans VL '!Z10*100),0,B29*3.6/1000000/'E Balans VL '!Z10*100)</f>
        <v>2.4304736373108237E-3</v>
      </c>
      <c r="D29" s="240" t="s">
        <v>707</v>
      </c>
      <c r="F29" s="6"/>
    </row>
    <row r="30" spans="1:18">
      <c r="A30" s="234" t="s">
        <v>50</v>
      </c>
      <c r="B30" s="34">
        <f>IF(ISERROR(TER_ander_ele_kWh/1000),0,TER_ander_ele_kWh/1000)</f>
        <v>239.56762256726</v>
      </c>
      <c r="C30" s="40">
        <f>IF(ISERROR(B30*3.6/1000000/'E Balans VL '!Z14*100),0,B30*3.6/1000000/'E Balans VL '!Z14*100)</f>
        <v>1.7917639535980013E-2</v>
      </c>
      <c r="D30" s="240" t="s">
        <v>707</v>
      </c>
      <c r="F30" s="6"/>
    </row>
    <row r="31" spans="1:18">
      <c r="A31" s="234" t="s">
        <v>55</v>
      </c>
      <c r="B31" s="34">
        <f>IF(ISERROR(TER_onderwijs_ele_kWh/1000),0,TER_onderwijs_ele_kWh/1000)</f>
        <v>70.807370082054405</v>
      </c>
      <c r="C31" s="40">
        <f>IF(ISERROR(B31*3.6/1000000/'E Balans VL '!Z11*100),0,B31*3.6/1000000/'E Balans VL '!Z11*100)</f>
        <v>1.4951067911813999E-2</v>
      </c>
      <c r="D31" s="240" t="s">
        <v>707</v>
      </c>
    </row>
    <row r="32" spans="1:18">
      <c r="A32" s="234" t="s">
        <v>260</v>
      </c>
      <c r="B32" s="34">
        <f>IF(ISERROR(TER_rest_ele_kWh/1000),0,TER_rest_ele_kWh/1000)</f>
        <v>1358.25964391862</v>
      </c>
      <c r="C32" s="40">
        <f>IF(ISERROR(B32*3.6/1000000/'E Balans VL '!Z8*100),0,B32*3.6/1000000/'E Balans VL '!Z8*100)</f>
        <v>1.1189250673829861E-2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27349.62727242224</v>
      </c>
      <c r="C5" s="18">
        <f>IF(ISERROR('Eigen informatie GS &amp; warmtenet'!B59),0,'Eigen informatie GS &amp; warmtenet'!B59)</f>
        <v>0</v>
      </c>
      <c r="D5" s="31">
        <f>SUM(D6:D15)</f>
        <v>242748.8448884486</v>
      </c>
      <c r="E5" s="18">
        <f>SUM(E6:E15)</f>
        <v>250.13145605277001</v>
      </c>
      <c r="F5" s="18">
        <f>SUM(F6:F15)</f>
        <v>5130.2603752944706</v>
      </c>
      <c r="G5" s="19"/>
      <c r="H5" s="18"/>
      <c r="I5" s="18"/>
      <c r="J5" s="18">
        <f>SUM(J6:J15)</f>
        <v>101.60105129315689</v>
      </c>
      <c r="K5" s="18"/>
      <c r="L5" s="18"/>
      <c r="M5" s="18"/>
      <c r="N5" s="18">
        <f>SUM(N6:N15)</f>
        <v>762.10525469455888</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40.324751574316601</v>
      </c>
      <c r="C8" s="34"/>
      <c r="D8" s="38">
        <f>IF( ISERROR(IND_metaal_Gas_kWH/1000),0,IND_metaal_Gas_kWH/1000)*0.902</f>
        <v>0</v>
      </c>
      <c r="E8" s="34">
        <f>C30*'E Balans VL '!I18/100/3.6*1000000</f>
        <v>0.36723024556887807</v>
      </c>
      <c r="F8" s="34">
        <f>C30*'E Balans VL '!L18/100/3.6*1000000+C30*'E Balans VL '!N18/100/3.6*1000000</f>
        <v>5.3185285012292134</v>
      </c>
      <c r="G8" s="35"/>
      <c r="H8" s="34"/>
      <c r="I8" s="34"/>
      <c r="J8" s="41">
        <f>C30*'E Balans VL '!D18/100/3.6*1000000+C30*'E Balans VL '!E18/100/3.6*1000000</f>
        <v>0.66126737638780819</v>
      </c>
      <c r="K8" s="34"/>
      <c r="L8" s="34"/>
      <c r="M8" s="34"/>
      <c r="N8" s="34">
        <f>C30*'E Balans VL '!Y18/100/3.6*1000000</f>
        <v>0.13858015219445496</v>
      </c>
      <c r="O8" s="34"/>
      <c r="P8" s="34"/>
      <c r="R8" s="33"/>
    </row>
    <row r="9" spans="1:18">
      <c r="A9" s="6" t="s">
        <v>33</v>
      </c>
      <c r="B9" s="38">
        <f t="shared" si="0"/>
        <v>538.96834203372202</v>
      </c>
      <c r="C9" s="34"/>
      <c r="D9" s="38">
        <f>IF( ISERROR(IND_andere_gas_kWh/1000),0,IND_andere_gas_kWh/1000)*0.902</f>
        <v>48.342729157923472</v>
      </c>
      <c r="E9" s="34">
        <f>C31*'E Balans VL '!I19/100/3.6*1000000</f>
        <v>3.1153175591117486</v>
      </c>
      <c r="F9" s="34">
        <f>C31*'E Balans VL '!L19/100/3.6*1000000+C31*'E Balans VL '!N19/100/3.6*1000000</f>
        <v>428.77525021819321</v>
      </c>
      <c r="G9" s="35"/>
      <c r="H9" s="34"/>
      <c r="I9" s="34"/>
      <c r="J9" s="41">
        <f>C31*'E Balans VL '!D19/100/3.6*1000000+C31*'E Balans VL '!E19/100/3.6*1000000</f>
        <v>5.0980418465612617E-2</v>
      </c>
      <c r="K9" s="34"/>
      <c r="L9" s="34"/>
      <c r="M9" s="34"/>
      <c r="N9" s="34">
        <f>C31*'E Balans VL '!Y19/100/3.6*1000000</f>
        <v>40.835008282572723</v>
      </c>
      <c r="O9" s="34"/>
      <c r="P9" s="34"/>
      <c r="R9" s="33"/>
    </row>
    <row r="10" spans="1:18">
      <c r="A10" s="6" t="s">
        <v>41</v>
      </c>
      <c r="B10" s="38">
        <f t="shared" si="0"/>
        <v>6696.2027020054802</v>
      </c>
      <c r="C10" s="34"/>
      <c r="D10" s="38">
        <f>IF( ISERROR(IND_voed_gas_kWh/1000),0,IND_voed_gas_kWh/1000)*0.902</f>
        <v>0</v>
      </c>
      <c r="E10" s="34">
        <f>C32*'E Balans VL '!I20/100/3.6*1000000</f>
        <v>65.841190840216285</v>
      </c>
      <c r="F10" s="34">
        <f>C32*'E Balans VL '!L20/100/3.6*1000000+C32*'E Balans VL '!N20/100/3.6*1000000</f>
        <v>743.70071321035175</v>
      </c>
      <c r="G10" s="35"/>
      <c r="H10" s="34"/>
      <c r="I10" s="34"/>
      <c r="J10" s="41">
        <f>C32*'E Balans VL '!D20/100/3.6*1000000+C32*'E Balans VL '!E20/100/3.6*1000000</f>
        <v>2.6392774741712938E-2</v>
      </c>
      <c r="K10" s="34"/>
      <c r="L10" s="34"/>
      <c r="M10" s="34"/>
      <c r="N10" s="34">
        <f>C32*'E Balans VL '!Y20/100/3.6*1000000</f>
        <v>99.155010887655337</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17.059342186622299</v>
      </c>
      <c r="C13" s="34"/>
      <c r="D13" s="38">
        <f>IF( ISERROR(IND_papier_gas_kWh/1000),0,IND_papier_gas_kWh/1000)*0.902</f>
        <v>0</v>
      </c>
      <c r="E13" s="34">
        <f>C35*'E Balans VL '!I23/100/3.6*1000000</f>
        <v>0.58106592932338219</v>
      </c>
      <c r="F13" s="34">
        <f>C35*'E Balans VL '!L23/100/3.6*1000000+C35*'E Balans VL '!N23/100/3.6*1000000</f>
        <v>2.8178029550871648</v>
      </c>
      <c r="G13" s="35"/>
      <c r="H13" s="34"/>
      <c r="I13" s="34"/>
      <c r="J13" s="41">
        <f>C35*'E Balans VL '!D23/100/3.6*1000000+C35*'E Balans VL '!E23/100/3.6*1000000</f>
        <v>0</v>
      </c>
      <c r="K13" s="34"/>
      <c r="L13" s="34"/>
      <c r="M13" s="34"/>
      <c r="N13" s="34">
        <f>C35*'E Balans VL '!Y23/100/3.6*1000000</f>
        <v>6.2773804285846833</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20057.0721346221</v>
      </c>
      <c r="C15" s="34"/>
      <c r="D15" s="38">
        <f>IF( ISERROR(IND_rest_gas_kWh/1000),0,IND_rest_gas_kWh/1000)*0.902</f>
        <v>242700.50215929069</v>
      </c>
      <c r="E15" s="34">
        <f>C37*'E Balans VL '!I15/100/3.6*1000000</f>
        <v>180.22665147854971</v>
      </c>
      <c r="F15" s="34">
        <f>C37*'E Balans VL '!L15/100/3.6*1000000+C37*'E Balans VL '!N15/100/3.6*1000000</f>
        <v>3949.6480804096086</v>
      </c>
      <c r="G15" s="35"/>
      <c r="H15" s="34"/>
      <c r="I15" s="34"/>
      <c r="J15" s="41">
        <f>C37*'E Balans VL '!D15/100/3.6*1000000+C37*'E Balans VL '!E15/100/3.6*1000000</f>
        <v>100.86241072356175</v>
      </c>
      <c r="K15" s="34"/>
      <c r="L15" s="34"/>
      <c r="M15" s="34"/>
      <c r="N15" s="34">
        <f>C37*'E Balans VL '!Y15/100/3.6*1000000</f>
        <v>615.6992749435517</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27349.62727242224</v>
      </c>
      <c r="C18" s="22">
        <f>C5+C16</f>
        <v>0</v>
      </c>
      <c r="D18" s="22">
        <f>MAX((D5+D16),0)</f>
        <v>242748.8448884486</v>
      </c>
      <c r="E18" s="22">
        <f>MAX((E5+E16),0)</f>
        <v>250.13145605277001</v>
      </c>
      <c r="F18" s="22">
        <f>MAX((F5+F16),0)</f>
        <v>5130.2603752944706</v>
      </c>
      <c r="G18" s="22"/>
      <c r="H18" s="22"/>
      <c r="I18" s="22"/>
      <c r="J18" s="22">
        <f>MAX((J5+J16),0)</f>
        <v>101.60105129315689</v>
      </c>
      <c r="K18" s="22"/>
      <c r="L18" s="22">
        <f>MAX((L5+L16),0)</f>
        <v>0</v>
      </c>
      <c r="M18" s="22"/>
      <c r="N18" s="22">
        <f>MAX((N5+N16),0)</f>
        <v>762.10525469455888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0.23634131103433392</v>
      </c>
      <c r="C20" s="26">
        <f ca="1">'EF ele_warmte'!B22</f>
        <v>0.23764705882352941</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6463.8467658646459</v>
      </c>
      <c r="C22" s="24">
        <f ca="1">C18*C20</f>
        <v>0</v>
      </c>
      <c r="D22" s="24">
        <f>D18*D20</f>
        <v>49035.266667466618</v>
      </c>
      <c r="E22" s="24">
        <f>E18*E20</f>
        <v>56.779840523978791</v>
      </c>
      <c r="F22" s="24">
        <f>F18*F20</f>
        <v>1369.7795202036236</v>
      </c>
      <c r="G22" s="24"/>
      <c r="H22" s="24"/>
      <c r="I22" s="24"/>
      <c r="J22" s="24">
        <f>J18*J20</f>
        <v>35.966772157777534</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40.324751574316601</v>
      </c>
      <c r="C30" s="40">
        <f>IF(ISERROR(B30*3.6/1000000/'E Balans VL '!Z18*100),0,B30*3.6/1000000/'E Balans VL '!Z18*100)</f>
        <v>2.2438027758104619E-3</v>
      </c>
      <c r="D30" s="240" t="s">
        <v>707</v>
      </c>
    </row>
    <row r="31" spans="1:18">
      <c r="A31" s="6" t="s">
        <v>33</v>
      </c>
      <c r="B31" s="38">
        <f>IF( ISERROR(IND_ander_ele_kWh/1000),0,IND_ander_ele_kWh/1000)</f>
        <v>538.96834203372202</v>
      </c>
      <c r="C31" s="40">
        <f>IF(ISERROR(B31*3.6/1000000/'E Balans VL '!Z19*100),0,B31*3.6/1000000/'E Balans VL '!Z19*100)</f>
        <v>2.505522272712702E-2</v>
      </c>
      <c r="D31" s="240" t="s">
        <v>707</v>
      </c>
    </row>
    <row r="32" spans="1:18">
      <c r="A32" s="174" t="s">
        <v>41</v>
      </c>
      <c r="B32" s="38">
        <f>IF( ISERROR(IND_voed_ele_kWh/1000),0,IND_voed_ele_kWh/1000)</f>
        <v>6696.2027020054802</v>
      </c>
      <c r="C32" s="40">
        <f>IF(ISERROR(B32*3.6/1000000/'E Balans VL '!Z20*100),0,B32*3.6/1000000/'E Balans VL '!Z20*100)</f>
        <v>0.23669724196180861</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17.059342186622299</v>
      </c>
      <c r="C35" s="40">
        <f>IF(ISERROR(B35*3.6/1000000/'E Balans VL '!Z22*100),0,B35*3.6/1000000/'E Balans VL '!Z22*100)</f>
        <v>3.4284467223135045E-3</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20057.0721346221</v>
      </c>
      <c r="C37" s="40">
        <f>IF(ISERROR(B37*3.6/1000000/'E Balans VL '!Z15*100),0,B37*3.6/1000000/'E Balans VL '!Z15*100)</f>
        <v>0.15146052339225408</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4826.7862342554472</v>
      </c>
      <c r="C5" s="18">
        <f>'Eigen informatie GS &amp; warmtenet'!B60</f>
        <v>0</v>
      </c>
      <c r="D5" s="31">
        <f>IF(ISERROR(SUM(LB_lb_gas_kWh,LB_rest_gas_kWh)/1000),0,SUM(LB_lb_gas_kWh,LB_rest_gas_kWh)/1000)*0.902</f>
        <v>21795.751675394687</v>
      </c>
      <c r="E5" s="18">
        <f>B17*'E Balans VL '!I25/3.6*1000000/100</f>
        <v>45.471560379550219</v>
      </c>
      <c r="F5" s="18">
        <f>B17*('E Balans VL '!L25/3.6*1000000+'E Balans VL '!N25/3.6*1000000)/100</f>
        <v>15751.405352045256</v>
      </c>
      <c r="G5" s="19"/>
      <c r="H5" s="18"/>
      <c r="I5" s="18"/>
      <c r="J5" s="18">
        <f>('E Balans VL '!D25+'E Balans VL '!E25)/3.6*1000000*landbouw!B17/100</f>
        <v>597.09693466113242</v>
      </c>
      <c r="K5" s="18"/>
      <c r="L5" s="18">
        <f>L6*(-1)</f>
        <v>0</v>
      </c>
      <c r="M5" s="18"/>
      <c r="N5" s="18">
        <f>N6*(-1)</f>
        <v>0</v>
      </c>
      <c r="O5" s="18"/>
      <c r="P5" s="18"/>
      <c r="R5" s="33"/>
    </row>
    <row r="6" spans="1:18">
      <c r="A6" s="17" t="s">
        <v>502</v>
      </c>
      <c r="B6" s="18" t="s">
        <v>211</v>
      </c>
      <c r="C6" s="18">
        <f>'lokale energieproductie'!O92+'lokale energieproductie'!O61</f>
        <v>9495</v>
      </c>
      <c r="D6" s="312">
        <f>('lokale energieproductie'!P61+'lokale energieproductie'!P92)*(-1)</f>
        <v>-18990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4826.7862342554472</v>
      </c>
      <c r="C8" s="22">
        <f>C5+C6</f>
        <v>9495</v>
      </c>
      <c r="D8" s="22">
        <f>MAX((D5+D6),0)</f>
        <v>2805.7516753946875</v>
      </c>
      <c r="E8" s="22">
        <f>MAX((E5+E6),0)</f>
        <v>45.471560379550219</v>
      </c>
      <c r="F8" s="22">
        <f>MAX((F5+F6),0)</f>
        <v>15751.405352045256</v>
      </c>
      <c r="G8" s="22"/>
      <c r="H8" s="22"/>
      <c r="I8" s="22"/>
      <c r="J8" s="22">
        <f>MAX((J5+J6),0)</f>
        <v>597.09693466113242</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0.23634131103433392</v>
      </c>
      <c r="C10" s="32">
        <f ca="1">'EF ele_warmte'!B22</f>
        <v>0.23764705882352941</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1140.768986686408</v>
      </c>
      <c r="C12" s="24">
        <f ca="1">C8*C10</f>
        <v>2256.4588235294118</v>
      </c>
      <c r="D12" s="24">
        <f>D8*D10</f>
        <v>566.76183842972694</v>
      </c>
      <c r="E12" s="24">
        <f>E8*E10</f>
        <v>10.3220442061579</v>
      </c>
      <c r="F12" s="24">
        <f>F8*F10</f>
        <v>4205.6252289960839</v>
      </c>
      <c r="G12" s="24"/>
      <c r="H12" s="24"/>
      <c r="I12" s="24"/>
      <c r="J12" s="24">
        <f>J8*J10</f>
        <v>211.37231487004087</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0.6534697265397631</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649.14300418052073</v>
      </c>
      <c r="C26" s="250">
        <f>B26*'GWP N2O_CH4'!B5</f>
        <v>13632.003087790936</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441.8203757815931</v>
      </c>
      <c r="C27" s="250">
        <f>B27*'GWP N2O_CH4'!B5</f>
        <v>9278.2278914134549</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11.264343968088664</v>
      </c>
      <c r="C28" s="250">
        <f>B28*'GWP N2O_CH4'!B4</f>
        <v>3491.9466301074858</v>
      </c>
      <c r="D28" s="51"/>
    </row>
    <row r="29" spans="1:4">
      <c r="A29" s="42" t="s">
        <v>277</v>
      </c>
      <c r="B29" s="250">
        <f>B34*'ha_N2O bodem landbouw'!B4</f>
        <v>23.341024062722454</v>
      </c>
      <c r="C29" s="250">
        <f>B29*'GWP N2O_CH4'!B4</f>
        <v>7235.7174594439603</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6.3013417152692885E-3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3.9132680405892312E-6</v>
      </c>
      <c r="C5" s="447" t="s">
        <v>211</v>
      </c>
      <c r="D5" s="432">
        <f>SUM(D6:D11)</f>
        <v>1.2621891864802454E-5</v>
      </c>
      <c r="E5" s="432">
        <f>SUM(E6:E11)</f>
        <v>7.1813921553381867E-4</v>
      </c>
      <c r="F5" s="445" t="s">
        <v>211</v>
      </c>
      <c r="G5" s="432">
        <f>SUM(G6:G11)</f>
        <v>0.1408570813883884</v>
      </c>
      <c r="H5" s="432">
        <f>SUM(H6:H11)</f>
        <v>2.7734525979907543E-2</v>
      </c>
      <c r="I5" s="447" t="s">
        <v>211</v>
      </c>
      <c r="J5" s="447" t="s">
        <v>211</v>
      </c>
      <c r="K5" s="447" t="s">
        <v>211</v>
      </c>
      <c r="L5" s="447" t="s">
        <v>211</v>
      </c>
      <c r="M5" s="432">
        <f>SUM(M6:M11)</f>
        <v>7.5410642568876493E-3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2.2362022482298665E-6</v>
      </c>
      <c r="C6" s="433"/>
      <c r="D6" s="433">
        <f>vkm_2011_GW_PW*SUMIFS(TableVerdeelsleutelVkm[CNG],TableVerdeelsleutelVkm[Voertuigtype],"Lichte voertuigen")*SUMIFS(TableECFTransport[EnergieConsumptieFactor (PJ per km)],TableECFTransport[Index],CONCATENATE($A6,"_CNG_CNG"))</f>
        <v>5.4608433400944251E-6</v>
      </c>
      <c r="E6" s="435">
        <f>vkm_2011_GW_PW*SUMIFS(TableVerdeelsleutelVkm[LPG],TableVerdeelsleutelVkm[Voertuigtype],"Lichte voertuigen")*SUMIFS(TableECFTransport[EnergieConsumptieFactor (PJ per km)],TableECFTransport[Index],CONCATENATE($A6,"_LPG_LPG"))</f>
        <v>3.2369057232135232E-4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4.6793279955455847E-2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1.2263174330294467E-2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2.6446567820471016E-3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2.1979757881867273E-2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8.867975386601201E-6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9.7919141314771517E-4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1.5762952315018742E-6</v>
      </c>
      <c r="C8" s="433"/>
      <c r="D8" s="435">
        <f>vkm_2011_NGW_PW*SUMIFS(TableVerdeelsleutelVkm[CNG],TableVerdeelsleutelVkm[Voertuigtype],"Lichte voertuigen")*SUMIFS(TableECFTransport[EnergieConsumptieFactor (PJ per km)],TableECFTransport[Index],CONCATENATE($A8,"_CNG_CNG"))</f>
        <v>6.9063688075285838E-6</v>
      </c>
      <c r="E8" s="435">
        <f>vkm_2011_NGW_PW*SUMIFS(TableVerdeelsleutelVkm[LPG],TableVerdeelsleutelVkm[Voertuigtype],"Lichte voertuigen")*SUMIFS(TableECFTransport[EnergieConsumptieFactor (PJ per km)],TableECFTransport[Index],CONCATENATE($A8,"_LPG_LPG"))</f>
        <v>3.755594568233551E-4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5.1288398704332223E-2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1.4851687432665104E-2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2.9632236191857683E-3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1.6141574227575478E-2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5.6704015036372915E-6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7.1906362188358503E-4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1.0077056085749068E-7</v>
      </c>
      <c r="C10" s="433"/>
      <c r="D10" s="435">
        <f>vkm_2011_SW_PW*SUMIFS(TableVerdeelsleutelVkm[CNG],TableVerdeelsleutelVkm[Voertuigtype],"Lichte voertuigen")*SUMIFS(TableECFTransport[EnergieConsumptieFactor (PJ per km)],TableECFTransport[Index],CONCATENATE($A10,"_CNG_CNG"))</f>
        <v>2.5467971717944661E-7</v>
      </c>
      <c r="E10" s="435">
        <f>vkm_2011_SW_PW*SUMIFS(TableVerdeelsleutelVkm[LPG],TableVerdeelsleutelVkm[Voertuigtype],"Lichte voertuigen")*SUMIFS(TableECFTransport[EnergieConsumptieFactor (PJ per km)],TableECFTransport[Index],CONCATENATE($A10,"_LPG_LPG"))</f>
        <v>1.8889186389111209E-5</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2.4885446589150888E-3</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6.0419888365029727E-4</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1.3845287349982895E-4</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2.1655259602424834E-3</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9.2695640743433152E-7</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9.6475947123649867E-5</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1.0870189001636752</v>
      </c>
      <c r="C14" s="22"/>
      <c r="D14" s="22">
        <f t="shared" ref="D14:M14" si="0">((D5)*10^9/3600)+D12</f>
        <v>3.5060810735562371</v>
      </c>
      <c r="E14" s="22">
        <f t="shared" si="0"/>
        <v>199.48311542606075</v>
      </c>
      <c r="F14" s="22"/>
      <c r="G14" s="22">
        <f t="shared" si="0"/>
        <v>39126.96705233011</v>
      </c>
      <c r="H14" s="22">
        <f t="shared" si="0"/>
        <v>7704.0349944187619</v>
      </c>
      <c r="I14" s="22"/>
      <c r="J14" s="22"/>
      <c r="K14" s="22"/>
      <c r="L14" s="22"/>
      <c r="M14" s="22">
        <f t="shared" si="0"/>
        <v>2094.7400713576803</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0.23634131103433392</v>
      </c>
      <c r="C16" s="57">
        <f ca="1">'EF ele_warmte'!B22</f>
        <v>0.23764705882352941</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0.25690747198378272</v>
      </c>
      <c r="C18" s="24"/>
      <c r="D18" s="24">
        <f t="shared" ref="D18:M18" si="1">D14*D16</f>
        <v>0.70822837685835993</v>
      </c>
      <c r="E18" s="24">
        <f t="shared" si="1"/>
        <v>45.282667201715789</v>
      </c>
      <c r="F18" s="24"/>
      <c r="G18" s="24">
        <f t="shared" si="1"/>
        <v>10446.90020297214</v>
      </c>
      <c r="H18" s="24">
        <f t="shared" si="1"/>
        <v>1918.3047136102716</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3.8141616966607893E-3</v>
      </c>
      <c r="H50" s="323">
        <f t="shared" si="2"/>
        <v>0</v>
      </c>
      <c r="I50" s="323">
        <f t="shared" si="2"/>
        <v>0</v>
      </c>
      <c r="J50" s="323">
        <f t="shared" si="2"/>
        <v>0</v>
      </c>
      <c r="K50" s="323">
        <f t="shared" si="2"/>
        <v>0</v>
      </c>
      <c r="L50" s="323">
        <f t="shared" si="2"/>
        <v>0</v>
      </c>
      <c r="M50" s="323">
        <f t="shared" si="2"/>
        <v>1.6748613195365617E-4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3.8141616966607893E-3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1.6748613195365617E-4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1059.4893601835527</v>
      </c>
      <c r="H54" s="22">
        <f t="shared" si="3"/>
        <v>0</v>
      </c>
      <c r="I54" s="22">
        <f t="shared" si="3"/>
        <v>0</v>
      </c>
      <c r="J54" s="22">
        <f t="shared" si="3"/>
        <v>0</v>
      </c>
      <c r="K54" s="22">
        <f t="shared" si="3"/>
        <v>0</v>
      </c>
      <c r="L54" s="22">
        <f t="shared" si="3"/>
        <v>0</v>
      </c>
      <c r="M54" s="22">
        <f t="shared" si="3"/>
        <v>46.523925542682271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0.23634131103433392</v>
      </c>
      <c r="C56" s="57">
        <f ca="1">'EF ele_warmte'!B22</f>
        <v>0.23764705882352941</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282.88365916900858</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3277.0269928888893</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6646.5</v>
      </c>
      <c r="C8" s="558">
        <f>B101</f>
        <v>7819.411764705882</v>
      </c>
      <c r="D8" s="991"/>
      <c r="E8" s="991">
        <f>E101</f>
        <v>0</v>
      </c>
      <c r="F8" s="992"/>
      <c r="G8" s="559"/>
      <c r="H8" s="991">
        <f>I101</f>
        <v>0</v>
      </c>
      <c r="I8" s="991">
        <f>G101+F101</f>
        <v>0</v>
      </c>
      <c r="J8" s="991">
        <f>H101+D101+C101</f>
        <v>0</v>
      </c>
      <c r="K8" s="991"/>
      <c r="L8" s="991"/>
      <c r="M8" s="991"/>
      <c r="N8" s="560"/>
      <c r="O8" s="561">
        <f>C8*$C$12+D8*$D$12+E8*$E$12+F8*$F$12+G8*$G$12+H8*$H$12+I8*$I$12+J8*$J$12</f>
        <v>1579.5211764705882</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9923.5269928888883</v>
      </c>
      <c r="C10" s="570">
        <f t="shared" ref="C10:L10" si="0">SUM(C8:C9)</f>
        <v>7819.411764705882</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1579.5211764705882</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9495</v>
      </c>
      <c r="C17" s="582">
        <f>B102</f>
        <v>11170.588235294117</v>
      </c>
      <c r="D17" s="583"/>
      <c r="E17" s="583">
        <f>E102</f>
        <v>0</v>
      </c>
      <c r="F17" s="584"/>
      <c r="G17" s="585"/>
      <c r="H17" s="582">
        <f>I102</f>
        <v>0</v>
      </c>
      <c r="I17" s="583">
        <f>G102+F102</f>
        <v>0</v>
      </c>
      <c r="J17" s="583">
        <f>H102+D102+C102</f>
        <v>0</v>
      </c>
      <c r="K17" s="583"/>
      <c r="L17" s="583"/>
      <c r="M17" s="583"/>
      <c r="N17" s="998"/>
      <c r="O17" s="586">
        <f>C17*$C$22+E17*$E$22+H17*$H$22+I17*$I$22+J17*$J$22+D17*$D$22+F17*$F$22+G17*$G$22+K17*$K$22+L17*$L$22</f>
        <v>2256.4588235294118</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9495</v>
      </c>
      <c r="C20" s="569">
        <f>SUM(C17:C19)</f>
        <v>11170.588235294117</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2256.4588235294118</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33040</v>
      </c>
      <c r="C28" s="789">
        <v>8920</v>
      </c>
      <c r="D28" s="642" t="s">
        <v>946</v>
      </c>
      <c r="E28" s="641" t="s">
        <v>947</v>
      </c>
      <c r="F28" s="641" t="s">
        <v>948</v>
      </c>
      <c r="G28" s="641" t="s">
        <v>949</v>
      </c>
      <c r="H28" s="641" t="s">
        <v>950</v>
      </c>
      <c r="I28" s="641" t="s">
        <v>947</v>
      </c>
      <c r="J28" s="788">
        <v>40584</v>
      </c>
      <c r="K28" s="788">
        <v>40584</v>
      </c>
      <c r="L28" s="641" t="s">
        <v>951</v>
      </c>
      <c r="M28" s="641">
        <v>1477</v>
      </c>
      <c r="N28" s="641">
        <v>6646.5</v>
      </c>
      <c r="O28" s="641">
        <v>9495</v>
      </c>
      <c r="P28" s="641">
        <v>18990</v>
      </c>
      <c r="Q28" s="641">
        <v>0</v>
      </c>
      <c r="R28" s="641">
        <v>0</v>
      </c>
      <c r="S28" s="641">
        <v>0</v>
      </c>
      <c r="T28" s="641">
        <v>0</v>
      </c>
      <c r="U28" s="641">
        <v>0</v>
      </c>
      <c r="V28" s="641">
        <v>0</v>
      </c>
      <c r="W28" s="641"/>
      <c r="X28" s="641">
        <v>10</v>
      </c>
      <c r="Y28" s="641" t="s">
        <v>112</v>
      </c>
      <c r="Z28" s="643" t="s">
        <v>112</v>
      </c>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1477</v>
      </c>
      <c r="N58" s="599">
        <f>SUM(N28:N57)</f>
        <v>6646.5</v>
      </c>
      <c r="O58" s="599">
        <f t="shared" ref="O58:W58" si="2">SUM(O28:O57)</f>
        <v>9495</v>
      </c>
      <c r="P58" s="599">
        <f t="shared" si="2"/>
        <v>18990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1477</v>
      </c>
      <c r="N61" s="604">
        <f t="shared" si="4"/>
        <v>6646.5</v>
      </c>
      <c r="O61" s="604">
        <f t="shared" si="4"/>
        <v>9495</v>
      </c>
      <c r="P61" s="604">
        <f t="shared" si="4"/>
        <v>18990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0.58823529411764708</v>
      </c>
      <c r="C98" s="624">
        <f>IF(ISERROR(N58/(O58+N58)),0,N58/(N58+O58))</f>
        <v>0.41176470588235292</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7819.411764705882</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11170.588235294117</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2019-06-29T16:12:57Z</dcterms:modified>
</cp:coreProperties>
</file>