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O18" l="1"/>
  <c r="C98"/>
  <c r="G101" s="1"/>
  <c r="B8"/>
  <c r="B10" s="1"/>
  <c r="O19"/>
  <c r="I102"/>
  <c r="H17" s="1"/>
  <c r="H20" s="1"/>
  <c r="E102"/>
  <c r="E17" s="1"/>
  <c r="E20" s="1"/>
  <c r="G102"/>
  <c r="C102"/>
  <c r="H102"/>
  <c r="D102"/>
  <c r="F102"/>
  <c r="B102"/>
  <c r="C17" s="1"/>
  <c r="I101"/>
  <c r="H8" s="1"/>
  <c r="H10" s="1"/>
  <c r="E101"/>
  <c r="E8" s="1"/>
  <c r="E10" s="1"/>
  <c r="C101"/>
  <c r="H101"/>
  <c r="F101"/>
  <c r="B101"/>
  <c r="C8" s="1"/>
  <c r="N6" i="17"/>
  <c r="L6"/>
  <c r="F6"/>
  <c r="D6"/>
  <c r="C6"/>
  <c r="N16" i="16"/>
  <c r="L16"/>
  <c r="F16"/>
  <c r="D16"/>
  <c r="C16"/>
  <c r="B16"/>
  <c r="B13" i="15"/>
  <c r="D101" i="18" l="1"/>
  <c r="J8" s="1"/>
  <c r="C10"/>
  <c r="C20"/>
  <c r="I8"/>
  <c r="I10" s="1"/>
  <c r="I17"/>
  <c r="I20" s="1"/>
  <c r="J17"/>
  <c r="J20" s="1"/>
  <c r="B19" i="6"/>
  <c r="B18"/>
  <c r="B5"/>
  <c r="C29" i="14" s="1"/>
  <c r="B6" i="6"/>
  <c r="C64" i="14" s="1"/>
  <c r="D14" i="48"/>
  <c r="P7"/>
  <c r="P25" s="1"/>
  <c r="O7"/>
  <c r="O25" s="1"/>
  <c r="M7"/>
  <c r="K7"/>
  <c r="I7"/>
  <c r="H7"/>
  <c r="G7"/>
  <c r="P10"/>
  <c r="O10"/>
  <c r="O28" s="1"/>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L26" s="1"/>
  <c r="J24"/>
  <c r="I24"/>
  <c r="I26" s="1"/>
  <c r="H24"/>
  <c r="H26" s="1"/>
  <c r="Q50"/>
  <c r="P50"/>
  <c r="O50"/>
  <c r="M50"/>
  <c r="L50"/>
  <c r="K50"/>
  <c r="J50"/>
  <c r="G50"/>
  <c r="D50"/>
  <c r="Q49"/>
  <c r="P49"/>
  <c r="Q20"/>
  <c r="P20"/>
  <c r="P22" s="1"/>
  <c r="O20"/>
  <c r="M20"/>
  <c r="L20"/>
  <c r="K20"/>
  <c r="J20"/>
  <c r="G20"/>
  <c r="D20"/>
  <c r="Q19"/>
  <c r="P19"/>
  <c r="O19"/>
  <c r="M19"/>
  <c r="M22" s="1"/>
  <c r="L19"/>
  <c r="K19"/>
  <c r="J19"/>
  <c r="I19"/>
  <c r="G19"/>
  <c r="F19"/>
  <c r="E19"/>
  <c r="D19"/>
  <c r="Q48"/>
  <c r="Q52" s="1"/>
  <c r="P48"/>
  <c r="P52" s="1"/>
  <c r="O48"/>
  <c r="M48"/>
  <c r="L48"/>
  <c r="K48"/>
  <c r="J48"/>
  <c r="G48"/>
  <c r="D48"/>
  <c r="Q18"/>
  <c r="P18"/>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Q22"/>
  <c r="R12"/>
  <c r="F13" i="15"/>
  <c r="D13"/>
  <c r="C13"/>
  <c r="J10" i="18" l="1"/>
  <c r="J76" i="14"/>
  <c r="K78"/>
  <c r="K8" i="56"/>
  <c r="K10" s="1"/>
  <c r="O78" i="14"/>
  <c r="O9" i="56"/>
  <c r="L90" i="14"/>
  <c r="L17" i="56"/>
  <c r="L20" s="1"/>
  <c r="G90" i="14"/>
  <c r="G18" i="56"/>
  <c r="G20" s="1"/>
  <c r="O90" i="14"/>
  <c r="O18" i="56"/>
  <c r="O20" s="1"/>
  <c r="O10"/>
  <c r="L78" i="14"/>
  <c r="N20" i="56"/>
  <c r="G78" i="14"/>
  <c r="Q89"/>
  <c r="P19" i="56" s="1"/>
  <c r="I76" i="14"/>
  <c r="I8" i="56" s="1"/>
  <c r="I10" s="1"/>
  <c r="I87" i="14"/>
  <c r="I17" i="56" s="1"/>
  <c r="I20" s="1"/>
  <c r="C77" i="14"/>
  <c r="C9" i="56" s="1"/>
  <c r="D9"/>
  <c r="D10" s="1"/>
  <c r="Q88" i="14"/>
  <c r="P18" i="56" s="1"/>
  <c r="D18"/>
  <c r="K90" i="14"/>
  <c r="K18" i="56"/>
  <c r="K20" s="1"/>
  <c r="N78" i="14"/>
  <c r="N8" i="56"/>
  <c r="N10" s="1"/>
  <c r="E8"/>
  <c r="E10" s="1"/>
  <c r="M78" i="14"/>
  <c r="M8" i="56"/>
  <c r="M10" s="1"/>
  <c r="H78" i="14"/>
  <c r="H9" i="56"/>
  <c r="H10" s="1"/>
  <c r="Q87" i="14"/>
  <c r="P17" i="56" s="1"/>
  <c r="D17"/>
  <c r="D20" s="1"/>
  <c r="F90" i="14"/>
  <c r="H90"/>
  <c r="M20" i="56"/>
  <c r="D78" i="14"/>
  <c r="Q77"/>
  <c r="C87"/>
  <c r="C17" i="56" s="1"/>
  <c r="O17" i="18"/>
  <c r="O20" s="1"/>
  <c r="J87" i="14"/>
  <c r="B88"/>
  <c r="B18" i="56" s="1"/>
  <c r="C89" i="14"/>
  <c r="C19" i="56" s="1"/>
  <c r="B89" i="14"/>
  <c r="B19" i="56" s="1"/>
  <c r="B77" i="14"/>
  <c r="B9" i="56" s="1"/>
  <c r="O8" i="18"/>
  <c r="O10" s="1"/>
  <c r="N13" i="15"/>
  <c r="L13"/>
  <c r="O24" i="48"/>
  <c r="O30"/>
  <c r="P24"/>
  <c r="P30"/>
  <c r="R9" i="14"/>
  <c r="E78"/>
  <c r="I78"/>
  <c r="E55"/>
  <c r="R25"/>
  <c r="E90"/>
  <c r="I90"/>
  <c r="M90"/>
  <c r="D90"/>
  <c r="J8" i="56" l="1"/>
  <c r="J10" s="1"/>
  <c r="J78" i="14"/>
  <c r="J90"/>
  <c r="J17" i="56"/>
  <c r="J20" s="1"/>
  <c r="Q90" i="14"/>
  <c r="B17" i="6" s="1"/>
  <c r="C20" i="56"/>
  <c r="Q78" i="14"/>
  <c r="B9" i="6" s="1"/>
  <c r="P9" i="56"/>
  <c r="P10" s="1"/>
  <c r="P20"/>
  <c r="B76" i="14"/>
  <c r="C76"/>
  <c r="C90"/>
  <c r="B87"/>
  <c r="B8" i="56" l="1"/>
  <c r="B10" s="1"/>
  <c r="B78" i="14"/>
  <c r="B4" i="6" s="1"/>
  <c r="C8" i="56"/>
  <c r="C10" s="1"/>
  <c r="C78" i="14"/>
  <c r="B90"/>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11" i="14" l="1"/>
  <c r="C4" i="48"/>
  <c r="B4"/>
  <c r="C11" i="14"/>
  <c r="N31" i="48"/>
  <c r="N24"/>
  <c r="N27"/>
  <c r="N30"/>
  <c r="N29"/>
  <c r="N32"/>
  <c r="N28"/>
  <c r="K32"/>
  <c r="K31"/>
  <c r="K25"/>
  <c r="K29"/>
  <c r="K26"/>
  <c r="K27"/>
  <c r="K28"/>
  <c r="K24"/>
  <c r="K22"/>
  <c r="K30"/>
  <c r="J10" i="14"/>
  <c r="J16" s="1"/>
  <c r="J27" s="1"/>
  <c r="I5" i="48"/>
  <c r="J24"/>
  <c r="J32"/>
  <c r="J29"/>
  <c r="J30"/>
  <c r="J31"/>
  <c r="J27"/>
  <c r="J28"/>
  <c r="Q11" i="14"/>
  <c r="P4" i="48"/>
  <c r="B7"/>
  <c r="C24" i="14"/>
  <c r="C26" s="1"/>
  <c r="P11"/>
  <c r="O4" i="48"/>
  <c r="I25"/>
  <c r="I26"/>
  <c r="I28"/>
  <c r="I32"/>
  <c r="I22"/>
  <c r="I29"/>
  <c r="I27"/>
  <c r="I31"/>
  <c r="I30"/>
  <c r="I24"/>
  <c r="B38" i="13"/>
  <c r="D4" i="48"/>
  <c r="D22" s="1"/>
  <c r="E11" i="14"/>
  <c r="H26" i="48"/>
  <c r="H28"/>
  <c r="H32"/>
  <c r="H22"/>
  <c r="H29"/>
  <c r="H24"/>
  <c r="H25"/>
  <c r="H30"/>
  <c r="H23"/>
  <c r="G32"/>
  <c r="G24"/>
  <c r="G29"/>
  <c r="G25"/>
  <c r="G22"/>
  <c r="G30"/>
  <c r="G26"/>
  <c r="G23"/>
  <c r="F24"/>
  <c r="F32"/>
  <c r="F27"/>
  <c r="F30"/>
  <c r="F31"/>
  <c r="F29"/>
  <c r="F28"/>
  <c r="C19" i="14"/>
  <c r="B10" i="48"/>
  <c r="E28"/>
  <c r="E32"/>
  <c r="E29"/>
  <c r="E31"/>
  <c r="E24"/>
  <c r="E30"/>
  <c r="M12" i="13"/>
  <c r="N41" i="14" s="1"/>
  <c r="M17" i="48"/>
  <c r="K5"/>
  <c r="L10" i="14"/>
  <c r="L16" s="1"/>
  <c r="L27" s="1"/>
  <c r="D30" i="48"/>
  <c r="D31"/>
  <c r="D28"/>
  <c r="D32"/>
  <c r="D29"/>
  <c r="D24"/>
  <c r="L32"/>
  <c r="L27"/>
  <c r="L31"/>
  <c r="L22"/>
  <c r="L30"/>
  <c r="L28"/>
  <c r="L29"/>
  <c r="L24"/>
  <c r="Q10" i="14"/>
  <c r="P5" i="48"/>
  <c r="P23"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L46" i="14"/>
  <c r="L61" s="1"/>
  <c r="G11"/>
  <c r="F4" i="48"/>
  <c r="F22" s="1"/>
  <c r="I18" i="14"/>
  <c r="H13" i="48"/>
  <c r="H31" s="1"/>
  <c r="M32"/>
  <c r="M22"/>
  <c r="M29"/>
  <c r="M25"/>
  <c r="M30"/>
  <c r="M24"/>
  <c r="M26"/>
  <c r="M23"/>
  <c r="O22"/>
  <c r="Q13" i="14"/>
  <c r="Q16" s="1"/>
  <c r="Q27" s="1"/>
  <c r="P8" i="48"/>
  <c r="P26" s="1"/>
  <c r="K23"/>
  <c r="K33" s="1"/>
  <c r="K15"/>
  <c r="H18" i="14"/>
  <c r="G13" i="48"/>
  <c r="N18" i="14"/>
  <c r="M13" i="48"/>
  <c r="M31" s="1"/>
  <c r="J12" i="17"/>
  <c r="K54" i="14" s="1"/>
  <c r="K56" s="1"/>
  <c r="J7" i="48"/>
  <c r="J25" s="1"/>
  <c r="K24" i="14"/>
  <c r="K26" s="1"/>
  <c r="I23" i="48"/>
  <c r="I15"/>
  <c r="P15"/>
  <c r="P22"/>
  <c r="L63" i="14"/>
  <c r="I33" i="48"/>
  <c r="J46" i="14"/>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M10"/>
  <c r="M28" s="1"/>
  <c r="N19" i="14"/>
  <c r="N22" s="1"/>
  <c r="N27" s="1"/>
  <c r="N63" s="1"/>
  <c r="J4" i="48"/>
  <c r="K11" i="14"/>
  <c r="N20"/>
  <c r="M9" i="48"/>
  <c r="E7"/>
  <c r="E25" s="1"/>
  <c r="F24" i="14"/>
  <c r="F26" s="1"/>
  <c r="F20"/>
  <c r="F22" s="1"/>
  <c r="E9" i="48"/>
  <c r="E27" s="1"/>
  <c r="P16" i="14"/>
  <c r="P27" s="1"/>
  <c r="E12" i="17"/>
  <c r="F54" i="14" s="1"/>
  <c r="F56" s="1"/>
  <c r="H14" i="22"/>
  <c r="H18" s="1"/>
  <c r="I50" i="14" s="1"/>
  <c r="I52" s="1"/>
  <c r="I61" s="1"/>
  <c r="P13"/>
  <c r="O8" i="48"/>
  <c r="R18" i="14"/>
  <c r="E20"/>
  <c r="E22" s="1"/>
  <c r="D9" i="48"/>
  <c r="D27" s="1"/>
  <c r="G31"/>
  <c r="Q13"/>
  <c r="B9"/>
  <c r="C20" i="14"/>
  <c r="E12" i="13"/>
  <c r="F41" i="14" s="1"/>
  <c r="E4" i="48"/>
  <c r="F11" i="14"/>
  <c r="R11" s="1"/>
  <c r="H19"/>
  <c r="G10" i="48"/>
  <c r="D18" i="22"/>
  <c r="E50" i="14" s="1"/>
  <c r="E52" s="1"/>
  <c r="Q63"/>
  <c r="P33"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G9" i="48" l="1"/>
  <c r="H20" i="14"/>
  <c r="R20" s="1"/>
  <c r="C22"/>
  <c r="O26" i="48"/>
  <c r="O33" s="1"/>
  <c r="O15"/>
  <c r="J5"/>
  <c r="J23" s="1"/>
  <c r="K10" i="14"/>
  <c r="E22" i="48"/>
  <c r="Q4"/>
  <c r="F10" i="14"/>
  <c r="E5" i="48"/>
  <c r="E23" s="1"/>
  <c r="J22"/>
  <c r="G28"/>
  <c r="Q10"/>
  <c r="H9"/>
  <c r="I20" i="14"/>
  <c r="I22" s="1"/>
  <c r="I27" s="1"/>
  <c r="I63" s="1"/>
  <c r="M27" i="48"/>
  <c r="M33" s="1"/>
  <c r="M15"/>
  <c r="R19" i="14"/>
  <c r="G18" i="22"/>
  <c r="H50" i="14" s="1"/>
  <c r="H52" s="1"/>
  <c r="H61"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R22" l="1"/>
  <c r="H63"/>
  <c r="G27" i="48"/>
  <c r="G33" s="1"/>
  <c r="G15"/>
  <c r="K46" i="14"/>
  <c r="K61" s="1"/>
  <c r="H22"/>
  <c r="H27" s="1"/>
  <c r="R10"/>
  <c r="K13"/>
  <c r="K16" s="1"/>
  <c r="K27" s="1"/>
  <c r="K63" s="1"/>
  <c r="J8" i="48"/>
  <c r="F13" i="14"/>
  <c r="F16" s="1"/>
  <c r="F27" s="1"/>
  <c r="E8" i="48"/>
  <c r="H27"/>
  <c r="H33" s="1"/>
  <c r="H15"/>
  <c r="Q9"/>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<sst xmlns="http://schemas.openxmlformats.org/spreadsheetml/2006/main" count="2492" uniqueCount="952">
  <si>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</si>
  <si>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</si>
  <si>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</si>
  <si>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</si>
  <si>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</si>
  <si>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</si>
  <si>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</si>
  <si>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</si>
  <si>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</si>
  <si>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</si>
  <si>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</si>
  <si>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</si>
  <si>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</si>
  <si>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</si>
  <si>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</si>
  <si>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</si>
  <si>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</si>
  <si>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</si>
  <si>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</si>
  <si>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</si>
  <si>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</si>
  <si>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</si>
  <si>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</si>
  <si>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</si>
  <si>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</si>
  <si>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</si>
  <si>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</si>
  <si>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</si>
  <si>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</si>
  <si>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</si>
  <si>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</si>
  <si>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</si>
  <si>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</si>
  <si>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</si>
  <si>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</si>
  <si>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</si>
  <si>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</si>
  <si>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</si>
  <si>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</si>
  <si>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</si>
  <si>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</si>
  <si>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</si>
  <si>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</si>
  <si>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</si>
  <si>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</si>
  <si>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</si>
  <si>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</si>
  <si>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</si>
  <si>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</si>
  <si>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</si>
  <si>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</si>
  <si>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</si>
  <si>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</si>
  <si>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</si>
  <si>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</si>
  <si>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</si>
  <si>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</si>
  <si>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</si>
  <si>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</si>
  <si>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</si>
  <si>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</si>
  <si>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</si>
  <si>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</si>
  <si>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</si>
  <si>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</si>
  <si>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</si>
  <si>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</si>
  <si>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</si>
  <si>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</si>
  <si>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</si>
  <si>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</si>
  <si>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</si>
  <si>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</si>
  <si>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</si>
  <si>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</si>
  <si>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</si>
  <si>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</si>
  <si>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</si>
  <si>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</si>
  <si>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</si>
  <si>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</si>
  <si>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</si>
  <si>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</si>
  <si>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</si>
  <si>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</si>
  <si>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</si>
  <si>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</si>
  <si>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</si>
  <si>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</si>
  <si>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</si>
  <si>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</si>
  <si>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</si>
  <si>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</si>
  <si>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</si>
  <si>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</si>
  <si>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</si>
  <si>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</si>
  <si>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</si>
  <si>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</si>
  <si>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</si>
  <si>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</si>
  <si>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</si>
  <si>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</si>
  <si>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</si>
  <si>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</si>
  <si>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</si>
  <si>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</si>
  <si>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</si>
  <si>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</si>
  <si>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</si>
  <si>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</si>
  <si>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</si>
  <si>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</si>
  <si>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</si>
  <si>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</si>
  <si>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</si>
  <si>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</si>
  <si>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</si>
  <si>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</si>
  <si>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</si>
  <si>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</si>
  <si>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</si>
  <si>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</si>
  <si>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</si>
  <si>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</si>
  <si>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</si>
  <si>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</si>
  <si>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</si>
  <si>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</si>
  <si>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</si>
  <si>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</si>
  <si>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</si>
  <si>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</si>
  <si>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</si>
  <si>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</si>
  <si>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</si>
  <si>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</si>
  <si>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</si>
  <si>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</si>
  <si>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</si>
  <si>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</si>
  <si>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</si>
  <si>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</si>
  <si>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</si>
  <si>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</si>
  <si>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</si>
  <si>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</si>
  <si>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</si>
  <si>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</si>
  <si>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</si>
  <si>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</si>
  <si>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</si>
  <si>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</si>
  <si>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</si>
  <si>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</si>
  <si>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</si>
  <si>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</si>
  <si>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</si>
  <si>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</si>
  <si>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</si>
  <si>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</si>
  <si>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</si>
  <si>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</si>
  <si>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</si>
  <si>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</si>
  <si>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</si>
  <si>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</si>
  <si>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</si>
  <si>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</si>
  <si>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</si>
  <si>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</si>
  <si>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</si>
  <si>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</si>
  <si>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</si>
  <si>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</si>
  <si>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</si>
  <si>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</si>
  <si>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</si>
  <si>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</si>
  <si>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</si>
  <si>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</si>
  <si>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</si>
  <si>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</si>
  <si>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</si>
  <si>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</si>
  <si>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</si>
  <si>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</si>
  <si>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</si>
  <si>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</si>
  <si>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</si>
  <si>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</si>
  <si>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</si>
  <si>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</si>
  <si>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</si>
  <si>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</si>
  <si>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</si>
  <si>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</si>
  <si>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</si>
  <si>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</si>
  <si>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</si>
  <si>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</si>
  <si>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</si>
  <si>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</si>
  <si>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</si>
  <si>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</si>
  <si>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</si>
  <si>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</si>
  <si>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</si>
  <si>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</si>
  <si>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</si>
  <si>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</si>
  <si>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</si>
  <si>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</si>
  <si>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</si>
  <si>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</si>
  <si>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</si>
  <si>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</si>
  <si>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</si>
  <si>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</si>
  <si>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</si>
  <si>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</si>
  <si>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</si>
  <si>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</si>
  <si>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</si>
  <si>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</si>
  <si>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</si>
  <si>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</si>
  <si>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</si>
  <si>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</si>
  <si>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</si>
  <si>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</si>
  <si>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</si>
  <si>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</si>
  <si>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</si>
  <si>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</si>
  <si>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</si>
  <si>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</si>
  <si>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</si>
  <si>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</si>
  <si>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</si>
  <si>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</si>
  <si>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</si>
  <si>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</si>
  <si>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</si>
  <si>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</si>
  <si>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</si>
  <si>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</si>
  <si>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</si>
  <si>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</si>
  <si>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</si>
  <si>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</si>
  <si>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</si>
  <si>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</si>
  <si>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</si>
  <si>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</si>
  <si>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</si>
  <si>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</si>
  <si>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</si>
  <si>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</si>
  <si>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</si>
  <si>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</si>
  <si>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</si>
  <si>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</si>
  <si>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</si>
  <si>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</si>
  <si>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</si>
  <si>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</si>
  <si>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</si>
  <si>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</si>
  <si>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</si>
  <si>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</si>
  <si>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</si>
  <si>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</si>
  <si>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</si>
  <si>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</si>
  <si>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</si>
  <si>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</si>
  <si>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</si>
  <si>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</si>
  <si>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</si>
  <si>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</si>
  <si>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</si>
  <si>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</si>
  <si>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</si>
  <si>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</si>
  <si>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</si>
  <si>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</si>
  <si>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</si>
  <si>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</si>
  <si>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</si>
  <si>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</si>
  <si>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</si>
  <si>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</si>
  <si>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</si>
  <si>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</si>
  <si>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</si>
  <si>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</si>
  <si>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</si>
  <si>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</si>
  <si>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</si>
  <si>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</si>
  <si>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</si>
  <si>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</si>
  <si>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</si>
  <si>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</si>
  <si>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</si>
  <si>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</si>
  <si>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</si>
  <si>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</si>
  <si>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</si>
  <si>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</si>
  <si>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</si>
  <si>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</si>
  <si>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</si>
  <si>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</si>
  <si>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</si>
  <si>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</si>
  <si>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</si>
  <si>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</si>
  <si>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</si>
  <si>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</si>
  <si>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</si>
  <si>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</si>
  <si>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</si>
  <si>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</si>
  <si>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</si>
  <si>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</si>
  <si>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</si>
  <si>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</si>
  <si>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</si>
  <si>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</si>
  <si>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</si>
  <si>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</si>
  <si>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</si>
  <si>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</si>
  <si>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</si>
  <si>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</si>
  <si>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</si>
  <si>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</si>
  <si>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</si>
  <si>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</si>
  <si>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</si>
  <si>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</si>
  <si>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</si>
  <si>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</si>
  <si>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</si>
  <si>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</si>
  <si>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</si>
  <si>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</si>
  <si>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</si>
  <si>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</si>
  <si>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</si>
  <si>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</si>
  <si>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</si>
  <si>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</si>
  <si>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</si>
  <si>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</si>
  <si>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</si>
  <si>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</si>
  <si>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</si>
  <si>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</si>
  <si>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</si>
  <si>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</si>
  <si>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</si>
  <si>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</si>
  <si>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</si>
  <si>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</si>
  <si>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</si>
  <si>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</si>
  <si>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</si>
  <si>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</si>
  <si>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</si>
  <si>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</si>
  <si>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</si>
  <si>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</si>
  <si>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</si>
  <si>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</si>
  <si>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</si>
  <si>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</si>
  <si>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</si>
  <si>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</si>
  <si>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</si>
  <si>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</si>
  <si>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</si>
  <si>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</si>
  <si>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</si>
  <si>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</si>
  <si>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</si>
  <si>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</si>
  <si>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</si>
  <si>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</si>
  <si>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</si>
  <si>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</si>
  <si>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</si>
  <si>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</si>
  <si>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</si>
  <si>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</si>
  <si>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</si>
  <si>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</si>
  <si>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</si>
  <si>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</si>
  <si>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</si>
  <si>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</si>
  <si>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</si>
  <si>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</si>
  <si>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</si>
  <si>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</si>
  <si>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</si>
  <si>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</si>
  <si>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</si>
  <si>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</si>
  <si>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</si>
  <si>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</si>
  <si>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</si>
  <si>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</si>
  <si>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</si>
  <si>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</si>
  <si>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</si>
  <si>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</si>
  <si>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</si>
  <si>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</si>
  <si>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</si>
  <si>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</si>
  <si>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</si>
  <si>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</si>
  <si>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</si>
  <si>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</si>
  <si>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</si>
  <si>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</si>
  <si>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</si>
  <si>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</si>
  <si>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</si>
  <si>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</si>
  <si>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</si>
  <si>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</si>
  <si>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</si>
  <si>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</si>
  <si>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</si>
  <si>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</si>
  <si>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</si>
  <si>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</si>
  <si>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</si>
  <si>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</si>
  <si>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</si>
  <si>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</si>
  <si>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</si>
  <si>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</si>
  <si>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</si>
  <si>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</si>
  <si>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</si>
  <si>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</si>
  <si>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</si>
  <si>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</si>
  <si>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</si>
  <si>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</si>
  <si>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</si>
  <si>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</si>
  <si>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</si>
  <si>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</si>
  <si>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</si>
  <si>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</si>
  <si>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</si>
  <si>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</si>
  <si>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</si>
  <si>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</si>
  <si>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</si>
  <si>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</si>
  <si>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</si>
  <si>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</si>
  <si>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</si>
  <si>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</si>
  <si>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</si>
  <si>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</si>
  <si>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</si>
  <si>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</si>
  <si>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</si>
  <si>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</si>
  <si>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</si>
  <si>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</si>
  <si>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</si>
  <si>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</si>
  <si>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</si>
  <si>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</si>
  <si>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</si>
  <si>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</si>
  <si>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</si>
  <si>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</si>
  <si>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</si>
  <si>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</si>
  <si>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</si>
  <si>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</si>
  <si>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</si>
  <si>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</si>
  <si>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</si>
  <si>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</si>
  <si>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</si>
  <si>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</si>
  <si>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</si>
  <si>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</si>
  <si>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</si>
  <si>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</si>
  <si>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</si>
  <si>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</si>
  <si>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</si>
  <si>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</si>
  <si>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</si>
  <si>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</si>
  <si>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</si>
  <si>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</si>
  <si>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</si>
  <si>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</si>
  <si>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</si>
  <si>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</si>
  <si>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</si>
  <si>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</si>
  <si>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</si>
  <si>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</si>
  <si>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</si>
  <si>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</si>
  <si>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</si>
  <si>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</si>
  <si>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</si>
  <si>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</si>
  <si>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</si>
  <si>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</si>
  <si>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</si>
  <si>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</si>
  <si>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</si>
  <si>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</si>
  <si>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</si>
  <si>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</si>
  <si>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</si>
  <si>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</si>
  <si>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</si>
  <si>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</si>
  <si>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</si>
  <si>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</si>
  <si>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</si>
  <si>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</si>
  <si>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</si>
  <si>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</si>
  <si>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</si>
  <si>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</si>
  <si>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</si>
  <si>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</si>
  <si>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</si>
  <si>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</si>
  <si>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</si>
  <si>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</si>
  <si>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</si>
  <si>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</si>
  <si>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</si>
  <si>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</si>
  <si>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</si>
  <si>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</si>
  <si>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</si>
  <si>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</si>
  <si>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</si>
  <si>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</si>
  <si>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</si>
  <si>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</si>
  <si>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</si>
  <si>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</si>
  <si>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</si>
  <si>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</si>
  <si>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</si>
  <si>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</si>
  <si>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</si>
  <si>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</si>
  <si>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</si>
  <si>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</si>
  <si>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</si>
  <si>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</si>
  <si>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</si>
  <si>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</si>
  <si>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</si>
  <si>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</si>
  <si>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</si>
  <si>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</si>
  <si>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</si>
  <si>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</si>
  <si>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</si>
  <si>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</si>
  <si>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</si>
  <si>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</si>
  <si>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</si>
  <si>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</si>
  <si>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</si>
  <si>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</si>
  <si>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</si>
  <si>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</si>
  <si>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</si>
  <si>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</si>
  <si>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</si>
  <si>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</si>
  <si>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</si>
  <si>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</si>
  <si>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</si>
  <si>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</si>
  <si>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</si>
  <si>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</si>
  <si>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</si>
  <si>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</si>
  <si>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</si>
  <si>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</si>
  <si>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</si>
  <si>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</si>
  <si>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</si>
  <si>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</si>
  <si>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</si>
  <si>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</si>
  <si>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</si>
  <si>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</si>
  <si>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</si>
  <si>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</si>
  <si>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</si>
  <si>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</si>
  <si>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</si>
  <si>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</si>
  <si>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</si>
  <si>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</si>
  <si>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</si>
  <si>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</si>
  <si>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</si>
  <si>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</si>
  <si>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</si>
  <si>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</si>
  <si>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</si>
  <si>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</si>
  <si>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</si>
  <si>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</si>
  <si>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</si>
  <si>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</si>
  <si>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</si>
  <si>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</si>
  <si>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</si>
  <si>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</si>
  <si>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</si>
  <si>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</si>
  <si>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</si>
  <si>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</si>
  <si>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</si>
  <si>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</si>
  <si>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</si>
  <si>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</si>
  <si>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</si>
  <si>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</si>
  <si>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</si>
  <si>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</si>
  <si>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</si>
  <si>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</si>
  <si>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</si>
  <si>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</si>
  <si>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</si>
  <si>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</si>
  <si>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</si>
  <si>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</si>
  <si>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</si>
  <si>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</si>
  <si>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</si>
  <si>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</si>
  <si>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</si>
  <si>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</si>
  <si>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</si>
  <si>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</si>
  <si>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</si>
  <si>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</si>
  <si>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</si>
  <si>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</si>
  <si>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</si>
  <si>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</si>
  <si>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</si>
  <si>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</si>
  <si>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</si>
  <si>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</si>
  <si>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</si>
  <si>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</si>
  <si>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</si>
  <si>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</si>
  <si>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</si>
  <si>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</si>
  <si>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</si>
  <si>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</si>
  <si>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</si>
  <si>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</si>
  <si>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</si>
  <si>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</si>
  <si>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</si>
  <si>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</si>
  <si>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</si>
  <si>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</si>
  <si>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</si>
  <si>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</si>
  <si>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</si>
  <si>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</si>
  <si>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</si>
  <si>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</si>
  <si>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</si>
  <si>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</si>
  <si>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</si>
  <si>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</si>
  <si>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</si>
  <si>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</si>
  <si>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</si>
  <si>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</si>
  <si>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</si>
  <si>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</si>
  <si>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</si>
  <si>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</si>
  <si>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</si>
  <si>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</si>
  <si>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</si>
  <si>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</si>
  <si>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</si>
  <si>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</si>
  <si>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</si>
  <si>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</si>
  <si>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</si>
  <si>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</si>
  <si>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</si>
  <si>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</si>
  <si>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</si>
  <si>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</si>
  <si>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</si>
  <si>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</si>
  <si>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</si>
  <si>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</si>
  <si>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</si>
  <si>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</si>
  <si>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</si>
  <si>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</si>
  <si>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</si>
  <si>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</si>
  <si>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</si>
  <si>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</si>
  <si>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</si>
  <si>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</si>
  <si>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</si>
  <si>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</si>
  <si>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</si>
  <si>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</si>
  <si>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</si>
  <si>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</si>
  <si>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</si>
  <si>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</si>
  <si>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</si>
  <si>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</si>
  <si>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</si>
  <si>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</si>
  <si>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</si>
  <si>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</si>
  <si>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</si>
  <si>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</si>
  <si>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</si>
  <si>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</si>
  <si>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</si>
  <si>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</si>
  <si>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</si>
  <si>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</si>
  <si>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</si>
  <si>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</si>
  <si>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</si>
  <si>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</si>
  <si>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</si>
  <si>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</si>
  <si>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</si>
  <si>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</si>
  <si>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</si>
  <si>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</si>
  <si>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</si>
  <si>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</si>
  <si>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</si>
  <si>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</si>
  <si>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</si>
  <si>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</si>
  <si>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</si>
  <si>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</si>
  <si>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</si>
  <si>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</si>
  <si>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</si>
  <si>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</si>
  <si>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</si>
  <si>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</si>
  <si>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</si>
  <si>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</si>
  <si>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</si>
  <si>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</si>
  <si>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</si>
  <si>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</si>
  <si>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</si>
  <si>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</si>
  <si>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</si>
  <si>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</si>
  <si>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</si>
  <si>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</si>
  <si>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</si>
  <si>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</si>
  <si>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</si>
  <si>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</si>
  <si>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</si>
  <si>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</si>
  <si>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</si>
  <si>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</si>
  <si>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</si>
  <si>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</si>
  <si>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</si>
  <si>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</si>
  <si>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</si>
  <si>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</si>
  <si>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</si>
  <si>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</si>
  <si>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</si>
  <si>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</si>
  <si>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</si>
  <si>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</si>
  <si>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</si>
  <si>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</si>
  <si>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</si>
  <si>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</si>
  <si>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</si>
  <si>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</si>
  <si>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</si>
  <si>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</si>
  <si>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</si>
  <si>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</si>
  <si>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</si>
  <si>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</si>
  <si>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</si>
  <si>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</si>
  <si>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</si>
  <si>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</si>
  <si>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</si>
  <si>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</si>
  <si>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</si>
  <si>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</si>
  <si>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</si>
  <si>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</si>
  <si>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</si>
  <si>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</si>
  <si>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</si>
  <si>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</si>
  <si>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</si>
  <si>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</si>
  <si>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</si>
  <si>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</si>
  <si>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</si>
  <si>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</si>
  <si>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</si>
  <si>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</si>
  <si>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</si>
  <si>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</si>
  <si>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</si>
  <si>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</si>
  <si>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</si>
  <si>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</si>
  <si>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</si>
  <si>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</si>
  <si>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</si>
  <si>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</si>
  <si>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</si>
  <si>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</si>
  <si>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</si>
  <si>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</si>
  <si>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</si>
  <si>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</si>
  <si>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</si>
  <si>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</si>
  <si>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</si>
  <si>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</si>
  <si>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</si>
  <si>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</si>
  <si>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</si>
  <si>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</si>
  <si>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</si>
  <si>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</si>
  <si>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</si>
  <si>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</si>
  <si>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</si>
  <si>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</si>
  <si>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</si>
  <si>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</si>
  <si>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</si>
  <si>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</si>
  <si>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</si>
  <si>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</si>
  <si>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</si>
  <si>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</si>
  <si>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</si>
  <si>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</si>
  <si>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</si>
  <si>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</si>
  <si>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</si>
  <si>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</si>
  <si>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</si>
  <si>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</si>
  <si>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</si>
  <si>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</si>
  <si>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</si>
  <si>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</si>
  <si>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</si>
  <si>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</si>
  <si>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</si>
  <si>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</si>
  <si>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</si>
  <si>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</si>
  <si>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</si>
  <si>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</si>
  <si>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</si>
  <si>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</si>
  <si>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</si>
  <si>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</si>
  <si>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</si>
  <si>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</si>
  <si>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</si>
  <si>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</si>
  <si>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</si>
  <si>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</si>
  <si>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</si>
  <si>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</si>
  <si>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</si>
  <si>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</si>
  <si>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</si>
  <si>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</si>
  <si>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</si>
  <si>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</si>
  <si>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</si>
  <si>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</si>
  <si>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</si>
  <si>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</si>
  <si>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</si>
  <si>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</si>
  <si>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</si>
  <si>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</si>
  <si>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</si>
  <si>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</si>
  <si>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</si>
  <si>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</si>
  <si>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</si>
  <si>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</si>
  <si>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</si>
  <si>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33021</t>
  </si>
  <si>
    <t>POPERINGE</t>
  </si>
  <si>
    <t>Paarden&amp;pony's 200 - 600 kg</t>
  </si>
  <si>
    <t>Paarden&amp;pony's &lt; 200 kg</t>
  </si>
  <si>
    <t>op basis van VEA (maart 2018) en Inventaris Hernieuwbare Energiebronnen (juni 2018)</t>
  </si>
  <si>
    <t>VEA (juni 2018)</t>
  </si>
  <si>
    <t>Eurofreez NV</t>
  </si>
  <si>
    <t>Molendreef 22 , 8972 Proven</t>
  </si>
  <si>
    <t>WKK-0416 Eurofreez</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</si>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</sst>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33021</v>
      </c>
      <c r="B6" s="397"/>
      <c r="C6" s="398"/>
    </row>
    <row r="7" spans="1:7" s="395" customFormat="1" ht="15.75" customHeight="1">
      <c r="A7" s="399" t="str">
        <f>txtMunicipality</f>
        <v>POPERINGE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0.20389969412380227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0.20389969412380227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33021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8089</v>
      </c>
      <c r="C9" s="338">
        <v>8479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9586</v>
      </c>
    </row>
    <row r="15" spans="1:6">
      <c r="A15" s="1286" t="s">
        <v>184</v>
      </c>
      <c r="B15" s="335">
        <v>105</v>
      </c>
    </row>
    <row r="16" spans="1:6">
      <c r="A16" s="1286" t="s">
        <v>6</v>
      </c>
      <c r="B16" s="335">
        <v>2640</v>
      </c>
    </row>
    <row r="17" spans="1:6">
      <c r="A17" s="1286" t="s">
        <v>7</v>
      </c>
      <c r="B17" s="335">
        <v>2444</v>
      </c>
    </row>
    <row r="18" spans="1:6">
      <c r="A18" s="1286" t="s">
        <v>8</v>
      </c>
      <c r="B18" s="335">
        <v>3143</v>
      </c>
    </row>
    <row r="19" spans="1:6">
      <c r="A19" s="1286" t="s">
        <v>9</v>
      </c>
      <c r="B19" s="335">
        <v>2963</v>
      </c>
    </row>
    <row r="20" spans="1:6">
      <c r="A20" s="1286" t="s">
        <v>10</v>
      </c>
      <c r="B20" s="335">
        <v>2092</v>
      </c>
    </row>
    <row r="21" spans="1:6">
      <c r="A21" s="1286" t="s">
        <v>11</v>
      </c>
      <c r="B21" s="335">
        <v>50935</v>
      </c>
    </row>
    <row r="22" spans="1:6">
      <c r="A22" s="1286" t="s">
        <v>12</v>
      </c>
      <c r="B22" s="335">
        <v>89120</v>
      </c>
    </row>
    <row r="23" spans="1:6">
      <c r="A23" s="1286" t="s">
        <v>13</v>
      </c>
      <c r="B23" s="335">
        <v>1665</v>
      </c>
    </row>
    <row r="24" spans="1:6">
      <c r="A24" s="1286" t="s">
        <v>14</v>
      </c>
      <c r="B24" s="335">
        <v>535</v>
      </c>
    </row>
    <row r="25" spans="1:6">
      <c r="A25" s="1286" t="s">
        <v>15</v>
      </c>
      <c r="B25" s="335">
        <v>12168</v>
      </c>
    </row>
    <row r="26" spans="1:6">
      <c r="A26" s="1286" t="s">
        <v>16</v>
      </c>
      <c r="B26" s="335">
        <v>569</v>
      </c>
    </row>
    <row r="27" spans="1:6">
      <c r="A27" s="1286" t="s">
        <v>17</v>
      </c>
      <c r="B27" s="335">
        <v>32</v>
      </c>
    </row>
    <row r="28" spans="1:6" s="341" customFormat="1">
      <c r="A28" s="1287" t="s">
        <v>18</v>
      </c>
      <c r="B28" s="1287">
        <v>416861</v>
      </c>
    </row>
    <row r="29" spans="1:6">
      <c r="A29" s="1287" t="s">
        <v>942</v>
      </c>
      <c r="B29" s="1287">
        <v>186</v>
      </c>
      <c r="C29" s="341"/>
      <c r="D29" s="341"/>
      <c r="E29" s="341"/>
      <c r="F29" s="341"/>
    </row>
    <row r="30" spans="1:6">
      <c r="A30" s="1282" t="s">
        <v>943</v>
      </c>
      <c r="B30" s="1282">
        <v>63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135645.37749324401</v>
      </c>
      <c r="E38" s="335">
        <v>4</v>
      </c>
      <c r="F38" s="335">
        <v>10985.4637217788</v>
      </c>
    </row>
    <row r="39" spans="1:6">
      <c r="A39" s="1286" t="s">
        <v>30</v>
      </c>
      <c r="B39" s="1286" t="s">
        <v>31</v>
      </c>
      <c r="C39" s="335">
        <v>5012</v>
      </c>
      <c r="D39" s="335">
        <v>80158589.903746203</v>
      </c>
      <c r="E39" s="335">
        <v>7696</v>
      </c>
      <c r="F39" s="335">
        <v>28449428.269592401</v>
      </c>
    </row>
    <row r="40" spans="1:6">
      <c r="A40" s="1286" t="s">
        <v>30</v>
      </c>
      <c r="B40" s="1286" t="s">
        <v>29</v>
      </c>
      <c r="C40" s="335">
        <v>0</v>
      </c>
      <c r="D40" s="335">
        <v>0</v>
      </c>
      <c r="E40" s="335">
        <v>0</v>
      </c>
      <c r="F40" s="335">
        <v>0</v>
      </c>
    </row>
    <row r="41" spans="1:6">
      <c r="A41" s="1286" t="s">
        <v>32</v>
      </c>
      <c r="B41" s="1286" t="s">
        <v>33</v>
      </c>
      <c r="C41" s="335">
        <v>78</v>
      </c>
      <c r="D41" s="335">
        <v>5323719.5317058098</v>
      </c>
      <c r="E41" s="335">
        <v>249</v>
      </c>
      <c r="F41" s="335">
        <v>3910896.15449744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16</v>
      </c>
      <c r="F44" s="335">
        <v>581698.04597747303</v>
      </c>
    </row>
    <row r="45" spans="1:6">
      <c r="A45" s="1286" t="s">
        <v>32</v>
      </c>
      <c r="B45" s="1286" t="s">
        <v>37</v>
      </c>
      <c r="C45" s="335">
        <v>0</v>
      </c>
      <c r="D45" s="335">
        <v>0</v>
      </c>
      <c r="E45" s="335">
        <v>3</v>
      </c>
      <c r="F45" s="335">
        <v>18646.679744575202</v>
      </c>
    </row>
    <row r="46" spans="1:6">
      <c r="A46" s="1286" t="s">
        <v>32</v>
      </c>
      <c r="B46" s="1286" t="s">
        <v>38</v>
      </c>
      <c r="C46" s="335">
        <v>0</v>
      </c>
      <c r="D46" s="335">
        <v>0</v>
      </c>
      <c r="E46" s="335">
        <v>0</v>
      </c>
      <c r="F46" s="335">
        <v>0</v>
      </c>
    </row>
    <row r="47" spans="1:6">
      <c r="A47" s="1286" t="s">
        <v>32</v>
      </c>
      <c r="B47" s="1286" t="s">
        <v>39</v>
      </c>
      <c r="C47" s="335">
        <v>3</v>
      </c>
      <c r="D47" s="335">
        <v>20723.312171590202</v>
      </c>
      <c r="E47" s="335">
        <v>7</v>
      </c>
      <c r="F47" s="335">
        <v>124634.52948727401</v>
      </c>
    </row>
    <row r="48" spans="1:6">
      <c r="A48" s="1286" t="s">
        <v>32</v>
      </c>
      <c r="B48" s="1286" t="s">
        <v>29</v>
      </c>
      <c r="C48" s="335">
        <v>50</v>
      </c>
      <c r="D48" s="335">
        <v>69746590.068089098</v>
      </c>
      <c r="E48" s="335">
        <v>73</v>
      </c>
      <c r="F48" s="335">
        <v>41347368.961087301</v>
      </c>
    </row>
    <row r="49" spans="1:6">
      <c r="A49" s="1286" t="s">
        <v>32</v>
      </c>
      <c r="B49" s="1286" t="s">
        <v>40</v>
      </c>
      <c r="C49" s="335">
        <v>0</v>
      </c>
      <c r="D49" s="335">
        <v>0</v>
      </c>
      <c r="E49" s="335">
        <v>0</v>
      </c>
      <c r="F49" s="335">
        <v>0</v>
      </c>
    </row>
    <row r="50" spans="1:6">
      <c r="A50" s="1286" t="s">
        <v>32</v>
      </c>
      <c r="B50" s="1286" t="s">
        <v>41</v>
      </c>
      <c r="C50" s="335">
        <v>11</v>
      </c>
      <c r="D50" s="335">
        <v>825838.45884914196</v>
      </c>
      <c r="E50" s="335">
        <v>27</v>
      </c>
      <c r="F50" s="335">
        <v>940197.24566704803</v>
      </c>
    </row>
    <row r="51" spans="1:6">
      <c r="A51" s="1286" t="s">
        <v>42</v>
      </c>
      <c r="B51" s="1286" t="s">
        <v>43</v>
      </c>
      <c r="C51" s="335">
        <v>16</v>
      </c>
      <c r="D51" s="335">
        <v>360390.08222812798</v>
      </c>
      <c r="E51" s="335">
        <v>334</v>
      </c>
      <c r="F51" s="335">
        <v>9524869.3046568092</v>
      </c>
    </row>
    <row r="52" spans="1:6">
      <c r="A52" s="1286" t="s">
        <v>42</v>
      </c>
      <c r="B52" s="1286" t="s">
        <v>29</v>
      </c>
      <c r="C52" s="335">
        <v>8</v>
      </c>
      <c r="D52" s="335">
        <v>179029.18031171701</v>
      </c>
      <c r="E52" s="335">
        <v>20</v>
      </c>
      <c r="F52" s="335">
        <v>496292.90475491597</v>
      </c>
    </row>
    <row r="53" spans="1:6">
      <c r="A53" s="1286" t="s">
        <v>44</v>
      </c>
      <c r="B53" s="1286" t="s">
        <v>45</v>
      </c>
      <c r="C53" s="335">
        <v>135</v>
      </c>
      <c r="D53" s="335">
        <v>3326047.43447997</v>
      </c>
      <c r="E53" s="335">
        <v>242</v>
      </c>
      <c r="F53" s="335">
        <v>1474704.7806818001</v>
      </c>
    </row>
    <row r="54" spans="1:6">
      <c r="A54" s="1286" t="s">
        <v>46</v>
      </c>
      <c r="B54" s="1286" t="s">
        <v>47</v>
      </c>
      <c r="C54" s="335">
        <v>0</v>
      </c>
      <c r="D54" s="335">
        <v>0</v>
      </c>
      <c r="E54" s="335">
        <v>2</v>
      </c>
      <c r="F54" s="335">
        <v>1505934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32</v>
      </c>
      <c r="D57" s="335">
        <v>1367972.8025912901</v>
      </c>
      <c r="E57" s="335">
        <v>76</v>
      </c>
      <c r="F57" s="335">
        <v>1390930.96224674</v>
      </c>
    </row>
    <row r="58" spans="1:6">
      <c r="A58" s="1286" t="s">
        <v>49</v>
      </c>
      <c r="B58" s="1286" t="s">
        <v>51</v>
      </c>
      <c r="C58" s="335">
        <v>26</v>
      </c>
      <c r="D58" s="335">
        <v>2412121.30769228</v>
      </c>
      <c r="E58" s="335">
        <v>45</v>
      </c>
      <c r="F58" s="335">
        <v>1889436.4596869701</v>
      </c>
    </row>
    <row r="59" spans="1:6">
      <c r="A59" s="1286" t="s">
        <v>49</v>
      </c>
      <c r="B59" s="1286" t="s">
        <v>52</v>
      </c>
      <c r="C59" s="335">
        <v>129</v>
      </c>
      <c r="D59" s="335">
        <v>4735171.1200173404</v>
      </c>
      <c r="E59" s="335">
        <v>266</v>
      </c>
      <c r="F59" s="335">
        <v>5766789.1975283297</v>
      </c>
    </row>
    <row r="60" spans="1:6">
      <c r="A60" s="1286" t="s">
        <v>49</v>
      </c>
      <c r="B60" s="1286" t="s">
        <v>53</v>
      </c>
      <c r="C60" s="335">
        <v>80</v>
      </c>
      <c r="D60" s="335">
        <v>5637942.7095831204</v>
      </c>
      <c r="E60" s="335">
        <v>111</v>
      </c>
      <c r="F60" s="335">
        <v>3519963.47891112</v>
      </c>
    </row>
    <row r="61" spans="1:6">
      <c r="A61" s="1286" t="s">
        <v>49</v>
      </c>
      <c r="B61" s="1286" t="s">
        <v>54</v>
      </c>
      <c r="C61" s="335">
        <v>132</v>
      </c>
      <c r="D61" s="335">
        <v>6163067.6731628496</v>
      </c>
      <c r="E61" s="335">
        <v>268</v>
      </c>
      <c r="F61" s="335">
        <v>4036543.5970375701</v>
      </c>
    </row>
    <row r="62" spans="1:6">
      <c r="A62" s="1286" t="s">
        <v>49</v>
      </c>
      <c r="B62" s="1286" t="s">
        <v>55</v>
      </c>
      <c r="C62" s="335">
        <v>7</v>
      </c>
      <c r="D62" s="335">
        <v>581375.43419607403</v>
      </c>
      <c r="E62" s="335">
        <v>18</v>
      </c>
      <c r="F62" s="335">
        <v>423203.27158630599</v>
      </c>
    </row>
    <row r="63" spans="1:6">
      <c r="A63" s="1286" t="s">
        <v>49</v>
      </c>
      <c r="B63" s="1286" t="s">
        <v>29</v>
      </c>
      <c r="C63" s="335">
        <v>126</v>
      </c>
      <c r="D63" s="335">
        <v>11476621.426313801</v>
      </c>
      <c r="E63" s="335">
        <v>168</v>
      </c>
      <c r="F63" s="335">
        <v>3251694.47039147</v>
      </c>
    </row>
    <row r="64" spans="1:6">
      <c r="A64" s="1286" t="s">
        <v>56</v>
      </c>
      <c r="B64" s="1286" t="s">
        <v>57</v>
      </c>
      <c r="C64" s="335">
        <v>0</v>
      </c>
      <c r="D64" s="335">
        <v>0</v>
      </c>
      <c r="E64" s="335">
        <v>0</v>
      </c>
      <c r="F64" s="335">
        <v>0</v>
      </c>
    </row>
    <row r="65" spans="1:6">
      <c r="A65" s="1286" t="s">
        <v>56</v>
      </c>
      <c r="B65" s="1286" t="s">
        <v>29</v>
      </c>
      <c r="C65" s="335">
        <v>3</v>
      </c>
      <c r="D65" s="335">
        <v>91148.483266504802</v>
      </c>
      <c r="E65" s="335">
        <v>4</v>
      </c>
      <c r="F65" s="335">
        <v>48587.304179114901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319640.16804973601</v>
      </c>
      <c r="E68" s="335">
        <v>20</v>
      </c>
      <c r="F68" s="335">
        <v>280009.59948161501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54450746</v>
      </c>
      <c r="E73" s="335">
        <v>56093958.905515887</v>
      </c>
    </row>
    <row r="74" spans="1:6">
      <c r="A74" s="1286" t="s">
        <v>64</v>
      </c>
      <c r="B74" s="1286" t="s">
        <v>772</v>
      </c>
      <c r="C74" s="1297" t="s">
        <v>766</v>
      </c>
      <c r="D74" s="335">
        <v>8310678.8823376857</v>
      </c>
      <c r="E74" s="335">
        <v>8815966.3593399655</v>
      </c>
    </row>
    <row r="75" spans="1:6">
      <c r="A75" s="1286" t="s">
        <v>65</v>
      </c>
      <c r="B75" s="1286" t="s">
        <v>771</v>
      </c>
      <c r="C75" s="1297" t="s">
        <v>767</v>
      </c>
      <c r="D75" s="335">
        <v>21546736</v>
      </c>
      <c r="E75" s="335">
        <v>22264036.876817748</v>
      </c>
    </row>
    <row r="76" spans="1:6">
      <c r="A76" s="1286" t="s">
        <v>65</v>
      </c>
      <c r="B76" s="1286" t="s">
        <v>772</v>
      </c>
      <c r="C76" s="1297" t="s">
        <v>768</v>
      </c>
      <c r="D76" s="335">
        <v>1103773.8823376852</v>
      </c>
      <c r="E76" s="335">
        <v>1175146.8366069696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196270.23532462958</v>
      </c>
      <c r="C83" s="335">
        <v>185249.3350391041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4077.790088595566</v>
      </c>
    </row>
    <row r="92" spans="1:6">
      <c r="A92" s="1282" t="s">
        <v>69</v>
      </c>
      <c r="B92" s="338">
        <v>4299.1326386484479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3399</v>
      </c>
    </row>
    <row r="98" spans="1:6">
      <c r="A98" s="1286" t="s">
        <v>72</v>
      </c>
      <c r="B98" s="335">
        <v>0</v>
      </c>
    </row>
    <row r="99" spans="1:6">
      <c r="A99" s="1286" t="s">
        <v>73</v>
      </c>
      <c r="B99" s="335">
        <v>252</v>
      </c>
    </row>
    <row r="100" spans="1:6">
      <c r="A100" s="1286" t="s">
        <v>74</v>
      </c>
      <c r="B100" s="335">
        <v>404</v>
      </c>
    </row>
    <row r="101" spans="1:6">
      <c r="A101" s="1286" t="s">
        <v>75</v>
      </c>
      <c r="B101" s="335">
        <v>235</v>
      </c>
    </row>
    <row r="102" spans="1:6">
      <c r="A102" s="1286" t="s">
        <v>76</v>
      </c>
      <c r="B102" s="335">
        <v>124</v>
      </c>
    </row>
    <row r="103" spans="1:6">
      <c r="A103" s="1286" t="s">
        <v>77</v>
      </c>
      <c r="B103" s="335">
        <v>575</v>
      </c>
    </row>
    <row r="104" spans="1:6">
      <c r="A104" s="1286" t="s">
        <v>78</v>
      </c>
      <c r="B104" s="335">
        <v>2396</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7</v>
      </c>
    </row>
    <row r="124" spans="1:6">
      <c r="A124" s="1282" t="s">
        <v>89</v>
      </c>
      <c r="B124" s="335">
        <v>2</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86</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113107.62139133111</v>
      </c>
      <c r="C3" s="44" t="s">
        <v>170</v>
      </c>
      <c r="D3" s="44"/>
      <c r="E3" s="157"/>
      <c r="F3" s="44"/>
      <c r="G3" s="44"/>
      <c r="H3" s="44"/>
      <c r="I3" s="44"/>
      <c r="J3" s="44"/>
      <c r="K3" s="97"/>
    </row>
    <row r="4" spans="1:11">
      <c r="A4" s="365" t="s">
        <v>171</v>
      </c>
      <c r="B4" s="50">
        <f>IF(ISERROR('SEAP template'!B78),0,'SEAP template'!B78)</f>
        <v>8751.9227272440148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0.20389969412380227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535.71428571428578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1505.934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1505.934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0.20389969412380227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307.05948197063401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28449.428269592401</v>
      </c>
      <c r="C5" s="18">
        <f>IF(ISERROR('Eigen informatie GS &amp; warmtenet'!B57),0,'Eigen informatie GS &amp; warmtenet'!B57)</f>
        <v>0</v>
      </c>
      <c r="D5" s="31">
        <f>(SUM(HH_hh_gas_kWh,HH_rest_gas_kWh)/1000)*0.902</f>
        <v>72303.048093179081</v>
      </c>
      <c r="E5" s="18">
        <f>B46*B57</f>
        <v>10607.758670390978</v>
      </c>
      <c r="F5" s="18">
        <f>B51*B62</f>
        <v>18640.372734704295</v>
      </c>
      <c r="G5" s="19"/>
      <c r="H5" s="18"/>
      <c r="I5" s="18"/>
      <c r="J5" s="18">
        <f>B50*B61+C50*C61</f>
        <v>13055.138686458722</v>
      </c>
      <c r="K5" s="18"/>
      <c r="L5" s="18"/>
      <c r="M5" s="18"/>
      <c r="N5" s="18">
        <f>B48*B59+C48*C59</f>
        <v>32125.196059570426</v>
      </c>
      <c r="O5" s="18">
        <f>B69*B70*B71</f>
        <v>146.95333333333335</v>
      </c>
      <c r="P5" s="18">
        <f>B77*B78*B79/1000-B77*B78*B79/1000/B80</f>
        <v>324.13333333333333</v>
      </c>
    </row>
    <row r="6" spans="1:16">
      <c r="A6" s="17" t="s">
        <v>639</v>
      </c>
      <c r="B6" s="780">
        <f>kWh_PV_kleiner_dan_10kW</f>
        <v>4077.790088595566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32527.218358187965</v>
      </c>
      <c r="C8" s="22">
        <f>C5</f>
        <v>0</v>
      </c>
      <c r="D8" s="22">
        <f>D5</f>
        <v>72303.048093179081</v>
      </c>
      <c r="E8" s="22">
        <f>E5</f>
        <v>10607.758670390978</v>
      </c>
      <c r="F8" s="22">
        <f>F5</f>
        <v>18640.372734704295</v>
      </c>
      <c r="G8" s="22"/>
      <c r="H8" s="22"/>
      <c r="I8" s="22"/>
      <c r="J8" s="22">
        <f>J5</f>
        <v>13055.138686458722</v>
      </c>
      <c r="K8" s="22"/>
      <c r="L8" s="22">
        <f>L5</f>
        <v>0</v>
      </c>
      <c r="M8" s="22">
        <f>M5</f>
        <v>0</v>
      </c>
      <c r="N8" s="22">
        <f>N5</f>
        <v>32125.196059570426</v>
      </c>
      <c r="O8" s="22">
        <f>O5</f>
        <v>146.95333333333335</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0.20389969412380227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6632.289873932652</v>
      </c>
      <c r="C12" s="24">
        <f ca="1">C10*C8</f>
        <v>0</v>
      </c>
      <c r="D12" s="24">
        <f>D8*D10</f>
        <v>14605.215714822176</v>
      </c>
      <c r="E12" s="24">
        <f>E10*E8</f>
        <v>2407.961218178752</v>
      </c>
      <c r="F12" s="24">
        <f>F10*F8</f>
        <v>4976.9795201660472</v>
      </c>
      <c r="G12" s="24"/>
      <c r="H12" s="24"/>
      <c r="I12" s="24"/>
      <c r="J12" s="24">
        <f>J10*J8</f>
        <v>4621.519095006387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3399</v>
      </c>
      <c r="C18" s="169" t="s">
        <v>111</v>
      </c>
      <c r="D18" s="231"/>
      <c r="E18" s="16"/>
    </row>
    <row r="19" spans="1:7">
      <c r="A19" s="174" t="s">
        <v>72</v>
      </c>
      <c r="B19" s="38">
        <f>aantalw2001_ander</f>
        <v>0</v>
      </c>
      <c r="C19" s="169" t="s">
        <v>111</v>
      </c>
      <c r="D19" s="232"/>
      <c r="E19" s="16"/>
    </row>
    <row r="20" spans="1:7">
      <c r="A20" s="174" t="s">
        <v>73</v>
      </c>
      <c r="B20" s="38">
        <f>aantalw2001_propaan</f>
        <v>252</v>
      </c>
      <c r="C20" s="170">
        <f>IF(ISERROR(B20/SUM($B$20,$B$21,$B$22)*100),0,B20/SUM($B$20,$B$21,$B$22)*100)</f>
        <v>28.28282828282828</v>
      </c>
      <c r="D20" s="232"/>
      <c r="E20" s="16"/>
    </row>
    <row r="21" spans="1:7">
      <c r="A21" s="174" t="s">
        <v>74</v>
      </c>
      <c r="B21" s="38">
        <f>aantalw2001_elektriciteit</f>
        <v>404</v>
      </c>
      <c r="C21" s="170">
        <f>IF(ISERROR(B21/SUM($B$20,$B$21,$B$22)*100),0,B21/SUM($B$20,$B$21,$B$22)*100)</f>
        <v>45.342312008978674</v>
      </c>
      <c r="D21" s="232"/>
      <c r="E21" s="16"/>
    </row>
    <row r="22" spans="1:7">
      <c r="A22" s="174" t="s">
        <v>75</v>
      </c>
      <c r="B22" s="38">
        <f>aantalw2001_hout</f>
        <v>235</v>
      </c>
      <c r="C22" s="170">
        <f>IF(ISERROR(B22/SUM($B$20,$B$21,$B$22)*100),0,B22/SUM($B$20,$B$21,$B$22)*100)</f>
        <v>26.374859708193043</v>
      </c>
      <c r="D22" s="232"/>
      <c r="E22" s="16"/>
    </row>
    <row r="23" spans="1:7">
      <c r="A23" s="174" t="s">
        <v>76</v>
      </c>
      <c r="B23" s="38">
        <f>aantalw2001_niet_gespec</f>
        <v>124</v>
      </c>
      <c r="C23" s="169" t="s">
        <v>111</v>
      </c>
      <c r="D23" s="231"/>
      <c r="E23" s="16"/>
    </row>
    <row r="24" spans="1:7">
      <c r="A24" s="174" t="s">
        <v>77</v>
      </c>
      <c r="B24" s="38">
        <f>aantalw2001_steenkool</f>
        <v>575</v>
      </c>
      <c r="C24" s="169" t="s">
        <v>111</v>
      </c>
      <c r="D24" s="232"/>
      <c r="E24" s="16"/>
    </row>
    <row r="25" spans="1:7">
      <c r="A25" s="174" t="s">
        <v>78</v>
      </c>
      <c r="B25" s="38">
        <f>aantalw2001_stookolie</f>
        <v>2396</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8089</v>
      </c>
      <c r="C28" s="37"/>
      <c r="D28" s="231"/>
    </row>
    <row r="29" spans="1:7" s="16" customFormat="1">
      <c r="A29" s="233" t="s">
        <v>666</v>
      </c>
      <c r="B29" s="38">
        <f>SUM(HH_hh_gas_aantal,HH_rest_gas_aantal)</f>
        <v>5012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5012</v>
      </c>
      <c r="C32" s="170">
        <f>IF(ISERROR(B32/SUM($B$32,$B$34,$B$35,$B$36,$B$38,$B$39)*100),0,B32/SUM($B$32,$B$34,$B$35,$B$36,$B$38,$B$39)*100)</f>
        <v>62.091179385530225</v>
      </c>
      <c r="D32" s="236"/>
      <c r="G32" s="16"/>
    </row>
    <row r="33" spans="1:7">
      <c r="A33" s="174" t="s">
        <v>72</v>
      </c>
      <c r="B33" s="35" t="s">
        <v>111</v>
      </c>
      <c r="C33" s="170"/>
      <c r="D33" s="236"/>
      <c r="G33" s="16"/>
    </row>
    <row r="34" spans="1:7">
      <c r="A34" s="174" t="s">
        <v>73</v>
      </c>
      <c r="B34" s="34">
        <f>IF((($B$28-$B$32-$B$39-$B$77-$B$38)*C20/100)&lt;0,0,($B$28-$B$32-$B$39-$B$77-$B$38)*C20/100)</f>
        <v>481.37373737373724</v>
      </c>
      <c r="C34" s="170">
        <f>IF(ISERROR(B34/SUM($B$32,$B$34,$B$35,$B$36,$B$38,$B$39)*100),0,B34/SUM($B$32,$B$34,$B$35,$B$36,$B$38,$B$39)*100)</f>
        <v>5.9635002152346042</v>
      </c>
      <c r="D34" s="236"/>
      <c r="G34" s="16"/>
    </row>
    <row r="35" spans="1:7">
      <c r="A35" s="174" t="s">
        <v>74</v>
      </c>
      <c r="B35" s="34">
        <f>IF((($B$28-$B$32-$B$39-$B$77-$B$38)*C21/100)&lt;0,0,($B$28-$B$32-$B$39-$B$77-$B$38)*C21/100)</f>
        <v>771.72615039281698</v>
      </c>
      <c r="C35" s="170">
        <f>IF(ISERROR(B35/SUM($B$32,$B$34,$B$35,$B$36,$B$38,$B$39)*100),0,B35/SUM($B$32,$B$34,$B$35,$B$36,$B$38,$B$39)*100)</f>
        <v>9.5605320910903977</v>
      </c>
      <c r="D35" s="236"/>
      <c r="G35" s="16"/>
    </row>
    <row r="36" spans="1:7">
      <c r="A36" s="174" t="s">
        <v>75</v>
      </c>
      <c r="B36" s="34">
        <f>IF((($B$28-$B$32-$B$39-$B$77-$B$38)*C22/100)&lt;0,0,($B$28-$B$32-$B$39-$B$77-$B$38)*C22/100)</f>
        <v>448.90011223344555</v>
      </c>
      <c r="C36" s="170">
        <f>IF(ISERROR(B36/SUM($B$32,$B$34,$B$35,$B$36,$B$38,$B$39)*100),0,B36/SUM($B$32,$B$34,$B$35,$B$36,$B$38,$B$39)*100)</f>
        <v>5.5612005975402079</v>
      </c>
      <c r="D36" s="236"/>
      <c r="G36" s="16"/>
    </row>
    <row r="37" spans="1:7">
      <c r="A37" s="174" t="s">
        <v>76</v>
      </c>
      <c r="B37" s="35" t="s">
        <v>111</v>
      </c>
      <c r="C37" s="170"/>
      <c r="D37" s="176"/>
      <c r="G37" s="16"/>
    </row>
    <row r="38" spans="1:7">
      <c r="A38" s="174" t="s">
        <v>77</v>
      </c>
      <c r="B38" s="34">
        <f>IF((B24-(B29-B18)*0.1)&lt;0,0,B24-(B29-B18)*0.1)</f>
        <v>413.7</v>
      </c>
      <c r="C38" s="170">
        <f>IF(ISERROR(B38/SUM($B$32,$B$34,$B$35,$B$36,$B$38,$B$39)*100),0,B38/SUM($B$32,$B$34,$B$35,$B$36,$B$38,$B$39)*100)</f>
        <v>5.1251238850346876</v>
      </c>
      <c r="D38" s="237"/>
      <c r="G38" s="16"/>
    </row>
    <row r="39" spans="1:7">
      <c r="A39" s="174" t="s">
        <v>78</v>
      </c>
      <c r="B39" s="34">
        <f>IF((B25-(B29-B18))&lt;0,0,B25-(B29-B18)*0.9)</f>
        <v>944.3</v>
      </c>
      <c r="C39" s="170">
        <f>IF(ISERROR(B39/SUM($B$32,$B$34,$B$35,$B$36,$B$38,$B$39)*100),0,B39/SUM($B$32,$B$34,$B$35,$B$36,$B$38,$B$39)*100)</f>
        <v>11.698463825569871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5012</v>
      </c>
      <c r="C44" s="35" t="s">
        <v>111</v>
      </c>
      <c r="D44" s="177"/>
    </row>
    <row r="45" spans="1:7">
      <c r="A45" s="174" t="s">
        <v>72</v>
      </c>
      <c r="B45" s="34" t="str">
        <f t="shared" si="0"/>
        <v>-</v>
      </c>
      <c r="C45" s="35" t="s">
        <v>111</v>
      </c>
      <c r="D45" s="177"/>
    </row>
    <row r="46" spans="1:7">
      <c r="A46" s="174" t="s">
        <v>73</v>
      </c>
      <c r="B46" s="34">
        <f t="shared" si="0"/>
        <v>481.37373737373724</v>
      </c>
      <c r="C46" s="35" t="s">
        <v>111</v>
      </c>
      <c r="D46" s="177"/>
    </row>
    <row r="47" spans="1:7">
      <c r="A47" s="174" t="s">
        <v>74</v>
      </c>
      <c r="B47" s="34">
        <f t="shared" si="0"/>
        <v>771.72615039281698</v>
      </c>
      <c r="C47" s="35" t="s">
        <v>111</v>
      </c>
      <c r="D47" s="177"/>
    </row>
    <row r="48" spans="1:7">
      <c r="A48" s="174" t="s">
        <v>75</v>
      </c>
      <c r="B48" s="34">
        <f t="shared" si="0"/>
        <v>448.90011223344555</v>
      </c>
      <c r="C48" s="34">
        <f>B48*10</f>
        <v>4489.0011223344554</v>
      </c>
      <c r="D48" s="237"/>
    </row>
    <row r="49" spans="1:6">
      <c r="A49" s="174" t="s">
        <v>76</v>
      </c>
      <c r="B49" s="34" t="str">
        <f t="shared" si="0"/>
        <v>-</v>
      </c>
      <c r="C49" s="35" t="s">
        <v>111</v>
      </c>
      <c r="D49" s="237"/>
    </row>
    <row r="50" spans="1:6">
      <c r="A50" s="174" t="s">
        <v>77</v>
      </c>
      <c r="B50" s="34">
        <f t="shared" si="0"/>
        <v>413.7</v>
      </c>
      <c r="C50" s="34">
        <f>B50*2</f>
        <v>827.4</v>
      </c>
      <c r="D50" s="237"/>
    </row>
    <row r="51" spans="1:6">
      <c r="A51" s="174" t="s">
        <v>78</v>
      </c>
      <c r="B51" s="34">
        <f t="shared" si="0"/>
        <v>944.3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20278.561437388507</v>
      </c>
      <c r="C5" s="18">
        <f>IF(ISERROR('Eigen informatie GS &amp; warmtenet'!B58),0,'Eigen informatie GS &amp; warmtenet'!B58)</f>
        <v>0</v>
      </c>
      <c r="D5" s="31">
        <f>SUM(D6:D12)</f>
        <v>29201.593771148193</v>
      </c>
      <c r="E5" s="18">
        <f>SUM(E6:E12)</f>
        <v>261.94853929535861</v>
      </c>
      <c r="F5" s="18">
        <f>SUM(F6:F12)</f>
        <v>4328.6366967533177</v>
      </c>
      <c r="G5" s="19"/>
      <c r="H5" s="18"/>
      <c r="I5" s="18"/>
      <c r="J5" s="18">
        <f>SUM(J6:J12)</f>
        <v>0</v>
      </c>
      <c r="K5" s="18"/>
      <c r="L5" s="18"/>
      <c r="M5" s="18"/>
      <c r="N5" s="18">
        <f>SUM(N6:N12)</f>
        <v>1063.7781896745275</v>
      </c>
      <c r="O5" s="18">
        <f>B38*B39*B40</f>
        <v>0</v>
      </c>
      <c r="P5" s="18">
        <f>B46*B47*B48/1000-B46*B47*B48/1000/B49</f>
        <v>0</v>
      </c>
      <c r="R5" s="33"/>
    </row>
    <row r="6" spans="1:18">
      <c r="A6" s="33" t="s">
        <v>54</v>
      </c>
      <c r="B6" s="38">
        <f>B26</f>
        <v>4036.5435970375702</v>
      </c>
      <c r="C6" s="34"/>
      <c r="D6" s="38">
        <f>IF(ISERROR(TER_kantoor_gas_kWh/1000),0,TER_kantoor_gas_kWh/1000)*0.902</f>
        <v>5559.0870411928909</v>
      </c>
      <c r="E6" s="34">
        <f>$C$26*'E Balans VL '!I12/100/3.6*1000000</f>
        <v>6.6247861526391247</v>
      </c>
      <c r="F6" s="34">
        <f>$C$26*('E Balans VL '!L12+'E Balans VL '!N12)/100/3.6*1000000</f>
        <v>475.81351537744979</v>
      </c>
      <c r="G6" s="35"/>
      <c r="H6" s="34"/>
      <c r="I6" s="34"/>
      <c r="J6" s="34">
        <f>$C$26*('E Balans VL '!D12+'E Balans VL '!E12)/100/3.6*1000000</f>
        <v>0</v>
      </c>
      <c r="K6" s="34"/>
      <c r="L6" s="34"/>
      <c r="M6" s="34"/>
      <c r="N6" s="34">
        <f>$C$26*'E Balans VL '!Y12/100/3.6*1000000</f>
        <v>0.81556451918264661</v>
      </c>
      <c r="O6" s="34"/>
      <c r="P6" s="34"/>
      <c r="R6" s="33"/>
    </row>
    <row r="7" spans="1:18">
      <c r="A7" s="33" t="s">
        <v>53</v>
      </c>
      <c r="B7" s="38">
        <f t="shared" ref="B7:B12" si="0">B27</f>
        <v>3519.9634789111201</v>
      </c>
      <c r="C7" s="34"/>
      <c r="D7" s="38">
        <f>IF(ISERROR(TER_horeca_gas_kWh/1000),0,TER_horeca_gas_kWh/1000)*0.902</f>
        <v>5085.4243240439746</v>
      </c>
      <c r="E7" s="34">
        <f>$C$27*'E Balans VL '!I9/100/3.6*1000000</f>
        <v>182.66063355469461</v>
      </c>
      <c r="F7" s="34">
        <f>$C$27*('E Balans VL '!L9+'E Balans VL '!N9)/100/3.6*1000000</f>
        <v>803.25821998567653</v>
      </c>
      <c r="G7" s="35"/>
      <c r="H7" s="34"/>
      <c r="I7" s="34"/>
      <c r="J7" s="34">
        <f>$C$27*('E Balans VL '!D9+'E Balans VL '!E9)/100/3.6*1000000</f>
        <v>0</v>
      </c>
      <c r="K7" s="34"/>
      <c r="L7" s="34"/>
      <c r="M7" s="34"/>
      <c r="N7" s="34">
        <f>$C$27*'E Balans VL '!Y9/100/3.6*1000000</f>
        <v>0.371706530279375</v>
      </c>
      <c r="O7" s="34"/>
      <c r="P7" s="34"/>
      <c r="R7" s="33"/>
    </row>
    <row r="8" spans="1:18">
      <c r="A8" s="6" t="s">
        <v>52</v>
      </c>
      <c r="B8" s="38">
        <f t="shared" si="0"/>
        <v>5766.7891975283301</v>
      </c>
      <c r="C8" s="34"/>
      <c r="D8" s="38">
        <f>IF(ISERROR(TER_handel_gas_kWh/1000),0,TER_handel_gas_kWh/1000)*0.902</f>
        <v>4271.1243502556408</v>
      </c>
      <c r="E8" s="34">
        <f>$C$28*'E Balans VL '!I13/100/3.6*1000000</f>
        <v>31.054868472896</v>
      </c>
      <c r="F8" s="34">
        <f>$C$28*('E Balans VL '!L13+'E Balans VL '!N13)/100/3.6*1000000</f>
        <v>1176.019690915917</v>
      </c>
      <c r="G8" s="35"/>
      <c r="H8" s="34"/>
      <c r="I8" s="34"/>
      <c r="J8" s="34">
        <f>$C$28*('E Balans VL '!D13+'E Balans VL '!E13)/100/3.6*1000000</f>
        <v>0</v>
      </c>
      <c r="K8" s="34"/>
      <c r="L8" s="34"/>
      <c r="M8" s="34"/>
      <c r="N8" s="34">
        <f>$C$28*'E Balans VL '!Y13/100/3.6*1000000</f>
        <v>28.675197325184335</v>
      </c>
      <c r="O8" s="34"/>
      <c r="P8" s="34"/>
      <c r="R8" s="33"/>
    </row>
    <row r="9" spans="1:18">
      <c r="A9" s="33" t="s">
        <v>51</v>
      </c>
      <c r="B9" s="38">
        <f t="shared" si="0"/>
        <v>1889.43645968697</v>
      </c>
      <c r="C9" s="34"/>
      <c r="D9" s="38">
        <f>IF(ISERROR(TER_gezond_gas_kWh/1000),0,TER_gezond_gas_kWh/1000)*0.902</f>
        <v>2175.7334195384365</v>
      </c>
      <c r="E9" s="34">
        <f>$C$29*'E Balans VL '!I10/100/3.6*1000000</f>
        <v>1.8724530181322825</v>
      </c>
      <c r="F9" s="34">
        <f>$C$29*('E Balans VL '!L10+'E Balans VL '!N10)/100/3.6*1000000</f>
        <v>655.57999059478607</v>
      </c>
      <c r="G9" s="35"/>
      <c r="H9" s="34"/>
      <c r="I9" s="34"/>
      <c r="J9" s="34">
        <f>$C$29*('E Balans VL '!D10+'E Balans VL '!E10)/100/3.6*1000000</f>
        <v>0</v>
      </c>
      <c r="K9" s="34"/>
      <c r="L9" s="34"/>
      <c r="M9" s="34"/>
      <c r="N9" s="34">
        <f>$C$29*'E Balans VL '!Y10/100/3.6*1000000</f>
        <v>16.281110292026856</v>
      </c>
      <c r="O9" s="34"/>
      <c r="P9" s="34"/>
      <c r="R9" s="33"/>
    </row>
    <row r="10" spans="1:18">
      <c r="A10" s="33" t="s">
        <v>50</v>
      </c>
      <c r="B10" s="38">
        <f t="shared" si="0"/>
        <v>1390.9309622467399</v>
      </c>
      <c r="C10" s="34"/>
      <c r="D10" s="38">
        <f>IF(ISERROR(TER_ander_gas_kWh/1000),0,TER_ander_gas_kWh/1000)*0.902</f>
        <v>1233.9114679373436</v>
      </c>
      <c r="E10" s="34">
        <f>$C$30*'E Balans VL '!I14/100/3.6*1000000</f>
        <v>11.379205407672583</v>
      </c>
      <c r="F10" s="34">
        <f>$C$30*('E Balans VL '!L14+'E Balans VL '!N14)/100/3.6*1000000</f>
        <v>406.65158621617547</v>
      </c>
      <c r="G10" s="35"/>
      <c r="H10" s="34"/>
      <c r="I10" s="34"/>
      <c r="J10" s="34">
        <f>$C$30*('E Balans VL '!D14+'E Balans VL '!E14)/100/3.6*1000000</f>
        <v>0</v>
      </c>
      <c r="K10" s="34"/>
      <c r="L10" s="34"/>
      <c r="M10" s="34"/>
      <c r="N10" s="34">
        <f>$C$30*'E Balans VL '!Y14/100/3.6*1000000</f>
        <v>802.38465965341879</v>
      </c>
      <c r="O10" s="34"/>
      <c r="P10" s="34"/>
      <c r="R10" s="33"/>
    </row>
    <row r="11" spans="1:18">
      <c r="A11" s="33" t="s">
        <v>55</v>
      </c>
      <c r="B11" s="38">
        <f t="shared" si="0"/>
        <v>423.20327158630596</v>
      </c>
      <c r="C11" s="34"/>
      <c r="D11" s="38">
        <f>IF(ISERROR(TER_onderwijs_gas_kWh/1000),0,TER_onderwijs_gas_kWh/1000)*0.902</f>
        <v>524.40064164485875</v>
      </c>
      <c r="E11" s="34">
        <f>$C$31*'E Balans VL '!I11/100/3.6*1000000</f>
        <v>0.2608446398869233</v>
      </c>
      <c r="F11" s="34">
        <f>$C$31*('E Balans VL '!L11+'E Balans VL '!N11)/100/3.6*1000000</f>
        <v>163.6172384323022</v>
      </c>
      <c r="G11" s="35"/>
      <c r="H11" s="34"/>
      <c r="I11" s="34"/>
      <c r="J11" s="34">
        <f>$C$31*('E Balans VL '!D11+'E Balans VL '!E11)/100/3.6*1000000</f>
        <v>0</v>
      </c>
      <c r="K11" s="34"/>
      <c r="L11" s="34"/>
      <c r="M11" s="34"/>
      <c r="N11" s="34">
        <f>$C$31*'E Balans VL '!Y11/100/3.6*1000000</f>
        <v>1.3765895519455262</v>
      </c>
      <c r="O11" s="34"/>
      <c r="P11" s="34"/>
      <c r="R11" s="33"/>
    </row>
    <row r="12" spans="1:18">
      <c r="A12" s="33" t="s">
        <v>260</v>
      </c>
      <c r="B12" s="38">
        <f t="shared" si="0"/>
        <v>3251.6944703914701</v>
      </c>
      <c r="C12" s="34"/>
      <c r="D12" s="38">
        <f>IF(ISERROR(TER_rest_gas_kWh/1000),0,TER_rest_gas_kWh/1000)*0.902</f>
        <v>10351.912526535049</v>
      </c>
      <c r="E12" s="34">
        <f>$C$32*'E Balans VL '!I8/100/3.6*1000000</f>
        <v>28.095748049437049</v>
      </c>
      <c r="F12" s="34">
        <f>$C$32*('E Balans VL '!L8+'E Balans VL '!N8)/100/3.6*1000000</f>
        <v>647.69645523101121</v>
      </c>
      <c r="G12" s="35"/>
      <c r="H12" s="34"/>
      <c r="I12" s="34"/>
      <c r="J12" s="34">
        <f>$C$32*('E Balans VL '!D8+'E Balans VL '!E8)/100/3.6*1000000</f>
        <v>0</v>
      </c>
      <c r="K12" s="34"/>
      <c r="L12" s="34"/>
      <c r="M12" s="34"/>
      <c r="N12" s="34">
        <f>$C$32*'E Balans VL '!Y8/100/3.6*1000000</f>
        <v>213.87336180249008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20278.561437388507</v>
      </c>
      <c r="C16" s="22">
        <f t="shared" ca="1" si="1"/>
        <v>0</v>
      </c>
      <c r="D16" s="22">
        <f t="shared" ca="1" si="1"/>
        <v>29201.593771148193</v>
      </c>
      <c r="E16" s="22">
        <f t="shared" si="1"/>
        <v>261.94853929535861</v>
      </c>
      <c r="F16" s="22">
        <f t="shared" ca="1" si="1"/>
        <v>4328.6366967533177</v>
      </c>
      <c r="G16" s="22">
        <f t="shared" si="1"/>
        <v>0</v>
      </c>
      <c r="H16" s="22">
        <f t="shared" si="1"/>
        <v>0</v>
      </c>
      <c r="I16" s="22">
        <f t="shared" si="1"/>
        <v>0</v>
      </c>
      <c r="J16" s="22">
        <f t="shared" si="1"/>
        <v>0</v>
      </c>
      <c r="K16" s="22">
        <f t="shared" si="1"/>
        <v>0</v>
      </c>
      <c r="L16" s="22">
        <f t="shared" ca="1" si="1"/>
        <v>0</v>
      </c>
      <c r="M16" s="22">
        <f t="shared" si="1"/>
        <v>0</v>
      </c>
      <c r="N16" s="22">
        <f t="shared" ca="1" si="1"/>
        <v>1063.7781896745275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0.20389969412380227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4134.792474354249</v>
      </c>
      <c r="C20" s="24">
        <f t="shared" ref="C20:P20" ca="1" si="2">C16*C18</f>
        <v>0</v>
      </c>
      <c r="D20" s="24">
        <f t="shared" ca="1" si="2"/>
        <v>5898.7219417719352</v>
      </c>
      <c r="E20" s="24">
        <f t="shared" si="2"/>
        <v>59.462318420046408</v>
      </c>
      <c r="F20" s="24">
        <f t="shared" ca="1" si="2"/>
        <v>1155.7459980331359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4036.5435970375702</v>
      </c>
      <c r="C26" s="40">
        <f>IF(ISERROR(B26*3.6/1000000/'E Balans VL '!Z12*100),0,B26*3.6/1000000/'E Balans VL '!Z12*100)</f>
        <v>8.5773656706325682E-2</v>
      </c>
      <c r="D26" s="240" t="s">
        <v>707</v>
      </c>
      <c r="F26" s="6"/>
    </row>
    <row r="27" spans="1:18">
      <c r="A27" s="234" t="s">
        <v>53</v>
      </c>
      <c r="B27" s="34">
        <f>IF(ISERROR(TER_horeca_ele_kWh/1000),0,TER_horeca_ele_kWh/1000)</f>
        <v>3519.9634789111201</v>
      </c>
      <c r="C27" s="40">
        <f>IF(ISERROR(B27*3.6/1000000/'E Balans VL '!Z9*100),0,B27*3.6/1000000/'E Balans VL '!Z9*100)</f>
        <v>0.27704834554984475</v>
      </c>
      <c r="D27" s="240" t="s">
        <v>707</v>
      </c>
      <c r="F27" s="6"/>
    </row>
    <row r="28" spans="1:18">
      <c r="A28" s="174" t="s">
        <v>52</v>
      </c>
      <c r="B28" s="34">
        <f>IF(ISERROR(TER_handel_ele_kWh/1000),0,TER_handel_ele_kWh/1000)</f>
        <v>5766.7891975283301</v>
      </c>
      <c r="C28" s="40">
        <f>IF(ISERROR(B28*3.6/1000000/'E Balans VL '!Z13*100),0,B28*3.6/1000000/'E Balans VL '!Z13*100)</f>
        <v>0.16153085168650222</v>
      </c>
      <c r="D28" s="240" t="s">
        <v>707</v>
      </c>
      <c r="F28" s="6"/>
    </row>
    <row r="29" spans="1:18">
      <c r="A29" s="234" t="s">
        <v>51</v>
      </c>
      <c r="B29" s="34">
        <f>IF(ISERROR(TER_gezond_ele_kWh/1000),0,TER_gezond_ele_kWh/1000)</f>
        <v>1889.43645968697</v>
      </c>
      <c r="C29" s="40">
        <f>IF(ISERROR(B29*3.6/1000000/'E Balans VL '!Z10*100),0,B29*3.6/1000000/'E Balans VL '!Z10*100)</f>
        <v>0.24171605745145694</v>
      </c>
      <c r="D29" s="240" t="s">
        <v>707</v>
      </c>
      <c r="F29" s="6"/>
    </row>
    <row r="30" spans="1:18">
      <c r="A30" s="234" t="s">
        <v>50</v>
      </c>
      <c r="B30" s="34">
        <f>IF(ISERROR(TER_ander_ele_kWh/1000),0,TER_ander_ele_kWh/1000)</f>
        <v>1390.9309622467399</v>
      </c>
      <c r="C30" s="40">
        <f>IF(ISERROR(B30*3.6/1000000/'E Balans VL '!Z14*100),0,B30*3.6/1000000/'E Balans VL '!Z14*100)</f>
        <v>0.10402991578702943</v>
      </c>
      <c r="D30" s="240" t="s">
        <v>707</v>
      </c>
      <c r="F30" s="6"/>
    </row>
    <row r="31" spans="1:18">
      <c r="A31" s="234" t="s">
        <v>55</v>
      </c>
      <c r="B31" s="34">
        <f>IF(ISERROR(TER_onderwijs_ele_kWh/1000),0,TER_onderwijs_ele_kWh/1000)</f>
        <v>423.20327158630596</v>
      </c>
      <c r="C31" s="40">
        <f>IF(ISERROR(B31*3.6/1000000/'E Balans VL '!Z11*100),0,B31*3.6/1000000/'E Balans VL '!Z11*100)</f>
        <v>8.9359918983805658E-2</v>
      </c>
      <c r="D31" s="240" t="s">
        <v>707</v>
      </c>
    </row>
    <row r="32" spans="1:18">
      <c r="A32" s="234" t="s">
        <v>260</v>
      </c>
      <c r="B32" s="34">
        <f>IF(ISERROR(TER_rest_ele_kWh/1000),0,TER_rest_ele_kWh/1000)</f>
        <v>3251.6944703914701</v>
      </c>
      <c r="C32" s="40">
        <f>IF(ISERROR(B32*3.6/1000000/'E Balans VL '!Z8*100),0,B32*3.6/1000000/'E Balans VL '!Z8*100)</f>
        <v>2.6787238144650741E-2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46923.441616461118</v>
      </c>
      <c r="C5" s="18">
        <f>IF(ISERROR('Eigen informatie GS &amp; warmtenet'!B59),0,'Eigen informatie GS &amp; warmtenet'!B59)</f>
        <v>0</v>
      </c>
      <c r="D5" s="31">
        <f>SUM(D6:D15)</f>
        <v>68477.017976475705</v>
      </c>
      <c r="E5" s="18">
        <f>SUM(E6:E15)</f>
        <v>413.40022030739885</v>
      </c>
      <c r="F5" s="18">
        <f>SUM(F6:F15)</f>
        <v>11460.33845448186</v>
      </c>
      <c r="G5" s="19"/>
      <c r="H5" s="18"/>
      <c r="I5" s="18"/>
      <c r="J5" s="18">
        <f>SUM(J6:J15)</f>
        <v>217.96220813620633</v>
      </c>
      <c r="K5" s="18"/>
      <c r="L5" s="18"/>
      <c r="M5" s="18"/>
      <c r="N5" s="18">
        <f>SUM(N6:N15)</f>
        <v>1627.3482066884196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581.69804597747304</v>
      </c>
      <c r="C8" s="34"/>
      <c r="D8" s="38">
        <f>IF( ISERROR(IND_metaal_Gas_kWH/1000),0,IND_metaal_Gas_kWH/1000)*0.902</f>
        <v>0</v>
      </c>
      <c r="E8" s="34">
        <f>C30*'E Balans VL '!I18/100/3.6*1000000</f>
        <v>5.2974192755424117</v>
      </c>
      <c r="F8" s="34">
        <f>C30*'E Balans VL '!L18/100/3.6*1000000+C30*'E Balans VL '!N18/100/3.6*1000000</f>
        <v>76.721554773594761</v>
      </c>
      <c r="G8" s="35"/>
      <c r="H8" s="34"/>
      <c r="I8" s="34"/>
      <c r="J8" s="41">
        <f>C30*'E Balans VL '!D18/100/3.6*1000000+C30*'E Balans VL '!E18/100/3.6*1000000</f>
        <v>9.539003358880759</v>
      </c>
      <c r="K8" s="34"/>
      <c r="L8" s="34"/>
      <c r="M8" s="34"/>
      <c r="N8" s="34">
        <f>C30*'E Balans VL '!Y18/100/3.6*1000000</f>
        <v>1.9990651050685724</v>
      </c>
      <c r="O8" s="34"/>
      <c r="P8" s="34"/>
      <c r="R8" s="33"/>
    </row>
    <row r="9" spans="1:18">
      <c r="A9" s="6" t="s">
        <v>33</v>
      </c>
      <c r="B9" s="38">
        <f t="shared" si="0"/>
        <v>3910.89615449744</v>
      </c>
      <c r="C9" s="34"/>
      <c r="D9" s="38">
        <f>IF( ISERROR(IND_andere_gas_kWh/1000),0,IND_andere_gas_kWh/1000)*0.902</f>
        <v>4801.9950175986405</v>
      </c>
      <c r="E9" s="34">
        <f>C31*'E Balans VL '!I19/100/3.6*1000000</f>
        <v>22.605564208085124</v>
      </c>
      <c r="F9" s="34">
        <f>C31*'E Balans VL '!L19/100/3.6*1000000+C31*'E Balans VL '!N19/100/3.6*1000000</f>
        <v>3111.3060757789181</v>
      </c>
      <c r="G9" s="35"/>
      <c r="H9" s="34"/>
      <c r="I9" s="34"/>
      <c r="J9" s="41">
        <f>C31*'E Balans VL '!D19/100/3.6*1000000+C31*'E Balans VL '!E19/100/3.6*1000000</f>
        <v>0.36992733521138788</v>
      </c>
      <c r="K9" s="34"/>
      <c r="L9" s="34"/>
      <c r="M9" s="34"/>
      <c r="N9" s="34">
        <f>C31*'E Balans VL '!Y19/100/3.6*1000000</f>
        <v>296.30956849631178</v>
      </c>
      <c r="O9" s="34"/>
      <c r="P9" s="34"/>
      <c r="R9" s="33"/>
    </row>
    <row r="10" spans="1:18">
      <c r="A10" s="6" t="s">
        <v>41</v>
      </c>
      <c r="B10" s="38">
        <f t="shared" si="0"/>
        <v>940.19724566704804</v>
      </c>
      <c r="C10" s="34"/>
      <c r="D10" s="38">
        <f>IF( ISERROR(IND_voed_gas_kWh/1000),0,IND_voed_gas_kWh/1000)*0.902</f>
        <v>744.906289881926</v>
      </c>
      <c r="E10" s="34">
        <f>C32*'E Balans VL '!I20/100/3.6*1000000</f>
        <v>9.2445986231674198</v>
      </c>
      <c r="F10" s="34">
        <f>C32*'E Balans VL '!L20/100/3.6*1000000+C32*'E Balans VL '!N20/100/3.6*1000000</f>
        <v>104.42117619163133</v>
      </c>
      <c r="G10" s="35"/>
      <c r="H10" s="34"/>
      <c r="I10" s="34"/>
      <c r="J10" s="41">
        <f>C32*'E Balans VL '!D20/100/3.6*1000000+C32*'E Balans VL '!E20/100/3.6*1000000</f>
        <v>3.7057441690403936E-3</v>
      </c>
      <c r="K10" s="34"/>
      <c r="L10" s="34"/>
      <c r="M10" s="34"/>
      <c r="N10" s="34">
        <f>C32*'E Balans VL '!Y20/100/3.6*1000000</f>
        <v>13.922109631289864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18.646679744575202</v>
      </c>
      <c r="C12" s="34"/>
      <c r="D12" s="38">
        <f>IF( ISERROR(IND_min_gas_kWh/1000),0,IND_min_gas_kWh/1000)*0.902</f>
        <v>0</v>
      </c>
      <c r="E12" s="34">
        <f>C34*'E Balans VL '!I22/100/3.6*1000000</f>
        <v>0.47272651319980563</v>
      </c>
      <c r="F12" s="34">
        <f>C34*'E Balans VL '!L22/100/3.6*1000000+C34*'E Balans VL '!N22/100/3.6*1000000</f>
        <v>5.1596012800095705</v>
      </c>
      <c r="G12" s="35"/>
      <c r="H12" s="34"/>
      <c r="I12" s="34"/>
      <c r="J12" s="41">
        <f>C34*'E Balans VL '!D22/100/3.6*1000000+C34*'E Balans VL '!E22/100/3.6*1000000</f>
        <v>0.12314642010077036</v>
      </c>
      <c r="K12" s="34"/>
      <c r="L12" s="34"/>
      <c r="M12" s="34"/>
      <c r="N12" s="34">
        <f>C34*'E Balans VL '!Y22/100/3.6*1000000</f>
        <v>0</v>
      </c>
      <c r="O12" s="34"/>
      <c r="P12" s="34"/>
      <c r="R12" s="33"/>
    </row>
    <row r="13" spans="1:18">
      <c r="A13" s="6" t="s">
        <v>39</v>
      </c>
      <c r="B13" s="38">
        <f t="shared" si="0"/>
        <v>124.63452948727401</v>
      </c>
      <c r="C13" s="34"/>
      <c r="D13" s="38">
        <f>IF( ISERROR(IND_papier_gas_kWh/1000),0,IND_papier_gas_kWh/1000)*0.902</f>
        <v>18.692427578774364</v>
      </c>
      <c r="E13" s="34">
        <f>C35*'E Balans VL '!I23/100/3.6*1000000</f>
        <v>4.2452327827210592</v>
      </c>
      <c r="F13" s="34">
        <f>C35*'E Balans VL '!L23/100/3.6*1000000+C35*'E Balans VL '!N23/100/3.6*1000000</f>
        <v>20.586699161855243</v>
      </c>
      <c r="G13" s="35"/>
      <c r="H13" s="34"/>
      <c r="I13" s="34"/>
      <c r="J13" s="41">
        <f>C35*'E Balans VL '!D23/100/3.6*1000000+C35*'E Balans VL '!E23/100/3.6*1000000</f>
        <v>0</v>
      </c>
      <c r="K13" s="34"/>
      <c r="L13" s="34"/>
      <c r="M13" s="34"/>
      <c r="N13" s="34">
        <f>C35*'E Balans VL '!Y23/100/3.6*1000000</f>
        <v>45.862164412342032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41347.368961087304</v>
      </c>
      <c r="C15" s="34"/>
      <c r="D15" s="38">
        <f>IF( ISERROR(IND_rest_gas_kWh/1000),0,IND_rest_gas_kWh/1000)*0.902</f>
        <v>62911.42424141636</v>
      </c>
      <c r="E15" s="34">
        <f>C37*'E Balans VL '!I15/100/3.6*1000000</f>
        <v>371.53467890468301</v>
      </c>
      <c r="F15" s="34">
        <f>C37*'E Balans VL '!L15/100/3.6*1000000+C37*'E Balans VL '!N15/100/3.6*1000000</f>
        <v>8142.1433472958515</v>
      </c>
      <c r="G15" s="35"/>
      <c r="H15" s="34"/>
      <c r="I15" s="34"/>
      <c r="J15" s="41">
        <f>C37*'E Balans VL '!D15/100/3.6*1000000+C37*'E Balans VL '!E15/100/3.6*1000000</f>
        <v>207.92642527784437</v>
      </c>
      <c r="K15" s="34"/>
      <c r="L15" s="34"/>
      <c r="M15" s="34"/>
      <c r="N15" s="34">
        <f>C37*'E Balans VL '!Y15/100/3.6*1000000</f>
        <v>1269.2552990434074</v>
      </c>
      <c r="O15" s="34"/>
      <c r="P15" s="34"/>
      <c r="R15" s="33"/>
    </row>
    <row r="16" spans="1:18">
      <c r="A16" s="17" t="s">
        <v>502</v>
      </c>
      <c r="B16" s="250">
        <f>'lokale energieproductie'!N90+'lokale energieproductie'!N59</f>
        <v>375</v>
      </c>
      <c r="C16" s="250">
        <f>'lokale energieproductie'!O90+'lokale energieproductie'!O59</f>
        <v>535.71428571428578</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-1071.4285714285716</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47298.441616461118</v>
      </c>
      <c r="C18" s="22">
        <f>C5+C16</f>
        <v>535.71428571428578</v>
      </c>
      <c r="D18" s="22">
        <f>MAX((D5+D16),0)</f>
        <v>68477.017976475705</v>
      </c>
      <c r="E18" s="22">
        <f>MAX((E5+E16),0)</f>
        <v>413.40022030739885</v>
      </c>
      <c r="F18" s="22">
        <f>MAX((F5+F16),0)</f>
        <v>11460.33845448186</v>
      </c>
      <c r="G18" s="22"/>
      <c r="H18" s="22"/>
      <c r="I18" s="22"/>
      <c r="J18" s="22">
        <f>MAX((J5+J16),0)</f>
        <v>217.96220813620633</v>
      </c>
      <c r="K18" s="22"/>
      <c r="L18" s="22">
        <f>MAX((L5+L16),0)</f>
        <v>0</v>
      </c>
      <c r="M18" s="22"/>
      <c r="N18" s="22">
        <f>MAX((N5+N16),0)</f>
        <v>555.91963525984806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0.20389969412380227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9644.1377781289411</v>
      </c>
      <c r="C22" s="24">
        <f ca="1">C18*C20</f>
        <v>0</v>
      </c>
      <c r="D22" s="24">
        <f>D18*D20</f>
        <v>13832.357631248093</v>
      </c>
      <c r="E22" s="24">
        <f>E18*E20</f>
        <v>93.841850009779549</v>
      </c>
      <c r="F22" s="24">
        <f>F18*F20</f>
        <v>3059.9103673466566</v>
      </c>
      <c r="G22" s="24"/>
      <c r="H22" s="24"/>
      <c r="I22" s="24"/>
      <c r="J22" s="24">
        <f>J18*J20</f>
        <v>77.158621680217038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581.69804597747304</v>
      </c>
      <c r="C30" s="40">
        <f>IF(ISERROR(B30*3.6/1000000/'E Balans VL '!Z18*100),0,B30*3.6/1000000/'E Balans VL '!Z18*100)</f>
        <v>3.2367606477186235E-2</v>
      </c>
      <c r="D30" s="240" t="s">
        <v>707</v>
      </c>
    </row>
    <row r="31" spans="1:18">
      <c r="A31" s="6" t="s">
        <v>33</v>
      </c>
      <c r="B31" s="38">
        <f>IF( ISERROR(IND_ander_ele_kWh/1000),0,IND_ander_ele_kWh/1000)</f>
        <v>3910.89615449744</v>
      </c>
      <c r="C31" s="40">
        <f>IF(ISERROR(B31*3.6/1000000/'E Balans VL '!Z19*100),0,B31*3.6/1000000/'E Balans VL '!Z19*100)</f>
        <v>0.181807291025392</v>
      </c>
      <c r="D31" s="240" t="s">
        <v>707</v>
      </c>
    </row>
    <row r="32" spans="1:18">
      <c r="A32" s="174" t="s">
        <v>41</v>
      </c>
      <c r="B32" s="38">
        <f>IF( ISERROR(IND_voed_ele_kWh/1000),0,IND_voed_ele_kWh/1000)</f>
        <v>940.19724566704804</v>
      </c>
      <c r="C32" s="40">
        <f>IF(ISERROR(B32*3.6/1000000/'E Balans VL '!Z20*100),0,B32*3.6/1000000/'E Balans VL '!Z20*100)</f>
        <v>3.3234073825577144E-2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18.646679744575202</v>
      </c>
      <c r="C34" s="40">
        <f>IF(ISERROR(B34*3.6/1000000/'E Balans VL '!Z22*100),0,B34*3.6/1000000/'E Balans VL '!Z22*100)</f>
        <v>3.7474568100551277E-3</v>
      </c>
      <c r="D34" s="240" t="s">
        <v>707</v>
      </c>
    </row>
    <row r="35" spans="1:5">
      <c r="A35" s="174" t="s">
        <v>39</v>
      </c>
      <c r="B35" s="38">
        <f>IF( ISERROR(IND_papier_ele_kWh/1000),0,IND_papier_ele_kWh/1000)</f>
        <v>124.63452948727401</v>
      </c>
      <c r="C35" s="40">
        <f>IF(ISERROR(B35*3.6/1000000/'E Balans VL '!Z22*100),0,B35*3.6/1000000/'E Balans VL '!Z22*100)</f>
        <v>2.5048025851947289E-2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41347.368961087304</v>
      </c>
      <c r="C37" s="40">
        <f>IF(ISERROR(B37*3.6/1000000/'E Balans VL '!Z15*100),0,B37*3.6/1000000/'E Balans VL '!Z15*100)</f>
        <v>0.31223371495626911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10021.162209411725</v>
      </c>
      <c r="C5" s="18">
        <f>'Eigen informatie GS &amp; warmtenet'!B60</f>
        <v>0</v>
      </c>
      <c r="D5" s="31">
        <f>IF(ISERROR(SUM(LB_lb_gas_kWh,LB_rest_gas_kWh)/1000),0,SUM(LB_lb_gas_kWh,LB_rest_gas_kWh)/1000)*0.902</f>
        <v>486.55617481094009</v>
      </c>
      <c r="E5" s="18">
        <f>B17*'E Balans VL '!I25/3.6*1000000/100</f>
        <v>94.406062411591805</v>
      </c>
      <c r="F5" s="18">
        <f>B17*('E Balans VL '!L25/3.6*1000000+'E Balans VL '!N25/3.6*1000000)/100</f>
        <v>32702.378020971151</v>
      </c>
      <c r="G5" s="19"/>
      <c r="H5" s="18"/>
      <c r="I5" s="18"/>
      <c r="J5" s="18">
        <f>('E Balans VL '!D25+'E Balans VL '!E25)/3.6*1000000*landbouw!B17/100</f>
        <v>1239.6665082278537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10021.162209411725</v>
      </c>
      <c r="C8" s="22">
        <f>C5+C6</f>
        <v>0</v>
      </c>
      <c r="D8" s="22">
        <f>MAX((D5+D6),0)</f>
        <v>486.55617481094009</v>
      </c>
      <c r="E8" s="22">
        <f>MAX((E5+E6),0)</f>
        <v>94.406062411591805</v>
      </c>
      <c r="F8" s="22">
        <f>MAX((F5+F6),0)</f>
        <v>32702.378020971151</v>
      </c>
      <c r="G8" s="22"/>
      <c r="H8" s="22"/>
      <c r="I8" s="22"/>
      <c r="J8" s="22">
        <f>MAX((J5+J6),0)</f>
        <v>1239.6665082278537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0.20389969412380227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2043.3119092640572</v>
      </c>
      <c r="C12" s="24">
        <f ca="1">C8*C10</f>
        <v>0</v>
      </c>
      <c r="D12" s="24">
        <f>D8*D10</f>
        <v>98.28434731180991</v>
      </c>
      <c r="E12" s="24">
        <f>E8*E10</f>
        <v>21.430176167431341</v>
      </c>
      <c r="F12" s="24">
        <f>F8*F10</f>
        <v>8731.5349315992971</v>
      </c>
      <c r="G12" s="24"/>
      <c r="H12" s="24"/>
      <c r="I12" s="24"/>
      <c r="J12" s="24">
        <f>J8*J10</f>
        <v>438.84194391266016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1.3567052301012092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1186.4265004537401</v>
      </c>
      <c r="C26" s="250">
        <f>B26*'GWP N2O_CH4'!B5</f>
        <v>24914.956509528543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828.89860836667356</v>
      </c>
      <c r="C27" s="250">
        <f>B27*'GWP N2O_CH4'!B5</f>
        <v>17406.870775700143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17.855814799987819</v>
      </c>
      <c r="C28" s="250">
        <f>B28*'GWP N2O_CH4'!B4</f>
        <v>5535.3025879962242</v>
      </c>
      <c r="D28" s="51"/>
    </row>
    <row r="29" spans="1:4">
      <c r="A29" s="42" t="s">
        <v>277</v>
      </c>
      <c r="B29" s="250">
        <f>B34*'ha_N2O bodem landbouw'!B4</f>
        <v>52.870287491790513</v>
      </c>
      <c r="C29" s="250">
        <f>B29*'GWP N2O_CH4'!B4</f>
        <v>16389.789122455059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1.4273313252025377E-2</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5.7563611199700049E-6</v>
      </c>
      <c r="C5" s="447" t="s">
        <v>211</v>
      </c>
      <c r="D5" s="432">
        <f>SUM(D6:D11)</f>
        <v>1.7222266288453153E-5</v>
      </c>
      <c r="E5" s="432">
        <f>SUM(E6:E11)</f>
        <v>9.8583676057664715E-4</v>
      </c>
      <c r="F5" s="445" t="s">
        <v>211</v>
      </c>
      <c r="G5" s="432">
        <f>SUM(G6:G11)</f>
        <v>0.23090147420736806</v>
      </c>
      <c r="H5" s="432">
        <f>SUM(H6:H11)</f>
        <v>3.8030558828152872E-2</v>
      </c>
      <c r="I5" s="447" t="s">
        <v>211</v>
      </c>
      <c r="J5" s="447" t="s">
        <v>211</v>
      </c>
      <c r="K5" s="447" t="s">
        <v>211</v>
      </c>
      <c r="L5" s="447" t="s">
        <v>211</v>
      </c>
      <c r="M5" s="432">
        <f>SUM(M6:M11)</f>
        <v>1.2021773310259965E-2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4.1243229246432438E-6</v>
      </c>
      <c r="C6" s="433"/>
      <c r="D6" s="433">
        <f>vkm_2011_GW_PW*SUMIFS(TableVerdeelsleutelVkm[CNG],TableVerdeelsleutelVkm[Voertuigtype],"Lichte voertuigen")*SUMIFS(TableECFTransport[EnergieConsumptieFactor (PJ per km)],TableECFTransport[Index],CONCATENATE($A6,"_CNG_CNG"))</f>
        <v>1.0071665652453843E-5</v>
      </c>
      <c r="E6" s="435">
        <f>vkm_2011_GW_PW*SUMIFS(TableVerdeelsleutelVkm[LPG],TableVerdeelsleutelVkm[Voertuigtype],"Lichte voertuigen")*SUMIFS(TableECFTransport[EnergieConsumptieFactor (PJ per km)],TableECFTransport[Index],CONCATENATE($A6,"_LPG_LPG"))</f>
        <v>5.9699629090911074E-4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8.6302836602683522E-2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2.2617494038996697E-2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4.8776529952262527E-3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7.7268873111814629E-2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3.1174977840464331E-5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3.4423043903093961E-3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1.6320381953267611E-6</v>
      </c>
      <c r="C8" s="433"/>
      <c r="D8" s="435">
        <f>vkm_2011_NGW_PW*SUMIFS(TableVerdeelsleutelVkm[CNG],TableVerdeelsleutelVkm[Voertuigtype],"Lichte voertuigen")*SUMIFS(TableECFTransport[EnergieConsumptieFactor (PJ per km)],TableECFTransport[Index],CONCATENATE($A8,"_CNG_CNG"))</f>
        <v>7.1506006359993122E-6</v>
      </c>
      <c r="E8" s="435">
        <f>vkm_2011_NGW_PW*SUMIFS(TableVerdeelsleutelVkm[LPG],TableVerdeelsleutelVkm[Voertuigtype],"Lichte voertuigen")*SUMIFS(TableECFTransport[EnergieConsumptieFactor (PJ per km)],TableECFTransport[Index],CONCATENATE($A8,"_LPG_LPG"))</f>
        <v>3.8884046966753652E-4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5.3102124519443634E-2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1.5376891759083565E-2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3.0680129148127947E-3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1.422763997342631E-2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4.9980522321486407E-6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6.3380300991152229E-4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1.5989891999916681</v>
      </c>
      <c r="C14" s="22"/>
      <c r="D14" s="22">
        <f t="shared" ref="D14:M14" si="0">((D5)*10^9/3600)+D12</f>
        <v>4.7839628579036537</v>
      </c>
      <c r="E14" s="22">
        <f t="shared" si="0"/>
        <v>273.84354460462419</v>
      </c>
      <c r="F14" s="22"/>
      <c r="G14" s="22">
        <f t="shared" si="0"/>
        <v>64139.298390935575</v>
      </c>
      <c r="H14" s="22">
        <f t="shared" si="0"/>
        <v>10564.044118931353</v>
      </c>
      <c r="I14" s="22"/>
      <c r="J14" s="22"/>
      <c r="K14" s="22"/>
      <c r="L14" s="22"/>
      <c r="M14" s="22">
        <f t="shared" si="0"/>
        <v>3339.3814750722122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0.20389969412380227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0.32603340878556442</v>
      </c>
      <c r="C18" s="24"/>
      <c r="D18" s="24">
        <f t="shared" ref="D18:M18" si="1">D14*D16</f>
        <v>0.96636049729653817</v>
      </c>
      <c r="E18" s="24">
        <f t="shared" si="1"/>
        <v>62.162484625249689</v>
      </c>
      <c r="F18" s="24"/>
      <c r="G18" s="24">
        <f t="shared" si="1"/>
        <v>17125.192670379798</v>
      </c>
      <c r="H18" s="24">
        <f t="shared" si="1"/>
        <v>2630.4469856139071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2.5725666514550627E-3</v>
      </c>
      <c r="H50" s="323">
        <f t="shared" si="2"/>
        <v>0</v>
      </c>
      <c r="I50" s="323">
        <f t="shared" si="2"/>
        <v>0</v>
      </c>
      <c r="J50" s="323">
        <f t="shared" si="2"/>
        <v>0</v>
      </c>
      <c r="K50" s="323">
        <f t="shared" si="2"/>
        <v>0</v>
      </c>
      <c r="L50" s="323">
        <f t="shared" si="2"/>
        <v>0</v>
      </c>
      <c r="M50" s="323">
        <f t="shared" si="2"/>
        <v>1.1296564537953233E-4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2.5725666514550627E-3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1.1296564537953233E-4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714.60184762640631</v>
      </c>
      <c r="H54" s="22">
        <f t="shared" si="3"/>
        <v>0</v>
      </c>
      <c r="I54" s="22">
        <f t="shared" si="3"/>
        <v>0</v>
      </c>
      <c r="J54" s="22">
        <f t="shared" si="3"/>
        <v>0</v>
      </c>
      <c r="K54" s="22">
        <f t="shared" si="3"/>
        <v>0</v>
      </c>
      <c r="L54" s="22">
        <f t="shared" si="3"/>
        <v>0</v>
      </c>
      <c r="M54" s="22">
        <f t="shared" si="3"/>
        <v>31.379345938758981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0.20389969412380227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190.79869331625051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21784.495437388508</v>
      </c>
      <c r="D10" s="688">
        <f ca="1">tertiair!C16</f>
        <v>0</v>
      </c>
      <c r="E10" s="688">
        <f ca="1">tertiair!D16</f>
        <v>29201.593771148193</v>
      </c>
      <c r="F10" s="688">
        <f>tertiair!E16</f>
        <v>261.94853929535861</v>
      </c>
      <c r="G10" s="688">
        <f ca="1">tertiair!F16</f>
        <v>4328.6366967533177</v>
      </c>
      <c r="H10" s="688">
        <f>tertiair!G16</f>
        <v>0</v>
      </c>
      <c r="I10" s="688">
        <f>tertiair!H16</f>
        <v>0</v>
      </c>
      <c r="J10" s="688">
        <f>tertiair!I16</f>
        <v>0</v>
      </c>
      <c r="K10" s="688">
        <f>tertiair!J16</f>
        <v>0</v>
      </c>
      <c r="L10" s="688">
        <f>tertiair!K16</f>
        <v>0</v>
      </c>
      <c r="M10" s="688">
        <f ca="1">tertiair!L16</f>
        <v>0</v>
      </c>
      <c r="N10" s="688">
        <f>tertiair!M16</f>
        <v>0</v>
      </c>
      <c r="O10" s="688">
        <f ca="1">tertiair!N16</f>
        <v>1063.7781896745275</v>
      </c>
      <c r="P10" s="688">
        <f>tertiair!O16</f>
        <v>0</v>
      </c>
      <c r="Q10" s="689">
        <f>tertiair!P16</f>
        <v>0</v>
      </c>
      <c r="R10" s="691">
        <f ca="1">SUM(C10:Q10)</f>
        <v>56640.452634259906</v>
      </c>
      <c r="S10" s="68"/>
    </row>
    <row r="11" spans="1:19" s="457" customFormat="1">
      <c r="A11" s="803" t="s">
        <v>225</v>
      </c>
      <c r="B11" s="808"/>
      <c r="C11" s="688">
        <f>huishoudens!B8</f>
        <v>32527.218358187965</v>
      </c>
      <c r="D11" s="688">
        <f>huishoudens!C8</f>
        <v>0</v>
      </c>
      <c r="E11" s="688">
        <f>huishoudens!D8</f>
        <v>72303.048093179081</v>
      </c>
      <c r="F11" s="688">
        <f>huishoudens!E8</f>
        <v>10607.758670390978</v>
      </c>
      <c r="G11" s="688">
        <f>huishoudens!F8</f>
        <v>18640.372734704295</v>
      </c>
      <c r="H11" s="688">
        <f>huishoudens!G8</f>
        <v>0</v>
      </c>
      <c r="I11" s="688">
        <f>huishoudens!H8</f>
        <v>0</v>
      </c>
      <c r="J11" s="688">
        <f>huishoudens!I8</f>
        <v>0</v>
      </c>
      <c r="K11" s="688">
        <f>huishoudens!J8</f>
        <v>13055.138686458722</v>
      </c>
      <c r="L11" s="688">
        <f>huishoudens!K8</f>
        <v>0</v>
      </c>
      <c r="M11" s="688">
        <f>huishoudens!L8</f>
        <v>0</v>
      </c>
      <c r="N11" s="688">
        <f>huishoudens!M8</f>
        <v>0</v>
      </c>
      <c r="O11" s="688">
        <f>huishoudens!N8</f>
        <v>32125.196059570426</v>
      </c>
      <c r="P11" s="688">
        <f>huishoudens!O8</f>
        <v>146.95333333333335</v>
      </c>
      <c r="Q11" s="689">
        <f>huishoudens!P8</f>
        <v>324.13333333333333</v>
      </c>
      <c r="R11" s="691">
        <f>SUM(C11:Q11)</f>
        <v>179729.81926915812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47298.441616461118</v>
      </c>
      <c r="D13" s="688">
        <f>industrie!C18</f>
        <v>535.71428571428578</v>
      </c>
      <c r="E13" s="688">
        <f>industrie!D18</f>
        <v>68477.017976475705</v>
      </c>
      <c r="F13" s="688">
        <f>industrie!E18</f>
        <v>413.40022030739885</v>
      </c>
      <c r="G13" s="688">
        <f>industrie!F18</f>
        <v>11460.33845448186</v>
      </c>
      <c r="H13" s="688">
        <f>industrie!G18</f>
        <v>0</v>
      </c>
      <c r="I13" s="688">
        <f>industrie!H18</f>
        <v>0</v>
      </c>
      <c r="J13" s="688">
        <f>industrie!I18</f>
        <v>0</v>
      </c>
      <c r="K13" s="688">
        <f>industrie!J18</f>
        <v>217.96220813620633</v>
      </c>
      <c r="L13" s="688">
        <f>industrie!K18</f>
        <v>0</v>
      </c>
      <c r="M13" s="688">
        <f>industrie!L18</f>
        <v>0</v>
      </c>
      <c r="N13" s="688">
        <f>industrie!M18</f>
        <v>0</v>
      </c>
      <c r="O13" s="688">
        <f>industrie!N18</f>
        <v>555.91963525984806</v>
      </c>
      <c r="P13" s="688">
        <f>industrie!O18</f>
        <v>0</v>
      </c>
      <c r="Q13" s="689">
        <f>industrie!P18</f>
        <v>0</v>
      </c>
      <c r="R13" s="691">
        <f>SUM(C13:Q13)</f>
        <v>128958.79439683643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101610.15541203759</v>
      </c>
      <c r="D16" s="721">
        <f t="shared" ref="D16:R16" ca="1" si="0">SUM(D9:D15)</f>
        <v>535.71428571428578</v>
      </c>
      <c r="E16" s="721">
        <f t="shared" ca="1" si="0"/>
        <v>169981.65984080298</v>
      </c>
      <c r="F16" s="721">
        <f t="shared" si="0"/>
        <v>11283.107429993737</v>
      </c>
      <c r="G16" s="721">
        <f t="shared" ca="1" si="0"/>
        <v>34429.347885939475</v>
      </c>
      <c r="H16" s="721">
        <f t="shared" si="0"/>
        <v>0</v>
      </c>
      <c r="I16" s="721">
        <f t="shared" si="0"/>
        <v>0</v>
      </c>
      <c r="J16" s="721">
        <f t="shared" si="0"/>
        <v>0</v>
      </c>
      <c r="K16" s="721">
        <f t="shared" si="0"/>
        <v>13273.100894594929</v>
      </c>
      <c r="L16" s="721">
        <f t="shared" si="0"/>
        <v>0</v>
      </c>
      <c r="M16" s="721">
        <f t="shared" ca="1" si="0"/>
        <v>0</v>
      </c>
      <c r="N16" s="721">
        <f t="shared" si="0"/>
        <v>0</v>
      </c>
      <c r="O16" s="721">
        <f t="shared" ca="1" si="0"/>
        <v>33744.893884504796</v>
      </c>
      <c r="P16" s="721">
        <f t="shared" si="0"/>
        <v>146.95333333333335</v>
      </c>
      <c r="Q16" s="721">
        <f t="shared" si="0"/>
        <v>324.13333333333333</v>
      </c>
      <c r="R16" s="721">
        <f t="shared" ca="1" si="0"/>
        <v>365329.06630025443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714.60184762640631</v>
      </c>
      <c r="I19" s="688">
        <f>transport!H54</f>
        <v>0</v>
      </c>
      <c r="J19" s="688">
        <f>transport!I54</f>
        <v>0</v>
      </c>
      <c r="K19" s="688">
        <f>transport!J54</f>
        <v>0</v>
      </c>
      <c r="L19" s="688">
        <f>transport!K54</f>
        <v>0</v>
      </c>
      <c r="M19" s="688">
        <f>transport!L54</f>
        <v>0</v>
      </c>
      <c r="N19" s="688">
        <f>transport!M54</f>
        <v>31.379345938758981</v>
      </c>
      <c r="O19" s="688">
        <f>transport!N54</f>
        <v>0</v>
      </c>
      <c r="P19" s="688">
        <f>transport!O54</f>
        <v>0</v>
      </c>
      <c r="Q19" s="689">
        <f>transport!P54</f>
        <v>0</v>
      </c>
      <c r="R19" s="691">
        <f>SUM(C19:Q19)</f>
        <v>745.98119356516531</v>
      </c>
      <c r="S19" s="68"/>
    </row>
    <row r="20" spans="1:19" s="457" customFormat="1">
      <c r="A20" s="803" t="s">
        <v>307</v>
      </c>
      <c r="B20" s="808"/>
      <c r="C20" s="688">
        <f>transport!B14</f>
        <v>1.5989891999916681</v>
      </c>
      <c r="D20" s="688">
        <f>transport!C14</f>
        <v>0</v>
      </c>
      <c r="E20" s="688">
        <f>transport!D14</f>
        <v>4.7839628579036537</v>
      </c>
      <c r="F20" s="688">
        <f>transport!E14</f>
        <v>273.84354460462419</v>
      </c>
      <c r="G20" s="688">
        <f>transport!F14</f>
        <v>0</v>
      </c>
      <c r="H20" s="688">
        <f>transport!G14</f>
        <v>64139.298390935575</v>
      </c>
      <c r="I20" s="688">
        <f>transport!H14</f>
        <v>10564.044118931353</v>
      </c>
      <c r="J20" s="688">
        <f>transport!I14</f>
        <v>0</v>
      </c>
      <c r="K20" s="688">
        <f>transport!J14</f>
        <v>0</v>
      </c>
      <c r="L20" s="688">
        <f>transport!K14</f>
        <v>0</v>
      </c>
      <c r="M20" s="688">
        <f>transport!L14</f>
        <v>0</v>
      </c>
      <c r="N20" s="688">
        <f>transport!M14</f>
        <v>3339.3814750722122</v>
      </c>
      <c r="O20" s="688">
        <f>transport!N14</f>
        <v>0</v>
      </c>
      <c r="P20" s="688">
        <f>transport!O14</f>
        <v>0</v>
      </c>
      <c r="Q20" s="689">
        <f>transport!P14</f>
        <v>0</v>
      </c>
      <c r="R20" s="691">
        <f>SUM(C20:Q20)</f>
        <v>78322.950481601656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1.5989891999916681</v>
      </c>
      <c r="D22" s="806">
        <f t="shared" ref="D22:R22" si="1">SUM(D18:D21)</f>
        <v>0</v>
      </c>
      <c r="E22" s="806">
        <f t="shared" si="1"/>
        <v>4.7839628579036537</v>
      </c>
      <c r="F22" s="806">
        <f t="shared" si="1"/>
        <v>273.84354460462419</v>
      </c>
      <c r="G22" s="806">
        <f t="shared" si="1"/>
        <v>0</v>
      </c>
      <c r="H22" s="806">
        <f t="shared" si="1"/>
        <v>64853.900238561982</v>
      </c>
      <c r="I22" s="806">
        <f t="shared" si="1"/>
        <v>10564.044118931353</v>
      </c>
      <c r="J22" s="806">
        <f t="shared" si="1"/>
        <v>0</v>
      </c>
      <c r="K22" s="806">
        <f t="shared" si="1"/>
        <v>0</v>
      </c>
      <c r="L22" s="806">
        <f t="shared" si="1"/>
        <v>0</v>
      </c>
      <c r="M22" s="806">
        <f t="shared" si="1"/>
        <v>0</v>
      </c>
      <c r="N22" s="806">
        <f t="shared" si="1"/>
        <v>3370.7608210109711</v>
      </c>
      <c r="O22" s="806">
        <f t="shared" si="1"/>
        <v>0</v>
      </c>
      <c r="P22" s="806">
        <f t="shared" si="1"/>
        <v>0</v>
      </c>
      <c r="Q22" s="806">
        <f t="shared" si="1"/>
        <v>0</v>
      </c>
      <c r="R22" s="806">
        <f t="shared" si="1"/>
        <v>79068.931675166823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10021.162209411725</v>
      </c>
      <c r="D24" s="688">
        <f>+landbouw!C8</f>
        <v>0</v>
      </c>
      <c r="E24" s="688">
        <f>+landbouw!D8</f>
        <v>486.55617481094009</v>
      </c>
      <c r="F24" s="688">
        <f>+landbouw!E8</f>
        <v>94.406062411591805</v>
      </c>
      <c r="G24" s="688">
        <f>+landbouw!F8</f>
        <v>32702.378020971151</v>
      </c>
      <c r="H24" s="688">
        <f>+landbouw!G8</f>
        <v>0</v>
      </c>
      <c r="I24" s="688">
        <f>+landbouw!H8</f>
        <v>0</v>
      </c>
      <c r="J24" s="688">
        <f>+landbouw!I8</f>
        <v>0</v>
      </c>
      <c r="K24" s="688">
        <f>+landbouw!J8</f>
        <v>1239.6665082278537</v>
      </c>
      <c r="L24" s="688">
        <f>+landbouw!K8</f>
        <v>0</v>
      </c>
      <c r="M24" s="688">
        <f>+landbouw!L8</f>
        <v>0</v>
      </c>
      <c r="N24" s="688">
        <f>+landbouw!M8</f>
        <v>0</v>
      </c>
      <c r="O24" s="688">
        <f>+landbouw!N8</f>
        <v>0</v>
      </c>
      <c r="P24" s="688">
        <f>+landbouw!O8</f>
        <v>0</v>
      </c>
      <c r="Q24" s="689">
        <f>+landbouw!P8</f>
        <v>0</v>
      </c>
      <c r="R24" s="691">
        <f>SUM(C24:Q24)</f>
        <v>44544.168975833265</v>
      </c>
      <c r="S24" s="68"/>
    </row>
    <row r="25" spans="1:19" s="457" customFormat="1" ht="15" thickBot="1">
      <c r="A25" s="825" t="s">
        <v>912</v>
      </c>
      <c r="B25" s="1001"/>
      <c r="C25" s="1002">
        <f>IF(Onbekend_ele_kWh="---",0,Onbekend_ele_kWh)/1000+IF(REST_rest_ele_kWh="---",0,REST_rest_ele_kWh)/1000</f>
        <v>1474.7047806818</v>
      </c>
      <c r="D25" s="1002"/>
      <c r="E25" s="1002">
        <f>IF(onbekend_gas_kWh="---",0,onbekend_gas_kWh)/1000+IF(REST_rest_gas_kWh="---",0,REST_rest_gas_kWh)/1000</f>
        <v>3326.04743447997</v>
      </c>
      <c r="F25" s="1002"/>
      <c r="G25" s="1002"/>
      <c r="H25" s="1002"/>
      <c r="I25" s="1002"/>
      <c r="J25" s="1002"/>
      <c r="K25" s="1002"/>
      <c r="L25" s="1002"/>
      <c r="M25" s="1002"/>
      <c r="N25" s="1002"/>
      <c r="O25" s="1002"/>
      <c r="P25" s="1002"/>
      <c r="Q25" s="1003"/>
      <c r="R25" s="691">
        <f>SUM(C25:Q25)</f>
        <v>4800.7522151617704</v>
      </c>
      <c r="S25" s="68"/>
    </row>
    <row r="26" spans="1:19" s="457" customFormat="1" ht="15.75" thickBot="1">
      <c r="A26" s="694" t="s">
        <v>913</v>
      </c>
      <c r="B26" s="811"/>
      <c r="C26" s="806">
        <f>SUM(C24:C25)</f>
        <v>11495.866990093524</v>
      </c>
      <c r="D26" s="806">
        <f t="shared" ref="D26:R26" si="2">SUM(D24:D25)</f>
        <v>0</v>
      </c>
      <c r="E26" s="806">
        <f t="shared" si="2"/>
        <v>3812.6036092909098</v>
      </c>
      <c r="F26" s="806">
        <f t="shared" si="2"/>
        <v>94.406062411591805</v>
      </c>
      <c r="G26" s="806">
        <f t="shared" si="2"/>
        <v>32702.378020971151</v>
      </c>
      <c r="H26" s="806">
        <f t="shared" si="2"/>
        <v>0</v>
      </c>
      <c r="I26" s="806">
        <f t="shared" si="2"/>
        <v>0</v>
      </c>
      <c r="J26" s="806">
        <f t="shared" si="2"/>
        <v>0</v>
      </c>
      <c r="K26" s="806">
        <f t="shared" si="2"/>
        <v>1239.6665082278537</v>
      </c>
      <c r="L26" s="806">
        <f t="shared" si="2"/>
        <v>0</v>
      </c>
      <c r="M26" s="806">
        <f t="shared" si="2"/>
        <v>0</v>
      </c>
      <c r="N26" s="806">
        <f t="shared" si="2"/>
        <v>0</v>
      </c>
      <c r="O26" s="806">
        <f t="shared" si="2"/>
        <v>0</v>
      </c>
      <c r="P26" s="806">
        <f t="shared" si="2"/>
        <v>0</v>
      </c>
      <c r="Q26" s="806">
        <f t="shared" si="2"/>
        <v>0</v>
      </c>
      <c r="R26" s="806">
        <f t="shared" si="2"/>
        <v>49344.921190995039</v>
      </c>
      <c r="S26" s="68"/>
    </row>
    <row r="27" spans="1:19" s="457" customFormat="1" ht="17.25" thickTop="1" thickBot="1">
      <c r="A27" s="695" t="s">
        <v>116</v>
      </c>
      <c r="B27" s="798"/>
      <c r="C27" s="696">
        <f ca="1">C22+C16+C26</f>
        <v>113107.62139133111</v>
      </c>
      <c r="D27" s="696">
        <f t="shared" ref="D27:R27" ca="1" si="3">D22+D16+D26</f>
        <v>535.71428571428578</v>
      </c>
      <c r="E27" s="696">
        <f t="shared" ca="1" si="3"/>
        <v>173799.0474129518</v>
      </c>
      <c r="F27" s="696">
        <f t="shared" si="3"/>
        <v>11651.357037009953</v>
      </c>
      <c r="G27" s="696">
        <f t="shared" ca="1" si="3"/>
        <v>67131.725906910622</v>
      </c>
      <c r="H27" s="696">
        <f t="shared" si="3"/>
        <v>64853.900238561982</v>
      </c>
      <c r="I27" s="696">
        <f t="shared" si="3"/>
        <v>10564.044118931353</v>
      </c>
      <c r="J27" s="696">
        <f t="shared" si="3"/>
        <v>0</v>
      </c>
      <c r="K27" s="696">
        <f t="shared" si="3"/>
        <v>14512.767402822783</v>
      </c>
      <c r="L27" s="696">
        <f t="shared" si="3"/>
        <v>0</v>
      </c>
      <c r="M27" s="696">
        <f t="shared" ca="1" si="3"/>
        <v>0</v>
      </c>
      <c r="N27" s="696">
        <f t="shared" si="3"/>
        <v>3370.7608210109711</v>
      </c>
      <c r="O27" s="696">
        <f t="shared" ca="1" si="3"/>
        <v>33744.893884504796</v>
      </c>
      <c r="P27" s="696">
        <f t="shared" si="3"/>
        <v>146.95333333333335</v>
      </c>
      <c r="Q27" s="696">
        <f t="shared" si="3"/>
        <v>324.13333333333333</v>
      </c>
      <c r="R27" s="696">
        <f t="shared" ca="1" si="3"/>
        <v>493742.91916641628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4441.8519563248828</v>
      </c>
      <c r="D40" s="688">
        <f ca="1">tertiair!C20</f>
        <v>0</v>
      </c>
      <c r="E40" s="688">
        <f ca="1">tertiair!D20</f>
        <v>5898.7219417719352</v>
      </c>
      <c r="F40" s="688">
        <f>tertiair!E20</f>
        <v>59.462318420046408</v>
      </c>
      <c r="G40" s="688">
        <f ca="1">tertiair!F20</f>
        <v>1155.7459980331359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11555.782214549999</v>
      </c>
    </row>
    <row r="41" spans="1:18">
      <c r="A41" s="816" t="s">
        <v>225</v>
      </c>
      <c r="B41" s="823"/>
      <c r="C41" s="688">
        <f ca="1">huishoudens!B12</f>
        <v>6632.289873932652</v>
      </c>
      <c r="D41" s="688">
        <f ca="1">huishoudens!C12</f>
        <v>0</v>
      </c>
      <c r="E41" s="688">
        <f>huishoudens!D12</f>
        <v>14605.215714822176</v>
      </c>
      <c r="F41" s="688">
        <f>huishoudens!E12</f>
        <v>2407.961218178752</v>
      </c>
      <c r="G41" s="688">
        <f>huishoudens!F12</f>
        <v>4976.9795201660472</v>
      </c>
      <c r="H41" s="688">
        <f>huishoudens!G12</f>
        <v>0</v>
      </c>
      <c r="I41" s="688">
        <f>huishoudens!H12</f>
        <v>0</v>
      </c>
      <c r="J41" s="688">
        <f>huishoudens!I12</f>
        <v>0</v>
      </c>
      <c r="K41" s="688">
        <f>huishoudens!J12</f>
        <v>4621.519095006387</v>
      </c>
      <c r="L41" s="688">
        <f>huishoudens!K12</f>
        <v>0</v>
      </c>
      <c r="M41" s="688">
        <f>huishoudens!L12</f>
        <v>0</v>
      </c>
      <c r="N41" s="688">
        <f>huishoudens!M12</f>
        <v>0</v>
      </c>
      <c r="O41" s="688">
        <f>huishoudens!N12</f>
        <v>0</v>
      </c>
      <c r="P41" s="688">
        <f>huishoudens!O12</f>
        <v>0</v>
      </c>
      <c r="Q41" s="763">
        <f>huishoudens!P12</f>
        <v>0</v>
      </c>
      <c r="R41" s="844">
        <f t="shared" ca="1" si="4"/>
        <v>33243.965422106012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9644.1377781289411</v>
      </c>
      <c r="D43" s="688">
        <f ca="1">industrie!C22</f>
        <v>0</v>
      </c>
      <c r="E43" s="688">
        <f>industrie!D22</f>
        <v>13832.357631248093</v>
      </c>
      <c r="F43" s="688">
        <f>industrie!E22</f>
        <v>93.841850009779549</v>
      </c>
      <c r="G43" s="688">
        <f>industrie!F22</f>
        <v>3059.9103673466566</v>
      </c>
      <c r="H43" s="688">
        <f>industrie!G22</f>
        <v>0</v>
      </c>
      <c r="I43" s="688">
        <f>industrie!H22</f>
        <v>0</v>
      </c>
      <c r="J43" s="688">
        <f>industrie!I22</f>
        <v>0</v>
      </c>
      <c r="K43" s="688">
        <f>industrie!J22</f>
        <v>77.158621680217038</v>
      </c>
      <c r="L43" s="688">
        <f>industrie!K22</f>
        <v>0</v>
      </c>
      <c r="M43" s="688">
        <f>industrie!L22</f>
        <v>0</v>
      </c>
      <c r="N43" s="688">
        <f>industrie!M22</f>
        <v>0</v>
      </c>
      <c r="O43" s="688">
        <f>industrie!N22</f>
        <v>0</v>
      </c>
      <c r="P43" s="688">
        <f>industrie!O22</f>
        <v>0</v>
      </c>
      <c r="Q43" s="763">
        <f>industrie!P22</f>
        <v>0</v>
      </c>
      <c r="R43" s="843">
        <f t="shared" ca="1" si="4"/>
        <v>26707.406248413688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20718.279608386474</v>
      </c>
      <c r="D46" s="721">
        <f t="shared" ref="D46:Q46" ca="1" si="5">SUM(D39:D45)</f>
        <v>0</v>
      </c>
      <c r="E46" s="721">
        <f t="shared" ca="1" si="5"/>
        <v>34336.295287842207</v>
      </c>
      <c r="F46" s="721">
        <f t="shared" si="5"/>
        <v>2561.265386608578</v>
      </c>
      <c r="G46" s="721">
        <f t="shared" ca="1" si="5"/>
        <v>9192.6358855458402</v>
      </c>
      <c r="H46" s="721">
        <f t="shared" si="5"/>
        <v>0</v>
      </c>
      <c r="I46" s="721">
        <f t="shared" si="5"/>
        <v>0</v>
      </c>
      <c r="J46" s="721">
        <f t="shared" si="5"/>
        <v>0</v>
      </c>
      <c r="K46" s="721">
        <f t="shared" si="5"/>
        <v>4698.6777166866041</v>
      </c>
      <c r="L46" s="721">
        <f t="shared" si="5"/>
        <v>0</v>
      </c>
      <c r="M46" s="721">
        <f t="shared" ca="1" si="5"/>
        <v>0</v>
      </c>
      <c r="N46" s="721">
        <f t="shared" si="5"/>
        <v>0</v>
      </c>
      <c r="O46" s="721">
        <f t="shared" ca="1" si="5"/>
        <v>0</v>
      </c>
      <c r="P46" s="721">
        <f t="shared" si="5"/>
        <v>0</v>
      </c>
      <c r="Q46" s="721">
        <f t="shared" si="5"/>
        <v>0</v>
      </c>
      <c r="R46" s="721">
        <f ca="1">SUM(R39:R45)</f>
        <v>71507.153885069711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190.79869331625051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190.79869331625051</v>
      </c>
    </row>
    <row r="50" spans="1:18">
      <c r="A50" s="819" t="s">
        <v>307</v>
      </c>
      <c r="B50" s="829"/>
      <c r="C50" s="1008">
        <f ca="1">transport!B18</f>
        <v>0.32603340878556442</v>
      </c>
      <c r="D50" s="1008">
        <f>transport!C18</f>
        <v>0</v>
      </c>
      <c r="E50" s="1008">
        <f>transport!D18</f>
        <v>0.96636049729653817</v>
      </c>
      <c r="F50" s="1008">
        <f>transport!E18</f>
        <v>62.162484625249689</v>
      </c>
      <c r="G50" s="1008">
        <f>transport!F18</f>
        <v>0</v>
      </c>
      <c r="H50" s="1008">
        <f>transport!G18</f>
        <v>17125.192670379798</v>
      </c>
      <c r="I50" s="1008">
        <f>transport!H18</f>
        <v>2630.4469856139071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19819.094534525037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0.32603340878556442</v>
      </c>
      <c r="D52" s="721">
        <f t="shared" ref="D52:Q52" ca="1" si="6">SUM(D48:D51)</f>
        <v>0</v>
      </c>
      <c r="E52" s="721">
        <f t="shared" si="6"/>
        <v>0.96636049729653817</v>
      </c>
      <c r="F52" s="721">
        <f t="shared" si="6"/>
        <v>62.162484625249689</v>
      </c>
      <c r="G52" s="721">
        <f t="shared" si="6"/>
        <v>0</v>
      </c>
      <c r="H52" s="721">
        <f t="shared" si="6"/>
        <v>17315.991363696048</v>
      </c>
      <c r="I52" s="721">
        <f t="shared" si="6"/>
        <v>2630.4469856139071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20009.893227841287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2043.3119092640572</v>
      </c>
      <c r="D54" s="1008">
        <f ca="1">+landbouw!C12</f>
        <v>0</v>
      </c>
      <c r="E54" s="1008">
        <f>+landbouw!D12</f>
        <v>98.28434731180991</v>
      </c>
      <c r="F54" s="1008">
        <f>+landbouw!E12</f>
        <v>21.430176167431341</v>
      </c>
      <c r="G54" s="1008">
        <f>+landbouw!F12</f>
        <v>8731.5349315992971</v>
      </c>
      <c r="H54" s="1008">
        <f>+landbouw!G12</f>
        <v>0</v>
      </c>
      <c r="I54" s="1008">
        <f>+landbouw!H12</f>
        <v>0</v>
      </c>
      <c r="J54" s="1008">
        <f>+landbouw!I12</f>
        <v>0</v>
      </c>
      <c r="K54" s="1008">
        <f>+landbouw!J12</f>
        <v>438.84194391266016</v>
      </c>
      <c r="L54" s="1008">
        <f>+landbouw!K12</f>
        <v>0</v>
      </c>
      <c r="M54" s="1008">
        <f>+landbouw!L12</f>
        <v>0</v>
      </c>
      <c r="N54" s="1008">
        <f>+landbouw!M12</f>
        <v>0</v>
      </c>
      <c r="O54" s="1008">
        <f>+landbouw!N12</f>
        <v>0</v>
      </c>
      <c r="P54" s="1008">
        <f>+landbouw!O12</f>
        <v>0</v>
      </c>
      <c r="Q54" s="1009">
        <f>+landbouw!P12</f>
        <v>0</v>
      </c>
      <c r="R54" s="720">
        <f ca="1">SUM(C54:Q54)</f>
        <v>11333.403308255258</v>
      </c>
    </row>
    <row r="55" spans="1:18" ht="15" thickBot="1">
      <c r="A55" s="819" t="s">
        <v>912</v>
      </c>
      <c r="B55" s="829"/>
      <c r="C55" s="1008">
        <f ca="1">C25*'EF ele_warmte'!B12</f>
        <v>300.6918537039279</v>
      </c>
      <c r="D55" s="1008"/>
      <c r="E55" s="1008">
        <f>E25*EF_CO2_aardgas</f>
        <v>671.86158176495394</v>
      </c>
      <c r="F55" s="1008"/>
      <c r="G55" s="1008"/>
      <c r="H55" s="1008"/>
      <c r="I55" s="1008"/>
      <c r="J55" s="1008"/>
      <c r="K55" s="1008"/>
      <c r="L55" s="1008"/>
      <c r="M55" s="1008"/>
      <c r="N55" s="1008"/>
      <c r="O55" s="1008"/>
      <c r="P55" s="1008"/>
      <c r="Q55" s="1009"/>
      <c r="R55" s="720">
        <f ca="1">SUM(C55:Q55)</f>
        <v>972.55343546888184</v>
      </c>
    </row>
    <row r="56" spans="1:18" ht="15.75" thickBot="1">
      <c r="A56" s="817" t="s">
        <v>913</v>
      </c>
      <c r="B56" s="830"/>
      <c r="C56" s="721">
        <f ca="1">SUM(C54:C55)</f>
        <v>2344.003762967985</v>
      </c>
      <c r="D56" s="721">
        <f t="shared" ref="D56:Q56" ca="1" si="7">SUM(D54:D55)</f>
        <v>0</v>
      </c>
      <c r="E56" s="721">
        <f t="shared" si="7"/>
        <v>770.14592907676388</v>
      </c>
      <c r="F56" s="721">
        <f t="shared" si="7"/>
        <v>21.430176167431341</v>
      </c>
      <c r="G56" s="721">
        <f t="shared" si="7"/>
        <v>8731.5349315992971</v>
      </c>
      <c r="H56" s="721">
        <f t="shared" si="7"/>
        <v>0</v>
      </c>
      <c r="I56" s="721">
        <f t="shared" si="7"/>
        <v>0</v>
      </c>
      <c r="J56" s="721">
        <f t="shared" si="7"/>
        <v>0</v>
      </c>
      <c r="K56" s="721">
        <f t="shared" si="7"/>
        <v>438.84194391266016</v>
      </c>
      <c r="L56" s="721">
        <f t="shared" si="7"/>
        <v>0</v>
      </c>
      <c r="M56" s="721">
        <f t="shared" si="7"/>
        <v>0</v>
      </c>
      <c r="N56" s="721">
        <f t="shared" si="7"/>
        <v>0</v>
      </c>
      <c r="O56" s="721">
        <f t="shared" si="7"/>
        <v>0</v>
      </c>
      <c r="P56" s="721">
        <f t="shared" si="7"/>
        <v>0</v>
      </c>
      <c r="Q56" s="722">
        <f t="shared" si="7"/>
        <v>0</v>
      </c>
      <c r="R56" s="723">
        <f ca="1">SUM(R54:R55)</f>
        <v>12305.95674372414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23062.609404763247</v>
      </c>
      <c r="D61" s="729">
        <f t="shared" ref="D61:Q61" ca="1" si="8">D46+D52+D56</f>
        <v>0</v>
      </c>
      <c r="E61" s="729">
        <f t="shared" ca="1" si="8"/>
        <v>35107.40757741627</v>
      </c>
      <c r="F61" s="729">
        <f t="shared" si="8"/>
        <v>2644.8580474012592</v>
      </c>
      <c r="G61" s="729">
        <f t="shared" ca="1" si="8"/>
        <v>17924.170817145139</v>
      </c>
      <c r="H61" s="729">
        <f t="shared" si="8"/>
        <v>17315.991363696048</v>
      </c>
      <c r="I61" s="729">
        <f t="shared" si="8"/>
        <v>2630.4469856139071</v>
      </c>
      <c r="J61" s="729">
        <f t="shared" si="8"/>
        <v>0</v>
      </c>
      <c r="K61" s="729">
        <f t="shared" si="8"/>
        <v>5137.5196605992642</v>
      </c>
      <c r="L61" s="729">
        <f t="shared" si="8"/>
        <v>0</v>
      </c>
      <c r="M61" s="729">
        <f t="shared" ca="1" si="8"/>
        <v>0</v>
      </c>
      <c r="N61" s="729">
        <f t="shared" si="8"/>
        <v>0</v>
      </c>
      <c r="O61" s="729">
        <f t="shared" ca="1" si="8"/>
        <v>0</v>
      </c>
      <c r="P61" s="729">
        <f t="shared" si="8"/>
        <v>0</v>
      </c>
      <c r="Q61" s="729">
        <f t="shared" si="8"/>
        <v>0</v>
      </c>
      <c r="R61" s="729">
        <f ca="1">R46+R52+R56</f>
        <v>103823.00385663513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0.20389969412380227</v>
      </c>
      <c r="D63" s="773">
        <f t="shared" ca="1" si="9"/>
        <v>0</v>
      </c>
      <c r="E63" s="1010">
        <f t="shared" ca="1" si="9"/>
        <v>0.20200000000000004</v>
      </c>
      <c r="F63" s="773">
        <f t="shared" si="9"/>
        <v>0.22699999999999998</v>
      </c>
      <c r="G63" s="773">
        <f t="shared" ca="1" si="9"/>
        <v>0.26700000000000007</v>
      </c>
      <c r="H63" s="773">
        <f t="shared" si="9"/>
        <v>0.26699999999999996</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8376.9227272440148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375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441.1764705882353</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8751.9227272440148</v>
      </c>
      <c r="C78" s="744">
        <f>SUM(C72:C77)</f>
        <v>0</v>
      </c>
      <c r="D78" s="745">
        <f t="shared" ref="D78:H78" si="10">SUM(D76:D77)</f>
        <v>0</v>
      </c>
      <c r="E78" s="745">
        <f t="shared" si="10"/>
        <v>0</v>
      </c>
      <c r="F78" s="745">
        <f t="shared" si="10"/>
        <v>0</v>
      </c>
      <c r="G78" s="745">
        <f t="shared" si="10"/>
        <v>0</v>
      </c>
      <c r="H78" s="745">
        <f t="shared" si="10"/>
        <v>0</v>
      </c>
      <c r="I78" s="745">
        <f>SUM(I76:I77)</f>
        <v>0</v>
      </c>
      <c r="J78" s="745">
        <f>SUM(J76:J77)</f>
        <v>441.1764705882353</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535.71428571428578</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630.2521008403362</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535.71428571428578</v>
      </c>
      <c r="C90" s="744">
        <f>SUM(C87:C89)</f>
        <v>0</v>
      </c>
      <c r="D90" s="744">
        <f t="shared" ref="D90:H90" si="12">SUM(D87:D89)</f>
        <v>0</v>
      </c>
      <c r="E90" s="744">
        <f t="shared" si="12"/>
        <v>0</v>
      </c>
      <c r="F90" s="744">
        <f t="shared" si="12"/>
        <v>0</v>
      </c>
      <c r="G90" s="744">
        <f t="shared" si="12"/>
        <v>0</v>
      </c>
      <c r="H90" s="744">
        <f t="shared" si="12"/>
        <v>0</v>
      </c>
      <c r="I90" s="744">
        <f>SUM(I87:I89)</f>
        <v>0</v>
      </c>
      <c r="J90" s="744">
        <f>SUM(J87:J89)</f>
        <v>630.2521008403362</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8376.9227272440148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375</v>
      </c>
      <c r="C8" s="558">
        <f>B101</f>
        <v>0</v>
      </c>
      <c r="D8" s="991"/>
      <c r="E8" s="991">
        <f>E101</f>
        <v>0</v>
      </c>
      <c r="F8" s="992"/>
      <c r="G8" s="559"/>
      <c r="H8" s="991">
        <f>I101</f>
        <v>0</v>
      </c>
      <c r="I8" s="991">
        <f>G101+F101</f>
        <v>0</v>
      </c>
      <c r="J8" s="991">
        <f>H101+D101+C101</f>
        <v>441.1764705882353</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8751.9227272440148</v>
      </c>
      <c r="C10" s="570">
        <f t="shared" ref="C10:L10" si="0">SUM(C8:C9)</f>
        <v>0</v>
      </c>
      <c r="D10" s="570">
        <f t="shared" si="0"/>
        <v>0</v>
      </c>
      <c r="E10" s="570">
        <f t="shared" si="0"/>
        <v>0</v>
      </c>
      <c r="F10" s="570">
        <f t="shared" si="0"/>
        <v>0</v>
      </c>
      <c r="G10" s="570">
        <f t="shared" si="0"/>
        <v>0</v>
      </c>
      <c r="H10" s="570">
        <f t="shared" si="0"/>
        <v>0</v>
      </c>
      <c r="I10" s="570">
        <f t="shared" si="0"/>
        <v>0</v>
      </c>
      <c r="J10" s="570">
        <f t="shared" si="0"/>
        <v>441.1764705882353</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535.71428571428578</v>
      </c>
      <c r="C17" s="582">
        <f>B102</f>
        <v>0</v>
      </c>
      <c r="D17" s="583"/>
      <c r="E17" s="583">
        <f>E102</f>
        <v>0</v>
      </c>
      <c r="F17" s="584"/>
      <c r="G17" s="585"/>
      <c r="H17" s="582">
        <f>I102</f>
        <v>0</v>
      </c>
      <c r="I17" s="583">
        <f>G102+F102</f>
        <v>0</v>
      </c>
      <c r="J17" s="583">
        <f>H102+D102+C102</f>
        <v>630.2521008403362</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535.71428571428578</v>
      </c>
      <c r="C20" s="569">
        <f>SUM(C17:C19)</f>
        <v>0</v>
      </c>
      <c r="D20" s="569">
        <f t="shared" ref="D20:L20" si="1">SUM(D17:D19)</f>
        <v>0</v>
      </c>
      <c r="E20" s="569">
        <f t="shared" si="1"/>
        <v>0</v>
      </c>
      <c r="F20" s="569">
        <f t="shared" si="1"/>
        <v>0</v>
      </c>
      <c r="G20" s="569">
        <f t="shared" si="1"/>
        <v>0</v>
      </c>
      <c r="H20" s="569">
        <f t="shared" si="1"/>
        <v>0</v>
      </c>
      <c r="I20" s="569">
        <f t="shared" si="1"/>
        <v>0</v>
      </c>
      <c r="J20" s="569">
        <f t="shared" si="1"/>
        <v>630.2521008403362</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33021</v>
      </c>
      <c r="C28" s="789">
        <v>8972</v>
      </c>
      <c r="D28" s="642" t="s">
        <v>946</v>
      </c>
      <c r="E28" s="641" t="s">
        <v>947</v>
      </c>
      <c r="F28" s="641" t="s">
        <v>948</v>
      </c>
      <c r="G28" s="641" t="s">
        <v>949</v>
      </c>
      <c r="H28" s="641" t="s">
        <v>950</v>
      </c>
      <c r="I28" s="641" t="s">
        <v>947</v>
      </c>
      <c r="J28" s="788">
        <v>40996</v>
      </c>
      <c r="K28" s="788">
        <v>40996</v>
      </c>
      <c r="L28" s="641" t="s">
        <v>951</v>
      </c>
      <c r="M28" s="641">
        <v>250</v>
      </c>
      <c r="N28" s="641">
        <v>375</v>
      </c>
      <c r="O28" s="641">
        <v>535.71428571428578</v>
      </c>
      <c r="P28" s="641">
        <v>0</v>
      </c>
      <c r="Q28" s="641">
        <v>1071.4285714285716</v>
      </c>
      <c r="R28" s="641">
        <v>0</v>
      </c>
      <c r="S28" s="641">
        <v>0</v>
      </c>
      <c r="T28" s="641">
        <v>0</v>
      </c>
      <c r="U28" s="641">
        <v>0</v>
      </c>
      <c r="V28" s="641">
        <v>0</v>
      </c>
      <c r="W28" s="641"/>
      <c r="X28" s="641">
        <v>500</v>
      </c>
      <c r="Y28" s="641" t="s">
        <v>41</v>
      </c>
      <c r="Z28" s="643" t="s">
        <v>391</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250</v>
      </c>
      <c r="N58" s="599">
        <f>SUM(N28:N57)</f>
        <v>375</v>
      </c>
      <c r="O58" s="599">
        <f t="shared" ref="O58:W58" si="2">SUM(O28:O57)</f>
        <v>535.71428571428578</v>
      </c>
      <c r="P58" s="599">
        <f t="shared" si="2"/>
        <v>0</v>
      </c>
      <c r="Q58" s="599">
        <f t="shared" si="2"/>
        <v>1071.4285714285716</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250</v>
      </c>
      <c r="N59" s="599">
        <f t="shared" si="3"/>
        <v>375</v>
      </c>
      <c r="O59" s="599">
        <f t="shared" si="3"/>
        <v>535.71428571428578</v>
      </c>
      <c r="P59" s="599">
        <f t="shared" si="3"/>
        <v>0</v>
      </c>
      <c r="Q59" s="599">
        <f t="shared" si="3"/>
        <v>1071.4285714285716</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441.1764705882353</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630.2521008403362</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32527.218358187965</v>
      </c>
      <c r="C4" s="461">
        <f>huishoudens!C8</f>
        <v>0</v>
      </c>
      <c r="D4" s="461">
        <f>huishoudens!D8</f>
        <v>72303.048093179081</v>
      </c>
      <c r="E4" s="461">
        <f>huishoudens!E8</f>
        <v>10607.758670390978</v>
      </c>
      <c r="F4" s="461">
        <f>huishoudens!F8</f>
        <v>18640.372734704295</v>
      </c>
      <c r="G4" s="461">
        <f>huishoudens!G8</f>
        <v>0</v>
      </c>
      <c r="H4" s="461">
        <f>huishoudens!H8</f>
        <v>0</v>
      </c>
      <c r="I4" s="461">
        <f>huishoudens!I8</f>
        <v>0</v>
      </c>
      <c r="J4" s="461">
        <f>huishoudens!J8</f>
        <v>13055.138686458722</v>
      </c>
      <c r="K4" s="461">
        <f>huishoudens!K8</f>
        <v>0</v>
      </c>
      <c r="L4" s="461">
        <f>huishoudens!L8</f>
        <v>0</v>
      </c>
      <c r="M4" s="461">
        <f>huishoudens!M8</f>
        <v>0</v>
      </c>
      <c r="N4" s="461">
        <f>huishoudens!N8</f>
        <v>32125.196059570426</v>
      </c>
      <c r="O4" s="461">
        <f>huishoudens!O8</f>
        <v>146.95333333333335</v>
      </c>
      <c r="P4" s="462">
        <f>huishoudens!P8</f>
        <v>324.13333333333333</v>
      </c>
      <c r="Q4" s="463">
        <f>SUM(B4:P4)</f>
        <v>179729.81926915812</v>
      </c>
    </row>
    <row r="5" spans="1:17">
      <c r="A5" s="460" t="s">
        <v>156</v>
      </c>
      <c r="B5" s="461">
        <f ca="1">tertiair!B16</f>
        <v>20278.561437388507</v>
      </c>
      <c r="C5" s="461">
        <f ca="1">tertiair!C16</f>
        <v>0</v>
      </c>
      <c r="D5" s="461">
        <f ca="1">tertiair!D16</f>
        <v>29201.593771148193</v>
      </c>
      <c r="E5" s="461">
        <f>tertiair!E16</f>
        <v>261.94853929535861</v>
      </c>
      <c r="F5" s="461">
        <f ca="1">tertiair!F16</f>
        <v>4328.6366967533177</v>
      </c>
      <c r="G5" s="461">
        <f>tertiair!G16</f>
        <v>0</v>
      </c>
      <c r="H5" s="461">
        <f>tertiair!H16</f>
        <v>0</v>
      </c>
      <c r="I5" s="461">
        <f>tertiair!I16</f>
        <v>0</v>
      </c>
      <c r="J5" s="461">
        <f>tertiair!J16</f>
        <v>0</v>
      </c>
      <c r="K5" s="461">
        <f>tertiair!K16</f>
        <v>0</v>
      </c>
      <c r="L5" s="461">
        <f ca="1">tertiair!L16</f>
        <v>0</v>
      </c>
      <c r="M5" s="461">
        <f>tertiair!M16</f>
        <v>0</v>
      </c>
      <c r="N5" s="461">
        <f ca="1">tertiair!N16</f>
        <v>1063.7781896745275</v>
      </c>
      <c r="O5" s="461">
        <f>tertiair!O16</f>
        <v>0</v>
      </c>
      <c r="P5" s="462">
        <f>tertiair!P16</f>
        <v>0</v>
      </c>
      <c r="Q5" s="460">
        <f t="shared" ref="Q5:Q14" ca="1" si="0">SUM(B5:P5)</f>
        <v>55134.518634259905</v>
      </c>
    </row>
    <row r="6" spans="1:17">
      <c r="A6" s="460" t="s">
        <v>194</v>
      </c>
      <c r="B6" s="461">
        <f>'openbare verlichting'!B8</f>
        <v>1505.934</v>
      </c>
      <c r="C6" s="461"/>
      <c r="D6" s="461"/>
      <c r="E6" s="461"/>
      <c r="F6" s="461"/>
      <c r="G6" s="461"/>
      <c r="H6" s="461"/>
      <c r="I6" s="461"/>
      <c r="J6" s="461"/>
      <c r="K6" s="461"/>
      <c r="L6" s="461"/>
      <c r="M6" s="461"/>
      <c r="N6" s="461"/>
      <c r="O6" s="461"/>
      <c r="P6" s="462"/>
      <c r="Q6" s="460">
        <f t="shared" si="0"/>
        <v>1505.934</v>
      </c>
    </row>
    <row r="7" spans="1:17">
      <c r="A7" s="460" t="s">
        <v>112</v>
      </c>
      <c r="B7" s="461">
        <f>landbouw!B8</f>
        <v>10021.162209411725</v>
      </c>
      <c r="C7" s="461">
        <f>landbouw!C8</f>
        <v>0</v>
      </c>
      <c r="D7" s="461">
        <f>landbouw!D8</f>
        <v>486.55617481094009</v>
      </c>
      <c r="E7" s="461">
        <f>landbouw!E8</f>
        <v>94.406062411591805</v>
      </c>
      <c r="F7" s="461">
        <f>landbouw!F8</f>
        <v>32702.378020971151</v>
      </c>
      <c r="G7" s="461">
        <f>landbouw!G8</f>
        <v>0</v>
      </c>
      <c r="H7" s="461">
        <f>landbouw!H8</f>
        <v>0</v>
      </c>
      <c r="I7" s="461">
        <f>landbouw!I8</f>
        <v>0</v>
      </c>
      <c r="J7" s="461">
        <f>landbouw!J8</f>
        <v>1239.6665082278537</v>
      </c>
      <c r="K7" s="461">
        <f>landbouw!K8</f>
        <v>0</v>
      </c>
      <c r="L7" s="461">
        <f>landbouw!L8</f>
        <v>0</v>
      </c>
      <c r="M7" s="461">
        <f>landbouw!M8</f>
        <v>0</v>
      </c>
      <c r="N7" s="461">
        <f>landbouw!N8</f>
        <v>0</v>
      </c>
      <c r="O7" s="461">
        <f>landbouw!O8</f>
        <v>0</v>
      </c>
      <c r="P7" s="462">
        <f>landbouw!P8</f>
        <v>0</v>
      </c>
      <c r="Q7" s="460">
        <f t="shared" si="0"/>
        <v>44544.168975833265</v>
      </c>
    </row>
    <row r="8" spans="1:17">
      <c r="A8" s="460" t="s">
        <v>685</v>
      </c>
      <c r="B8" s="461">
        <f>industrie!B18</f>
        <v>47298.441616461118</v>
      </c>
      <c r="C8" s="461">
        <f>industrie!C18</f>
        <v>535.71428571428578</v>
      </c>
      <c r="D8" s="461">
        <f>industrie!D18</f>
        <v>68477.017976475705</v>
      </c>
      <c r="E8" s="461">
        <f>industrie!E18</f>
        <v>413.40022030739885</v>
      </c>
      <c r="F8" s="461">
        <f>industrie!F18</f>
        <v>11460.33845448186</v>
      </c>
      <c r="G8" s="461">
        <f>industrie!G18</f>
        <v>0</v>
      </c>
      <c r="H8" s="461">
        <f>industrie!H18</f>
        <v>0</v>
      </c>
      <c r="I8" s="461">
        <f>industrie!I18</f>
        <v>0</v>
      </c>
      <c r="J8" s="461">
        <f>industrie!J18</f>
        <v>217.96220813620633</v>
      </c>
      <c r="K8" s="461">
        <f>industrie!K18</f>
        <v>0</v>
      </c>
      <c r="L8" s="461">
        <f>industrie!L18</f>
        <v>0</v>
      </c>
      <c r="M8" s="461">
        <f>industrie!M18</f>
        <v>0</v>
      </c>
      <c r="N8" s="461">
        <f>industrie!N18</f>
        <v>555.91963525984806</v>
      </c>
      <c r="O8" s="461">
        <f>industrie!O18</f>
        <v>0</v>
      </c>
      <c r="P8" s="462">
        <f>industrie!P18</f>
        <v>0</v>
      </c>
      <c r="Q8" s="460">
        <f t="shared" si="0"/>
        <v>128958.79439683643</v>
      </c>
    </row>
    <row r="9" spans="1:17" s="466" customFormat="1">
      <c r="A9" s="464" t="s">
        <v>579</v>
      </c>
      <c r="B9" s="465">
        <f>transport!B14</f>
        <v>1.5989891999916681</v>
      </c>
      <c r="C9" s="465">
        <f>transport!C14</f>
        <v>0</v>
      </c>
      <c r="D9" s="465">
        <f>transport!D14</f>
        <v>4.7839628579036537</v>
      </c>
      <c r="E9" s="465">
        <f>transport!E14</f>
        <v>273.84354460462419</v>
      </c>
      <c r="F9" s="465">
        <f>transport!F14</f>
        <v>0</v>
      </c>
      <c r="G9" s="465">
        <f>transport!G14</f>
        <v>64139.298390935575</v>
      </c>
      <c r="H9" s="465">
        <f>transport!H14</f>
        <v>10564.044118931353</v>
      </c>
      <c r="I9" s="465">
        <f>transport!I14</f>
        <v>0</v>
      </c>
      <c r="J9" s="465">
        <f>transport!J14</f>
        <v>0</v>
      </c>
      <c r="K9" s="465">
        <f>transport!K14</f>
        <v>0</v>
      </c>
      <c r="L9" s="465">
        <f>transport!L14</f>
        <v>0</v>
      </c>
      <c r="M9" s="465">
        <f>transport!M14</f>
        <v>3339.3814750722122</v>
      </c>
      <c r="N9" s="465">
        <f>transport!N14</f>
        <v>0</v>
      </c>
      <c r="O9" s="465">
        <f>transport!O14</f>
        <v>0</v>
      </c>
      <c r="P9" s="465">
        <f>transport!P14</f>
        <v>0</v>
      </c>
      <c r="Q9" s="464">
        <f>SUM(B9:P9)</f>
        <v>78322.950481601656</v>
      </c>
    </row>
    <row r="10" spans="1:17">
      <c r="A10" s="460" t="s">
        <v>569</v>
      </c>
      <c r="B10" s="461">
        <f>transport!B54</f>
        <v>0</v>
      </c>
      <c r="C10" s="461">
        <f>transport!C54</f>
        <v>0</v>
      </c>
      <c r="D10" s="461">
        <f>transport!D54</f>
        <v>0</v>
      </c>
      <c r="E10" s="461">
        <f>transport!E54</f>
        <v>0</v>
      </c>
      <c r="F10" s="461">
        <f>transport!F54</f>
        <v>0</v>
      </c>
      <c r="G10" s="461">
        <f>transport!G54</f>
        <v>714.60184762640631</v>
      </c>
      <c r="H10" s="461">
        <f>transport!H54</f>
        <v>0</v>
      </c>
      <c r="I10" s="461">
        <f>transport!I54</f>
        <v>0</v>
      </c>
      <c r="J10" s="461">
        <f>transport!J54</f>
        <v>0</v>
      </c>
      <c r="K10" s="461">
        <f>transport!K54</f>
        <v>0</v>
      </c>
      <c r="L10" s="461">
        <f>transport!L54</f>
        <v>0</v>
      </c>
      <c r="M10" s="461">
        <f>transport!M54</f>
        <v>31.379345938758981</v>
      </c>
      <c r="N10" s="461">
        <f>transport!N54</f>
        <v>0</v>
      </c>
      <c r="O10" s="461">
        <f>transport!O54</f>
        <v>0</v>
      </c>
      <c r="P10" s="462">
        <f>transport!P54</f>
        <v>0</v>
      </c>
      <c r="Q10" s="460">
        <f t="shared" si="0"/>
        <v>745.98119356516531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1474.7047806818</v>
      </c>
      <c r="C14" s="468"/>
      <c r="D14" s="468">
        <f>'SEAP template'!E25</f>
        <v>3326.04743447997</v>
      </c>
      <c r="E14" s="468"/>
      <c r="F14" s="468"/>
      <c r="G14" s="468"/>
      <c r="H14" s="468"/>
      <c r="I14" s="468"/>
      <c r="J14" s="468"/>
      <c r="K14" s="468"/>
      <c r="L14" s="468"/>
      <c r="M14" s="468"/>
      <c r="N14" s="468"/>
      <c r="O14" s="468"/>
      <c r="P14" s="469"/>
      <c r="Q14" s="460">
        <f t="shared" si="0"/>
        <v>4800.7522151617704</v>
      </c>
    </row>
    <row r="15" spans="1:17" s="473" customFormat="1">
      <c r="A15" s="470" t="s">
        <v>573</v>
      </c>
      <c r="B15" s="471">
        <f ca="1">SUM(B4:B14)</f>
        <v>113107.62139133111</v>
      </c>
      <c r="C15" s="471">
        <f t="shared" ref="C15:Q15" ca="1" si="1">SUM(C4:C14)</f>
        <v>535.71428571428578</v>
      </c>
      <c r="D15" s="471">
        <f t="shared" ca="1" si="1"/>
        <v>173799.0474129518</v>
      </c>
      <c r="E15" s="471">
        <f t="shared" si="1"/>
        <v>11651.357037009953</v>
      </c>
      <c r="F15" s="471">
        <f t="shared" ca="1" si="1"/>
        <v>67131.725906910622</v>
      </c>
      <c r="G15" s="471">
        <f t="shared" si="1"/>
        <v>64853.900238561982</v>
      </c>
      <c r="H15" s="471">
        <f t="shared" si="1"/>
        <v>10564.044118931353</v>
      </c>
      <c r="I15" s="471">
        <f t="shared" si="1"/>
        <v>0</v>
      </c>
      <c r="J15" s="471">
        <f t="shared" si="1"/>
        <v>14512.767402822783</v>
      </c>
      <c r="K15" s="471">
        <f t="shared" si="1"/>
        <v>0</v>
      </c>
      <c r="L15" s="471">
        <f t="shared" ca="1" si="1"/>
        <v>0</v>
      </c>
      <c r="M15" s="471">
        <f t="shared" si="1"/>
        <v>3370.7608210109711</v>
      </c>
      <c r="N15" s="471">
        <f t="shared" ca="1" si="1"/>
        <v>33744.893884504796</v>
      </c>
      <c r="O15" s="471">
        <f t="shared" si="1"/>
        <v>146.95333333333335</v>
      </c>
      <c r="P15" s="471">
        <f t="shared" si="1"/>
        <v>324.13333333333333</v>
      </c>
      <c r="Q15" s="471">
        <f t="shared" ca="1" si="1"/>
        <v>493742.91916641628</v>
      </c>
    </row>
    <row r="17" spans="1:17">
      <c r="A17" s="474" t="s">
        <v>574</v>
      </c>
      <c r="B17" s="778">
        <f ca="1">huishoudens!B10</f>
        <v>0.20389969412380227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6632.289873932652</v>
      </c>
      <c r="C22" s="461">
        <f t="shared" ref="C22:C32" ca="1" si="3">C4*$C$17</f>
        <v>0</v>
      </c>
      <c r="D22" s="461">
        <f t="shared" ref="D22:D32" si="4">D4*$D$17</f>
        <v>14605.215714822176</v>
      </c>
      <c r="E22" s="461">
        <f t="shared" ref="E22:E32" si="5">E4*$E$17</f>
        <v>2407.961218178752</v>
      </c>
      <c r="F22" s="461">
        <f t="shared" ref="F22:F32" si="6">F4*$F$17</f>
        <v>4976.9795201660472</v>
      </c>
      <c r="G22" s="461">
        <f t="shared" ref="G22:G32" si="7">G4*$G$17</f>
        <v>0</v>
      </c>
      <c r="H22" s="461">
        <f t="shared" ref="H22:H32" si="8">H4*$H$17</f>
        <v>0</v>
      </c>
      <c r="I22" s="461">
        <f t="shared" ref="I22:I32" si="9">I4*$I$17</f>
        <v>0</v>
      </c>
      <c r="J22" s="461">
        <f t="shared" ref="J22:J32" si="10">J4*$J$17</f>
        <v>4621.519095006387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33243.965422106012</v>
      </c>
    </row>
    <row r="23" spans="1:17">
      <c r="A23" s="460" t="s">
        <v>156</v>
      </c>
      <c r="B23" s="461">
        <f t="shared" ca="1" si="2"/>
        <v>4134.792474354249</v>
      </c>
      <c r="C23" s="461">
        <f t="shared" ca="1" si="3"/>
        <v>0</v>
      </c>
      <c r="D23" s="461">
        <f t="shared" ca="1" si="4"/>
        <v>5898.7219417719352</v>
      </c>
      <c r="E23" s="461">
        <f t="shared" si="5"/>
        <v>59.462318420046408</v>
      </c>
      <c r="F23" s="461">
        <f t="shared" ca="1" si="6"/>
        <v>1155.7459980331359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11248.722732579368</v>
      </c>
    </row>
    <row r="24" spans="1:17">
      <c r="A24" s="460" t="s">
        <v>194</v>
      </c>
      <c r="B24" s="461">
        <f t="shared" ca="1" si="2"/>
        <v>307.05948197063401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307.05948197063401</v>
      </c>
    </row>
    <row r="25" spans="1:17">
      <c r="A25" s="460" t="s">
        <v>112</v>
      </c>
      <c r="B25" s="461">
        <f t="shared" ca="1" si="2"/>
        <v>2043.3119092640572</v>
      </c>
      <c r="C25" s="461">
        <f t="shared" ca="1" si="3"/>
        <v>0</v>
      </c>
      <c r="D25" s="461">
        <f t="shared" si="4"/>
        <v>98.28434731180991</v>
      </c>
      <c r="E25" s="461">
        <f t="shared" si="5"/>
        <v>21.430176167431341</v>
      </c>
      <c r="F25" s="461">
        <f t="shared" si="6"/>
        <v>8731.5349315992971</v>
      </c>
      <c r="G25" s="461">
        <f t="shared" si="7"/>
        <v>0</v>
      </c>
      <c r="H25" s="461">
        <f t="shared" si="8"/>
        <v>0</v>
      </c>
      <c r="I25" s="461">
        <f t="shared" si="9"/>
        <v>0</v>
      </c>
      <c r="J25" s="461">
        <f t="shared" si="10"/>
        <v>438.84194391266016</v>
      </c>
      <c r="K25" s="461">
        <f t="shared" si="11"/>
        <v>0</v>
      </c>
      <c r="L25" s="461">
        <f t="shared" si="12"/>
        <v>0</v>
      </c>
      <c r="M25" s="461">
        <f t="shared" si="13"/>
        <v>0</v>
      </c>
      <c r="N25" s="461">
        <f t="shared" si="14"/>
        <v>0</v>
      </c>
      <c r="O25" s="461">
        <f t="shared" si="15"/>
        <v>0</v>
      </c>
      <c r="P25" s="462">
        <f t="shared" si="16"/>
        <v>0</v>
      </c>
      <c r="Q25" s="460">
        <f t="shared" ca="1" si="17"/>
        <v>11333.403308255258</v>
      </c>
    </row>
    <row r="26" spans="1:17">
      <c r="A26" s="460" t="s">
        <v>685</v>
      </c>
      <c r="B26" s="461">
        <f t="shared" ca="1" si="2"/>
        <v>9644.1377781289411</v>
      </c>
      <c r="C26" s="461">
        <f t="shared" ca="1" si="3"/>
        <v>0</v>
      </c>
      <c r="D26" s="461">
        <f t="shared" si="4"/>
        <v>13832.357631248093</v>
      </c>
      <c r="E26" s="461">
        <f t="shared" si="5"/>
        <v>93.841850009779549</v>
      </c>
      <c r="F26" s="461">
        <f t="shared" si="6"/>
        <v>3059.9103673466566</v>
      </c>
      <c r="G26" s="461">
        <f t="shared" si="7"/>
        <v>0</v>
      </c>
      <c r="H26" s="461">
        <f t="shared" si="8"/>
        <v>0</v>
      </c>
      <c r="I26" s="461">
        <f t="shared" si="9"/>
        <v>0</v>
      </c>
      <c r="J26" s="461">
        <f t="shared" si="10"/>
        <v>77.158621680217038</v>
      </c>
      <c r="K26" s="461">
        <f t="shared" si="11"/>
        <v>0</v>
      </c>
      <c r="L26" s="461">
        <f t="shared" si="12"/>
        <v>0</v>
      </c>
      <c r="M26" s="461">
        <f t="shared" si="13"/>
        <v>0</v>
      </c>
      <c r="N26" s="461">
        <f t="shared" si="14"/>
        <v>0</v>
      </c>
      <c r="O26" s="461">
        <f t="shared" si="15"/>
        <v>0</v>
      </c>
      <c r="P26" s="462">
        <f t="shared" si="16"/>
        <v>0</v>
      </c>
      <c r="Q26" s="460">
        <f t="shared" ca="1" si="17"/>
        <v>26707.406248413688</v>
      </c>
    </row>
    <row r="27" spans="1:17" s="466" customFormat="1">
      <c r="A27" s="464" t="s">
        <v>579</v>
      </c>
      <c r="B27" s="772">
        <f t="shared" ca="1" si="2"/>
        <v>0.32603340878556442</v>
      </c>
      <c r="C27" s="465">
        <f t="shared" ca="1" si="3"/>
        <v>0</v>
      </c>
      <c r="D27" s="465">
        <f t="shared" si="4"/>
        <v>0.96636049729653817</v>
      </c>
      <c r="E27" s="465">
        <f t="shared" si="5"/>
        <v>62.162484625249689</v>
      </c>
      <c r="F27" s="465">
        <f t="shared" si="6"/>
        <v>0</v>
      </c>
      <c r="G27" s="465">
        <f t="shared" si="7"/>
        <v>17125.192670379798</v>
      </c>
      <c r="H27" s="465">
        <f t="shared" si="8"/>
        <v>2630.4469856139071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19819.094534525037</v>
      </c>
    </row>
    <row r="28" spans="1:17">
      <c r="A28" s="460" t="s">
        <v>569</v>
      </c>
      <c r="B28" s="461">
        <f t="shared" ca="1" si="2"/>
        <v>0</v>
      </c>
      <c r="C28" s="461">
        <f t="shared" ca="1" si="3"/>
        <v>0</v>
      </c>
      <c r="D28" s="461">
        <f t="shared" si="4"/>
        <v>0</v>
      </c>
      <c r="E28" s="461">
        <f t="shared" si="5"/>
        <v>0</v>
      </c>
      <c r="F28" s="461">
        <f t="shared" si="6"/>
        <v>0</v>
      </c>
      <c r="G28" s="461">
        <f t="shared" si="7"/>
        <v>190.79869331625051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190.79869331625051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300.6918537039279</v>
      </c>
      <c r="C32" s="461">
        <f t="shared" ca="1" si="3"/>
        <v>0</v>
      </c>
      <c r="D32" s="461">
        <f t="shared" si="4"/>
        <v>671.86158176495394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972.55343546888184</v>
      </c>
    </row>
    <row r="33" spans="1:17" s="473" customFormat="1">
      <c r="A33" s="470" t="s">
        <v>573</v>
      </c>
      <c r="B33" s="471">
        <f ca="1">SUM(B22:B32)</f>
        <v>23062.60940476325</v>
      </c>
      <c r="C33" s="471">
        <f t="shared" ref="C33:Q33" ca="1" si="18">SUM(C22:C32)</f>
        <v>0</v>
      </c>
      <c r="D33" s="471">
        <f t="shared" ca="1" si="18"/>
        <v>35107.407577416263</v>
      </c>
      <c r="E33" s="471">
        <f t="shared" si="18"/>
        <v>2644.8580474012592</v>
      </c>
      <c r="F33" s="471">
        <f t="shared" ca="1" si="18"/>
        <v>17924.170817145136</v>
      </c>
      <c r="G33" s="471">
        <f t="shared" si="18"/>
        <v>17315.991363696048</v>
      </c>
      <c r="H33" s="471">
        <f t="shared" si="18"/>
        <v>2630.4469856139071</v>
      </c>
      <c r="I33" s="471">
        <f t="shared" si="18"/>
        <v>0</v>
      </c>
      <c r="J33" s="471">
        <f t="shared" si="18"/>
        <v>5137.5196605992642</v>
      </c>
      <c r="K33" s="471">
        <f t="shared" si="18"/>
        <v>0</v>
      </c>
      <c r="L33" s="471">
        <f t="shared" ca="1" si="18"/>
        <v>0</v>
      </c>
      <c r="M33" s="471">
        <f t="shared" si="18"/>
        <v>0</v>
      </c>
      <c r="N33" s="471">
        <f t="shared" ca="1" si="18"/>
        <v>0</v>
      </c>
      <c r="O33" s="471">
        <f t="shared" si="18"/>
        <v>0</v>
      </c>
      <c r="P33" s="471">
        <f t="shared" si="18"/>
        <v>0</v>
      </c>
      <c r="Q33" s="471">
        <f t="shared" ca="1" si="18"/>
        <v>103823.00385663513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8376.9227272440148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375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441.1764705882353</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8751.9227272440148</v>
      </c>
      <c r="C10" s="1041">
        <f>SUM(C4:C9)</f>
        <v>0</v>
      </c>
      <c r="D10" s="1041">
        <f t="shared" ref="D10:H10" si="0">SUM(D8:D9)</f>
        <v>0</v>
      </c>
      <c r="E10" s="1041">
        <f t="shared" si="0"/>
        <v>0</v>
      </c>
      <c r="F10" s="1041">
        <f t="shared" si="0"/>
        <v>0</v>
      </c>
      <c r="G10" s="1041">
        <f t="shared" si="0"/>
        <v>0</v>
      </c>
      <c r="H10" s="1041">
        <f t="shared" si="0"/>
        <v>0</v>
      </c>
      <c r="I10" s="1041">
        <f>SUM(I8:I9)</f>
        <v>0</v>
      </c>
      <c r="J10" s="1041">
        <f>SUM(J8:J9)</f>
        <v>441.1764705882353</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0.20389969412380227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535.71428571428578</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630.2521008403362</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535.71428571428578</v>
      </c>
      <c r="C20" s="1041">
        <f>SUM(C17:C19)</f>
        <v>0</v>
      </c>
      <c r="D20" s="1041">
        <f t="shared" ref="D20:H20" si="2">SUM(D17:D19)</f>
        <v>0</v>
      </c>
      <c r="E20" s="1041">
        <f t="shared" si="2"/>
        <v>0</v>
      </c>
      <c r="F20" s="1041">
        <f t="shared" si="2"/>
        <v>0</v>
      </c>
      <c r="G20" s="1041">
        <f t="shared" si="2"/>
        <v>0</v>
      </c>
      <c r="H20" s="1041">
        <f t="shared" si="2"/>
        <v>0</v>
      </c>
      <c r="I20" s="1041">
        <f>SUM(I17:I19)</f>
        <v>0</v>
      </c>
      <c r="J20" s="1041">
        <f>SUM(J17:J19)</f>
        <v>630.2521008403362</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0.20389969412380227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2019-06-29T16:12:54Z</dcterms:modified>
</cp:coreProperties>
</file>