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C98"/>
  <c r="C101" s="1"/>
  <c r="B10"/>
  <c r="O19"/>
  <c r="F20"/>
  <c r="O18"/>
  <c r="B17"/>
  <c r="B20" s="1"/>
  <c r="I102"/>
  <c r="H17" s="1"/>
  <c r="H20" s="1"/>
  <c r="E102"/>
  <c r="E17" s="1"/>
  <c r="E20" s="1"/>
  <c r="G102"/>
  <c r="C102"/>
  <c r="H102"/>
  <c r="D102"/>
  <c r="F102"/>
  <c r="B102"/>
  <c r="C17" s="1"/>
  <c r="I101"/>
  <c r="H8" s="1"/>
  <c r="H10" s="1"/>
  <c r="E101"/>
  <c r="E8" s="1"/>
  <c r="E10" s="1"/>
  <c r="G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H78" i="14"/>
  <c r="H9" i="56"/>
  <c r="H10" s="1"/>
  <c r="Q87" i="14"/>
  <c r="P17" i="56" s="1"/>
  <c r="D17"/>
  <c r="O78" i="14"/>
  <c r="O9" i="56"/>
  <c r="C77" i="14"/>
  <c r="C9" i="56" s="1"/>
  <c r="D9"/>
  <c r="D10" s="1"/>
  <c r="Q88" i="14"/>
  <c r="P18" i="56" s="1"/>
  <c r="D18"/>
  <c r="K20"/>
  <c r="G78" i="14"/>
  <c r="Q89"/>
  <c r="P19" i="56" s="1"/>
  <c r="I87" i="14"/>
  <c r="I17" i="56" s="1"/>
  <c r="I20" s="1"/>
  <c r="O25" i="48"/>
  <c r="J78" i="14"/>
  <c r="Q76"/>
  <c r="P8" i="56" s="1"/>
  <c r="B10"/>
  <c r="L10"/>
  <c r="H20"/>
  <c r="O31" i="48"/>
  <c r="K78" i="14"/>
  <c r="K8" i="56"/>
  <c r="K10" s="1"/>
  <c r="L90" i="14"/>
  <c r="L17" i="56"/>
  <c r="L20" s="1"/>
  <c r="G90" i="14"/>
  <c r="G18" i="56"/>
  <c r="O90" i="14"/>
  <c r="O18" i="56"/>
  <c r="O20" s="1"/>
  <c r="K90" i="14"/>
  <c r="K18" i="56"/>
  <c r="N78" i="14"/>
  <c r="N8" i="56"/>
  <c r="N10" s="1"/>
  <c r="C76" i="14"/>
  <c r="C8" i="56" s="1"/>
  <c r="C10" s="1"/>
  <c r="E8"/>
  <c r="E10" s="1"/>
  <c r="M78" i="14"/>
  <c r="M8" i="56"/>
  <c r="M10" s="1"/>
  <c r="L78" i="14"/>
  <c r="G10" i="56"/>
  <c r="O10"/>
  <c r="C88" i="14"/>
  <c r="C18" i="56" s="1"/>
  <c r="G20"/>
  <c r="N90" i="14"/>
  <c r="F10" i="56"/>
  <c r="F20"/>
  <c r="F90" i="14"/>
  <c r="E20" i="56"/>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P20"/>
  <c r="D20"/>
  <c r="C78" i="14"/>
  <c r="J90"/>
  <c r="J17" i="56"/>
  <c r="J20" s="1"/>
  <c r="Q90" i="14"/>
  <c r="B17" i="6" s="1"/>
  <c r="C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24"/>
  <c r="D29"/>
  <c r="D31"/>
  <c r="D32"/>
  <c r="L32"/>
  <c r="L28"/>
  <c r="L29"/>
  <c r="L27"/>
  <c r="L22"/>
  <c r="L30"/>
  <c r="L31"/>
  <c r="L24"/>
  <c r="Q10" i="14"/>
  <c r="P5" i="48"/>
  <c r="P23" s="1"/>
  <c r="K32"/>
  <c r="K27"/>
  <c r="K28"/>
  <c r="K25"/>
  <c r="K31"/>
  <c r="K24"/>
  <c r="K22"/>
  <c r="K29"/>
  <c r="K26"/>
  <c r="K30"/>
  <c r="J10" i="14"/>
  <c r="J16" s="1"/>
  <c r="J27" s="1"/>
  <c r="I5" i="48"/>
  <c r="J24"/>
  <c r="J32"/>
  <c r="J29"/>
  <c r="J31"/>
  <c r="J30"/>
  <c r="J28"/>
  <c r="J27"/>
  <c r="Q11" i="14"/>
  <c r="P4" i="48"/>
  <c r="B7"/>
  <c r="C24" i="14"/>
  <c r="C26" s="1"/>
  <c r="P11"/>
  <c r="O4" i="48"/>
  <c r="I29"/>
  <c r="I22"/>
  <c r="I31"/>
  <c r="I28"/>
  <c r="I27"/>
  <c r="I32"/>
  <c r="I25"/>
  <c r="I24"/>
  <c r="I26"/>
  <c r="I30"/>
  <c r="B38" i="13"/>
  <c r="B50" s="1"/>
  <c r="E11" i="14"/>
  <c r="D4" i="48"/>
  <c r="D22" s="1"/>
  <c r="H25"/>
  <c r="H32"/>
  <c r="H24"/>
  <c r="H28"/>
  <c r="H26"/>
  <c r="H30"/>
  <c r="H29"/>
  <c r="H22"/>
  <c r="H23"/>
  <c r="D11" i="14"/>
  <c r="C4" i="48"/>
  <c r="G25"/>
  <c r="G29"/>
  <c r="G26"/>
  <c r="G32"/>
  <c r="G30"/>
  <c r="G24"/>
  <c r="G22"/>
  <c r="G23"/>
  <c r="C11" i="14"/>
  <c r="B4" i="48"/>
  <c r="F24"/>
  <c r="F32"/>
  <c r="F29"/>
  <c r="F30"/>
  <c r="F31"/>
  <c r="F27"/>
  <c r="F28"/>
  <c r="N24"/>
  <c r="N32"/>
  <c r="N30"/>
  <c r="N29"/>
  <c r="N27"/>
  <c r="N31"/>
  <c r="N28"/>
  <c r="B10"/>
  <c r="C19" i="14"/>
  <c r="E32" i="48"/>
  <c r="E28"/>
  <c r="E29"/>
  <c r="E31"/>
  <c r="E24"/>
  <c r="E30"/>
  <c r="M12" i="13"/>
  <c r="N41" i="14" s="1"/>
  <c r="M17"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J7" i="48"/>
  <c r="J25" s="1"/>
  <c r="K24" i="14"/>
  <c r="K26" s="1"/>
  <c r="P15" i="48"/>
  <c r="P22"/>
  <c r="K23"/>
  <c r="K15"/>
  <c r="P10" i="14"/>
  <c r="O5" i="48"/>
  <c r="O23" s="1"/>
  <c r="O22"/>
  <c r="J46" i="14"/>
  <c r="J61" s="1"/>
  <c r="K33" i="48"/>
  <c r="L63" i="14"/>
  <c r="L46"/>
  <c r="L61" s="1"/>
  <c r="F4" i="48"/>
  <c r="F22" s="1"/>
  <c r="G11" i="14"/>
  <c r="I18"/>
  <c r="H13" i="48"/>
  <c r="H31" s="1"/>
  <c r="Q13" i="14"/>
  <c r="Q16" s="1"/>
  <c r="Q27" s="1"/>
  <c r="P8" i="48"/>
  <c r="P26" s="1"/>
  <c r="G13"/>
  <c r="H18" i="14"/>
  <c r="N18"/>
  <c r="M13" i="48"/>
  <c r="M31" s="1"/>
  <c r="M32"/>
  <c r="M22"/>
  <c r="M26"/>
  <c r="M24"/>
  <c r="M30"/>
  <c r="M29"/>
  <c r="M25"/>
  <c r="M23"/>
  <c r="I23"/>
  <c r="I33" s="1"/>
  <c r="I15"/>
  <c r="J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8" i="48"/>
  <c r="O26" s="1"/>
  <c r="P13" i="14"/>
  <c r="E12" i="13"/>
  <c r="F41" i="14" s="1"/>
  <c r="E4" i="48"/>
  <c r="F11" i="14"/>
  <c r="R11" s="1"/>
  <c r="R18"/>
  <c r="H19"/>
  <c r="G10" i="48"/>
  <c r="K11" i="14"/>
  <c r="J4" i="48"/>
  <c r="N20" i="14"/>
  <c r="M9" i="48"/>
  <c r="E7"/>
  <c r="E25" s="1"/>
  <c r="F24" i="14"/>
  <c r="F26" s="1"/>
  <c r="F20"/>
  <c r="F22" s="1"/>
  <c r="E9" i="48"/>
  <c r="E27" s="1"/>
  <c r="P16" i="14"/>
  <c r="P27" s="1"/>
  <c r="E12" i="17"/>
  <c r="F54" i="14" s="1"/>
  <c r="F56" s="1"/>
  <c r="O15" i="48"/>
  <c r="H14" i="22"/>
  <c r="O33" i="48"/>
  <c r="N19" i="14"/>
  <c r="N22" s="1"/>
  <c r="N27" s="1"/>
  <c r="N63" s="1"/>
  <c r="M10" i="48"/>
  <c r="M28" s="1"/>
  <c r="E20" i="14"/>
  <c r="E22" s="1"/>
  <c r="D9" i="48"/>
  <c r="D27" s="1"/>
  <c r="B9"/>
  <c r="C20" i="14"/>
  <c r="G31" i="48"/>
  <c r="Q13"/>
  <c r="P33"/>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M27" i="48" l="1"/>
  <c r="M33" s="1"/>
  <c r="M15"/>
  <c r="H20" i="14"/>
  <c r="H22" s="1"/>
  <c r="H27" s="1"/>
  <c r="H63" s="1"/>
  <c r="G9" i="48"/>
  <c r="H9"/>
  <c r="I20" i="14"/>
  <c r="I22" s="1"/>
  <c r="I27" s="1"/>
  <c r="I63" s="1"/>
  <c r="G28" i="48"/>
  <c r="Q10"/>
  <c r="R19" i="14"/>
  <c r="J5" i="48"/>
  <c r="J23" s="1"/>
  <c r="K10" i="14"/>
  <c r="C22"/>
  <c r="J22" i="48"/>
  <c r="F10" i="14"/>
  <c r="E5" i="48"/>
  <c r="E23" s="1"/>
  <c r="E22"/>
  <c r="Q4"/>
  <c r="E46" i="14"/>
  <c r="E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K13" i="14"/>
  <c r="J8" i="48"/>
  <c r="J26" s="1"/>
  <c r="K16" i="14"/>
  <c r="K27" s="1"/>
  <c r="R20"/>
  <c r="R22" s="1"/>
  <c r="F13"/>
  <c r="E8" i="48"/>
  <c r="G27"/>
  <c r="G33" s="1"/>
  <c r="G15"/>
  <c r="Q5"/>
  <c r="J33"/>
  <c r="F16" i="14"/>
  <c r="F27"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15" i="48"/>
  <c r="E26"/>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<sst xmlns="http://schemas.openxmlformats.org/spreadsheetml/2006/main" count="2483" uniqueCount="946">
  <si>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</si>
  <si>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</si>
  <si>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</si>
  <si>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</si>
  <si>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</si>
  <si>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</si>
  <si>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</si>
  <si>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</si>
  <si>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</si>
  <si>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</si>
  <si>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</si>
  <si>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</si>
  <si>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</si>
  <si>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</si>
  <si>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</si>
  <si>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</si>
  <si>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</si>
  <si>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</si>
  <si>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</si>
  <si>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</si>
  <si>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</si>
  <si>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</si>
  <si>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</si>
  <si>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</si>
  <si>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</si>
  <si>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</si>
  <si>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</si>
  <si>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</si>
  <si>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</si>
  <si>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</si>
  <si>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</si>
  <si>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</si>
  <si>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</si>
  <si>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</si>
  <si>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</si>
  <si>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</si>
  <si>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</si>
  <si>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</si>
  <si>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</si>
  <si>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</si>
  <si>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</si>
  <si>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</si>
  <si>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</si>
  <si>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</si>
  <si>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</si>
  <si>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</si>
  <si>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</si>
  <si>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</si>
  <si>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</si>
  <si>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</si>
  <si>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</si>
  <si>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</si>
  <si>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</si>
  <si>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</si>
  <si>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</si>
  <si>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</si>
  <si>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</si>
  <si>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</si>
  <si>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</si>
  <si>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</si>
  <si>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</si>
  <si>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</si>
  <si>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</si>
  <si>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</si>
  <si>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</si>
  <si>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</si>
  <si>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</si>
  <si>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</si>
  <si>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</si>
  <si>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</si>
  <si>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</si>
  <si>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</si>
  <si>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</si>
  <si>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</si>
  <si>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</si>
  <si>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</si>
  <si>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</si>
  <si>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</si>
  <si>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</si>
  <si>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</si>
  <si>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</si>
  <si>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</si>
  <si>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</si>
  <si>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</si>
  <si>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</si>
  <si>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</si>
  <si>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</si>
  <si>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</si>
  <si>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</si>
  <si>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</si>
  <si>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</si>
  <si>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</si>
  <si>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</si>
  <si>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</si>
  <si>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</si>
  <si>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</si>
  <si>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</si>
  <si>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</si>
  <si>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</si>
  <si>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</si>
  <si>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</si>
  <si>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</si>
  <si>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</si>
  <si>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</si>
  <si>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</si>
  <si>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</si>
  <si>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</si>
  <si>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</si>
  <si>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</si>
  <si>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</si>
  <si>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</si>
  <si>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</si>
  <si>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</si>
  <si>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</si>
  <si>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</si>
  <si>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</si>
  <si>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</si>
  <si>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</si>
  <si>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</si>
  <si>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</si>
  <si>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</si>
  <si>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</si>
  <si>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</si>
  <si>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</si>
  <si>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</si>
  <si>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</si>
  <si>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</si>
  <si>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</si>
  <si>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</si>
  <si>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</si>
  <si>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</si>
  <si>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</si>
  <si>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</si>
  <si>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</si>
  <si>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</si>
  <si>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</si>
  <si>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</si>
  <si>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</si>
  <si>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</si>
  <si>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</si>
  <si>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</si>
  <si>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</si>
  <si>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</si>
  <si>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</si>
  <si>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</si>
  <si>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</si>
  <si>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</si>
  <si>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</si>
  <si>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</si>
  <si>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</si>
  <si>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</si>
  <si>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</si>
  <si>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</si>
  <si>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</si>
  <si>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</si>
  <si>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</si>
  <si>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</si>
  <si>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</si>
  <si>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</si>
  <si>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</si>
  <si>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</si>
  <si>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</si>
  <si>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</si>
  <si>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</si>
  <si>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</si>
  <si>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</si>
  <si>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</si>
  <si>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</si>
  <si>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</si>
  <si>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</si>
  <si>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</si>
  <si>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</si>
  <si>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</si>
  <si>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</si>
  <si>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</si>
  <si>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</si>
  <si>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</si>
  <si>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</si>
  <si>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</si>
  <si>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</si>
  <si>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</si>
  <si>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</si>
  <si>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</si>
  <si>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</si>
  <si>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</si>
  <si>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</si>
  <si>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</si>
  <si>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</si>
  <si>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</si>
  <si>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</si>
  <si>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</si>
  <si>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</si>
  <si>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</si>
  <si>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</si>
  <si>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</si>
  <si>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</si>
  <si>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</si>
  <si>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</si>
  <si>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</si>
  <si>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</si>
  <si>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</si>
  <si>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</si>
  <si>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</si>
  <si>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</si>
  <si>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</si>
  <si>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</si>
  <si>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</si>
  <si>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</si>
  <si>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</si>
  <si>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</si>
  <si>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</si>
  <si>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</si>
  <si>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</si>
  <si>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</si>
  <si>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</si>
  <si>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</si>
  <si>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</si>
  <si>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</si>
  <si>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</si>
  <si>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</si>
  <si>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</si>
  <si>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</si>
  <si>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</si>
  <si>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</si>
  <si>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</si>
  <si>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</si>
  <si>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</si>
  <si>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</si>
  <si>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</si>
  <si>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</si>
  <si>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</si>
  <si>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</si>
  <si>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</si>
  <si>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</si>
  <si>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</si>
  <si>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</si>
  <si>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</si>
  <si>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</si>
  <si>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</si>
  <si>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</si>
  <si>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</si>
  <si>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</si>
  <si>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</si>
  <si>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</si>
  <si>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</si>
  <si>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</si>
  <si>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</si>
  <si>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</si>
  <si>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</si>
  <si>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</si>
  <si>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</si>
  <si>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</si>
  <si>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</si>
  <si>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</si>
  <si>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</si>
  <si>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</si>
  <si>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</si>
  <si>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</si>
  <si>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</si>
  <si>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</si>
  <si>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</si>
  <si>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</si>
  <si>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</si>
  <si>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</si>
  <si>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</si>
  <si>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</si>
  <si>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</si>
  <si>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</si>
  <si>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</si>
  <si>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</si>
  <si>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</si>
  <si>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</si>
  <si>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</si>
  <si>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</si>
  <si>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</si>
  <si>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</si>
  <si>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</si>
  <si>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</si>
  <si>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</si>
  <si>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</si>
  <si>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</si>
  <si>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</si>
  <si>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</si>
  <si>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</si>
  <si>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</si>
  <si>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</si>
  <si>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</si>
  <si>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</si>
  <si>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</si>
  <si>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</si>
  <si>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</si>
  <si>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</si>
  <si>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</si>
  <si>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</si>
  <si>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</si>
  <si>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</si>
  <si>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</si>
  <si>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</si>
  <si>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</si>
  <si>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</si>
  <si>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</si>
  <si>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</si>
  <si>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</si>
  <si>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</si>
  <si>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</si>
  <si>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</si>
  <si>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</si>
  <si>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</si>
  <si>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</si>
  <si>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</si>
  <si>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</si>
  <si>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</si>
  <si>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</si>
  <si>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</si>
  <si>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</si>
  <si>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</si>
  <si>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</si>
  <si>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</si>
  <si>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</si>
  <si>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</si>
  <si>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</si>
  <si>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</si>
  <si>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</si>
  <si>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</si>
  <si>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</si>
  <si>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</si>
  <si>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</si>
  <si>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</si>
  <si>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</si>
  <si>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</si>
  <si>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</si>
  <si>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</si>
  <si>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</si>
  <si>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</si>
  <si>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</si>
  <si>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</si>
  <si>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</si>
  <si>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</si>
  <si>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</si>
  <si>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</si>
  <si>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</si>
  <si>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</si>
  <si>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</si>
  <si>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</si>
  <si>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</si>
  <si>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</si>
  <si>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</si>
  <si>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</si>
  <si>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</si>
  <si>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</si>
  <si>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</si>
  <si>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</si>
  <si>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</si>
  <si>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</si>
  <si>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</si>
  <si>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</si>
  <si>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</si>
  <si>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</si>
  <si>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</si>
  <si>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</si>
  <si>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</si>
  <si>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</si>
  <si>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</si>
  <si>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</si>
  <si>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</si>
  <si>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</si>
  <si>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</si>
  <si>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</si>
  <si>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</si>
  <si>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</si>
  <si>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</si>
  <si>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</si>
  <si>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</si>
  <si>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</si>
  <si>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</si>
  <si>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</si>
  <si>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</si>
  <si>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</si>
  <si>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</si>
  <si>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</si>
  <si>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</si>
  <si>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</si>
  <si>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</si>
  <si>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</si>
  <si>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</si>
  <si>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</si>
  <si>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</si>
  <si>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</si>
  <si>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</si>
  <si>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</si>
  <si>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</si>
  <si>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</si>
  <si>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</si>
  <si>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</si>
  <si>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</si>
  <si>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</si>
  <si>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</si>
  <si>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</si>
  <si>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</si>
  <si>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</si>
  <si>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</si>
  <si>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</si>
  <si>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</si>
  <si>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</si>
  <si>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</si>
  <si>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</si>
  <si>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</si>
  <si>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</si>
  <si>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</si>
  <si>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</si>
  <si>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</si>
  <si>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</si>
  <si>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</si>
  <si>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</si>
  <si>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</si>
  <si>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</si>
  <si>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</si>
  <si>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</si>
  <si>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</si>
  <si>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</si>
  <si>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</si>
  <si>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</si>
  <si>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</si>
  <si>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</si>
  <si>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</si>
  <si>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</si>
  <si>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</si>
  <si>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</si>
  <si>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</si>
  <si>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</si>
  <si>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</si>
  <si>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</si>
  <si>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</si>
  <si>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</si>
  <si>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</si>
  <si>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</si>
  <si>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</si>
  <si>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</si>
  <si>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</si>
  <si>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</si>
  <si>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</si>
  <si>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</si>
  <si>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</si>
  <si>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</si>
  <si>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</si>
  <si>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</si>
  <si>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</si>
  <si>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</si>
  <si>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</si>
  <si>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</si>
  <si>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</si>
  <si>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</si>
  <si>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</si>
  <si>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</si>
  <si>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</si>
  <si>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</si>
  <si>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</si>
  <si>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</si>
  <si>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</si>
  <si>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</si>
  <si>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</si>
  <si>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</si>
  <si>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</si>
  <si>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</si>
  <si>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</si>
  <si>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</si>
  <si>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</si>
  <si>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</si>
  <si>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</si>
  <si>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</si>
  <si>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</si>
  <si>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</si>
  <si>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</si>
  <si>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</si>
  <si>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</si>
  <si>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</si>
  <si>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</si>
  <si>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</si>
  <si>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</si>
  <si>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</si>
  <si>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</si>
  <si>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</si>
  <si>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</si>
  <si>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</si>
  <si>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</si>
  <si>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</si>
  <si>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</si>
  <si>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</si>
  <si>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</si>
  <si>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</si>
  <si>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</si>
  <si>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</si>
  <si>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</si>
  <si>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</si>
  <si>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</si>
  <si>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</si>
  <si>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</si>
  <si>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</si>
  <si>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</si>
  <si>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</si>
  <si>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</si>
  <si>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</si>
  <si>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</si>
  <si>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</si>
  <si>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</si>
  <si>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</si>
  <si>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</si>
  <si>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</si>
  <si>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</si>
  <si>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</si>
  <si>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</si>
  <si>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</si>
  <si>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</si>
  <si>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</si>
  <si>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</si>
  <si>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</si>
  <si>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</si>
  <si>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</si>
  <si>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</si>
  <si>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</si>
  <si>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</si>
  <si>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</si>
  <si>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</si>
  <si>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</si>
  <si>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</si>
  <si>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</si>
  <si>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</si>
  <si>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</si>
  <si>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</si>
  <si>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</si>
  <si>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</si>
  <si>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</si>
  <si>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</si>
  <si>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</si>
  <si>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</si>
  <si>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</si>
  <si>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</si>
  <si>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</si>
  <si>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</si>
  <si>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</si>
  <si>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</si>
  <si>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</si>
  <si>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</si>
  <si>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</si>
  <si>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</si>
  <si>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</si>
  <si>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</si>
  <si>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</si>
  <si>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</si>
  <si>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</si>
  <si>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</si>
  <si>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</si>
  <si>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</si>
  <si>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</si>
  <si>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</si>
  <si>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</si>
  <si>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</si>
  <si>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</si>
  <si>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</si>
  <si>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</si>
  <si>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</si>
  <si>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</si>
  <si>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</si>
  <si>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</si>
  <si>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</si>
  <si>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</si>
  <si>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</si>
  <si>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</si>
  <si>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</si>
  <si>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</si>
  <si>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</si>
  <si>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</si>
  <si>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</si>
  <si>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</si>
  <si>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</si>
  <si>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</si>
  <si>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</si>
  <si>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</si>
  <si>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</si>
  <si>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</si>
  <si>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</si>
  <si>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</si>
  <si>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</si>
  <si>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</si>
  <si>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</si>
  <si>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</si>
  <si>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</si>
  <si>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</si>
  <si>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</si>
  <si>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</si>
  <si>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</si>
  <si>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</si>
  <si>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</si>
  <si>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</si>
  <si>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</si>
  <si>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</si>
  <si>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</si>
  <si>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</si>
  <si>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</si>
  <si>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</si>
  <si>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</si>
  <si>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</si>
  <si>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</si>
  <si>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</si>
  <si>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</si>
  <si>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</si>
  <si>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</si>
  <si>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</si>
  <si>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</si>
  <si>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</si>
  <si>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</si>
  <si>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</si>
  <si>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</si>
  <si>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</si>
  <si>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</si>
  <si>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</si>
  <si>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</si>
  <si>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</si>
  <si>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</si>
  <si>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</si>
  <si>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</si>
  <si>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</si>
  <si>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</si>
  <si>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</si>
  <si>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</si>
  <si>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</si>
  <si>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</si>
  <si>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</si>
  <si>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</si>
  <si>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</si>
  <si>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</si>
  <si>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</si>
  <si>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</si>
  <si>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</si>
  <si>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</si>
  <si>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</si>
  <si>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</si>
  <si>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</si>
  <si>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</si>
  <si>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</si>
  <si>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</si>
  <si>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</si>
  <si>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</si>
  <si>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</si>
  <si>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</si>
  <si>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</si>
  <si>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</si>
  <si>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</si>
  <si>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</si>
  <si>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</si>
  <si>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</si>
  <si>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</si>
  <si>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</si>
  <si>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</si>
  <si>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</si>
  <si>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</si>
  <si>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</si>
  <si>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</si>
  <si>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</si>
  <si>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</si>
  <si>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</si>
  <si>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</si>
  <si>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</si>
  <si>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</si>
  <si>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</si>
  <si>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</si>
  <si>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</si>
  <si>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</si>
  <si>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</si>
  <si>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</si>
  <si>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</si>
  <si>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</si>
  <si>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</si>
  <si>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</si>
  <si>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</si>
  <si>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</si>
  <si>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</si>
  <si>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</si>
  <si>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</si>
  <si>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</si>
  <si>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</si>
  <si>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</si>
  <si>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</si>
  <si>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</si>
  <si>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</si>
  <si>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</si>
  <si>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</si>
  <si>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</si>
  <si>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</si>
  <si>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</si>
  <si>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</si>
  <si>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</si>
  <si>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</si>
  <si>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</si>
  <si>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</si>
  <si>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</si>
  <si>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</si>
  <si>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</si>
  <si>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</si>
  <si>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</si>
  <si>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</si>
  <si>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</si>
  <si>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</si>
  <si>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</si>
  <si>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</si>
  <si>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</si>
  <si>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</si>
  <si>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</si>
  <si>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</si>
  <si>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</si>
  <si>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</si>
  <si>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</si>
  <si>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</si>
  <si>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</si>
  <si>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</si>
  <si>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</si>
  <si>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</si>
  <si>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</si>
  <si>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</si>
  <si>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</si>
  <si>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</si>
  <si>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</si>
  <si>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</si>
  <si>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</si>
  <si>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</si>
  <si>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</si>
  <si>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</si>
  <si>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</si>
  <si>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</si>
  <si>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</si>
  <si>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</si>
  <si>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</si>
  <si>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</si>
  <si>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</si>
  <si>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</si>
  <si>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</si>
  <si>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</si>
  <si>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</si>
  <si>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</si>
  <si>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</si>
  <si>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</si>
  <si>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</si>
  <si>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</si>
  <si>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</si>
  <si>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</si>
  <si>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</si>
  <si>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</si>
  <si>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</si>
  <si>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</si>
  <si>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</si>
  <si>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</si>
  <si>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</si>
  <si>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</si>
  <si>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</si>
  <si>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</si>
  <si>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</si>
  <si>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</si>
  <si>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</si>
  <si>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</si>
  <si>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</si>
  <si>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</si>
  <si>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</si>
  <si>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</si>
  <si>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</si>
  <si>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</si>
  <si>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</si>
  <si>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</si>
  <si>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</si>
  <si>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</si>
  <si>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</si>
  <si>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</si>
  <si>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</si>
  <si>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</si>
  <si>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</si>
  <si>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</si>
  <si>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</si>
  <si>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</si>
  <si>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</si>
  <si>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</si>
  <si>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</si>
  <si>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</si>
  <si>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</si>
  <si>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</si>
  <si>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</si>
  <si>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</si>
  <si>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</si>
  <si>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</si>
  <si>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</si>
  <si>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</si>
  <si>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</si>
  <si>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</si>
  <si>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</si>
  <si>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</si>
  <si>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</si>
  <si>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</si>
  <si>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</si>
  <si>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</si>
  <si>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</si>
  <si>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</si>
  <si>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</si>
  <si>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</si>
  <si>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</si>
  <si>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</si>
  <si>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</si>
  <si>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</si>
  <si>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</si>
  <si>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</si>
  <si>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</si>
  <si>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</si>
  <si>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</si>
  <si>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</si>
  <si>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</si>
  <si>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</si>
  <si>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</si>
  <si>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</si>
  <si>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</si>
  <si>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</si>
  <si>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</si>
  <si>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</si>
  <si>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</si>
  <si>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</si>
  <si>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</si>
  <si>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</si>
  <si>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</si>
  <si>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</si>
  <si>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</si>
  <si>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</si>
  <si>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</si>
  <si>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</si>
  <si>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</si>
  <si>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</si>
  <si>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</si>
  <si>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</si>
  <si>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</si>
  <si>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</si>
  <si>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</si>
  <si>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</si>
  <si>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</si>
  <si>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</si>
  <si>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</si>
  <si>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</si>
  <si>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</si>
  <si>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</si>
  <si>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</si>
  <si>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</si>
  <si>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</si>
  <si>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</si>
  <si>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</si>
  <si>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</si>
  <si>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</si>
  <si>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</si>
  <si>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</si>
  <si>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</si>
  <si>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</si>
  <si>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</si>
  <si>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</si>
  <si>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</si>
  <si>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</si>
  <si>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</si>
  <si>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</si>
  <si>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</si>
  <si>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</si>
  <si>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</si>
  <si>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</si>
  <si>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</si>
  <si>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</si>
  <si>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</si>
  <si>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</si>
  <si>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</si>
  <si>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</si>
  <si>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</si>
  <si>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</si>
  <si>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</si>
  <si>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</si>
  <si>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</si>
  <si>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</si>
  <si>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</si>
  <si>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</si>
  <si>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</si>
  <si>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</si>
  <si>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</si>
  <si>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</si>
  <si>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</si>
  <si>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</si>
  <si>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</si>
  <si>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</si>
  <si>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</si>
  <si>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</si>
  <si>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</si>
  <si>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</si>
  <si>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</si>
  <si>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</si>
  <si>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</si>
  <si>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</si>
  <si>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</si>
  <si>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</si>
  <si>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</si>
  <si>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</si>
  <si>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</si>
  <si>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</si>
  <si>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</si>
  <si>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</si>
  <si>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</si>
  <si>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</si>
  <si>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</si>
  <si>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</si>
  <si>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</si>
  <si>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</si>
  <si>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</si>
  <si>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</si>
  <si>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</si>
  <si>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</si>
  <si>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</si>
  <si>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</si>
  <si>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</si>
  <si>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</si>
  <si>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</si>
  <si>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</si>
  <si>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</si>
  <si>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</si>
  <si>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</si>
  <si>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</si>
  <si>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</si>
  <si>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</si>
  <si>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</si>
  <si>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</si>
  <si>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</si>
  <si>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</si>
  <si>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</si>
  <si>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</si>
  <si>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</si>
  <si>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</si>
  <si>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</si>
  <si>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</si>
  <si>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</si>
  <si>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</si>
  <si>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</si>
  <si>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</si>
  <si>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</si>
  <si>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</si>
  <si>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31033</t>
  </si>
  <si>
    <t>TORHOUT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</si>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</sst>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31033</v>
      </c>
      <c r="B6" s="397"/>
      <c r="C6" s="398"/>
    </row>
    <row r="7" spans="1:7" s="395" customFormat="1" ht="15.75" customHeight="1">
      <c r="A7" s="399" t="str">
        <f>txtMunicipality</f>
        <v>TORHOUT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0.20846885984443411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0.20846885984443411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31033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8479</v>
      </c>
      <c r="C9" s="338">
        <v>9220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2781</v>
      </c>
    </row>
    <row r="15" spans="1:6">
      <c r="A15" s="1286" t="s">
        <v>184</v>
      </c>
      <c r="B15" s="335">
        <v>34</v>
      </c>
    </row>
    <row r="16" spans="1:6">
      <c r="A16" s="1286" t="s">
        <v>6</v>
      </c>
      <c r="B16" s="335">
        <v>1156</v>
      </c>
    </row>
    <row r="17" spans="1:6">
      <c r="A17" s="1286" t="s">
        <v>7</v>
      </c>
      <c r="B17" s="335">
        <v>1282</v>
      </c>
    </row>
    <row r="18" spans="1:6">
      <c r="A18" s="1286" t="s">
        <v>8</v>
      </c>
      <c r="B18" s="335">
        <v>1747</v>
      </c>
    </row>
    <row r="19" spans="1:6">
      <c r="A19" s="1286" t="s">
        <v>9</v>
      </c>
      <c r="B19" s="335">
        <v>1542</v>
      </c>
    </row>
    <row r="20" spans="1:6">
      <c r="A20" s="1286" t="s">
        <v>10</v>
      </c>
      <c r="B20" s="335">
        <v>1139</v>
      </c>
    </row>
    <row r="21" spans="1:6">
      <c r="A21" s="1286" t="s">
        <v>11</v>
      </c>
      <c r="B21" s="335">
        <v>14019</v>
      </c>
    </row>
    <row r="22" spans="1:6">
      <c r="A22" s="1286" t="s">
        <v>12</v>
      </c>
      <c r="B22" s="335">
        <v>79480</v>
      </c>
    </row>
    <row r="23" spans="1:6">
      <c r="A23" s="1286" t="s">
        <v>13</v>
      </c>
      <c r="B23" s="335">
        <v>767</v>
      </c>
    </row>
    <row r="24" spans="1:6">
      <c r="A24" s="1286" t="s">
        <v>14</v>
      </c>
      <c r="B24" s="335">
        <v>20</v>
      </c>
    </row>
    <row r="25" spans="1:6">
      <c r="A25" s="1286" t="s">
        <v>15</v>
      </c>
      <c r="B25" s="335">
        <v>3474</v>
      </c>
    </row>
    <row r="26" spans="1:6">
      <c r="A26" s="1286" t="s">
        <v>16</v>
      </c>
      <c r="B26" s="335">
        <v>283</v>
      </c>
    </row>
    <row r="27" spans="1:6">
      <c r="A27" s="1286" t="s">
        <v>17</v>
      </c>
      <c r="B27" s="335">
        <v>8</v>
      </c>
    </row>
    <row r="28" spans="1:6" s="341" customFormat="1">
      <c r="A28" s="1287" t="s">
        <v>18</v>
      </c>
      <c r="B28" s="1287">
        <v>37147</v>
      </c>
    </row>
    <row r="29" spans="1:6">
      <c r="A29" s="1287" t="s">
        <v>942</v>
      </c>
      <c r="B29" s="1287">
        <v>287</v>
      </c>
      <c r="C29" s="341"/>
      <c r="D29" s="341"/>
      <c r="E29" s="341"/>
      <c r="F29" s="341"/>
    </row>
    <row r="30" spans="1:6">
      <c r="A30" s="1282" t="s">
        <v>943</v>
      </c>
      <c r="B30" s="1282">
        <v>63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8</v>
      </c>
      <c r="F36" s="335">
        <v>3121593</v>
      </c>
    </row>
    <row r="37" spans="1:6">
      <c r="A37" s="1286" t="s">
        <v>25</v>
      </c>
      <c r="B37" s="1286" t="s">
        <v>28</v>
      </c>
      <c r="C37" s="335">
        <v>0</v>
      </c>
      <c r="D37" s="335">
        <v>0</v>
      </c>
      <c r="E37" s="335">
        <v>0</v>
      </c>
      <c r="F37" s="335">
        <v>0</v>
      </c>
    </row>
    <row r="38" spans="1:6">
      <c r="A38" s="1286" t="s">
        <v>25</v>
      </c>
      <c r="B38" s="1286" t="s">
        <v>29</v>
      </c>
      <c r="C38" s="335">
        <v>3</v>
      </c>
      <c r="D38" s="335">
        <v>740353</v>
      </c>
      <c r="E38" s="335">
        <v>0</v>
      </c>
      <c r="F38" s="335">
        <v>0</v>
      </c>
    </row>
    <row r="39" spans="1:6">
      <c r="A39" s="1286" t="s">
        <v>30</v>
      </c>
      <c r="B39" s="1286" t="s">
        <v>31</v>
      </c>
      <c r="C39" s="335">
        <v>4906</v>
      </c>
      <c r="D39" s="335">
        <v>79707214</v>
      </c>
      <c r="E39" s="335">
        <v>8405</v>
      </c>
      <c r="F39" s="335">
        <v>37127882</v>
      </c>
    </row>
    <row r="40" spans="1:6">
      <c r="A40" s="1286" t="s">
        <v>30</v>
      </c>
      <c r="B40" s="1286" t="s">
        <v>29</v>
      </c>
      <c r="C40" s="335">
        <v>0</v>
      </c>
      <c r="D40" s="335">
        <v>0</v>
      </c>
      <c r="E40" s="335">
        <v>0</v>
      </c>
      <c r="F40" s="335">
        <v>0</v>
      </c>
    </row>
    <row r="41" spans="1:6">
      <c r="A41" s="1286" t="s">
        <v>32</v>
      </c>
      <c r="B41" s="1286" t="s">
        <v>33</v>
      </c>
      <c r="C41" s="335">
        <v>65</v>
      </c>
      <c r="D41" s="335">
        <v>1505372</v>
      </c>
      <c r="E41" s="335">
        <v>213</v>
      </c>
      <c r="F41" s="335">
        <v>2792196</v>
      </c>
    </row>
    <row r="42" spans="1:6">
      <c r="A42" s="1286" t="s">
        <v>32</v>
      </c>
      <c r="B42" s="1286" t="s">
        <v>34</v>
      </c>
      <c r="C42" s="335">
        <v>0</v>
      </c>
      <c r="D42" s="335">
        <v>0</v>
      </c>
      <c r="E42" s="335">
        <v>5</v>
      </c>
      <c r="F42" s="335">
        <v>94515</v>
      </c>
    </row>
    <row r="43" spans="1:6">
      <c r="A43" s="1286" t="s">
        <v>32</v>
      </c>
      <c r="B43" s="1286" t="s">
        <v>35</v>
      </c>
      <c r="C43" s="335">
        <v>0</v>
      </c>
      <c r="D43" s="335">
        <v>0</v>
      </c>
      <c r="E43" s="335">
        <v>0</v>
      </c>
      <c r="F43" s="335">
        <v>0</v>
      </c>
    </row>
    <row r="44" spans="1:6">
      <c r="A44" s="1286" t="s">
        <v>32</v>
      </c>
      <c r="B44" s="1286" t="s">
        <v>36</v>
      </c>
      <c r="C44" s="335">
        <v>15</v>
      </c>
      <c r="D44" s="335">
        <v>371809</v>
      </c>
      <c r="E44" s="335">
        <v>37</v>
      </c>
      <c r="F44" s="335">
        <v>794958</v>
      </c>
    </row>
    <row r="45" spans="1:6">
      <c r="A45" s="1286" t="s">
        <v>32</v>
      </c>
      <c r="B45" s="1286" t="s">
        <v>37</v>
      </c>
      <c r="C45" s="335">
        <v>0</v>
      </c>
      <c r="D45" s="335">
        <v>0</v>
      </c>
      <c r="E45" s="335">
        <v>4</v>
      </c>
      <c r="F45" s="335">
        <v>553200</v>
      </c>
    </row>
    <row r="46" spans="1:6">
      <c r="A46" s="1286" t="s">
        <v>32</v>
      </c>
      <c r="B46" s="1286" t="s">
        <v>38</v>
      </c>
      <c r="C46" s="335">
        <v>0</v>
      </c>
      <c r="D46" s="335">
        <v>0</v>
      </c>
      <c r="E46" s="335">
        <v>0</v>
      </c>
      <c r="F46" s="335">
        <v>0</v>
      </c>
    </row>
    <row r="47" spans="1:6">
      <c r="A47" s="1286" t="s">
        <v>32</v>
      </c>
      <c r="B47" s="1286" t="s">
        <v>39</v>
      </c>
      <c r="C47" s="335">
        <v>7</v>
      </c>
      <c r="D47" s="335">
        <v>398482</v>
      </c>
      <c r="E47" s="335">
        <v>8</v>
      </c>
      <c r="F47" s="335">
        <v>85106</v>
      </c>
    </row>
    <row r="48" spans="1:6">
      <c r="A48" s="1286" t="s">
        <v>32</v>
      </c>
      <c r="B48" s="1286" t="s">
        <v>29</v>
      </c>
      <c r="C48" s="335">
        <v>4</v>
      </c>
      <c r="D48" s="335">
        <v>163172</v>
      </c>
      <c r="E48" s="335">
        <v>0</v>
      </c>
      <c r="F48" s="335">
        <v>0</v>
      </c>
    </row>
    <row r="49" spans="1:6">
      <c r="A49" s="1286" t="s">
        <v>32</v>
      </c>
      <c r="B49" s="1286" t="s">
        <v>40</v>
      </c>
      <c r="C49" s="335">
        <v>0</v>
      </c>
      <c r="D49" s="335">
        <v>0</v>
      </c>
      <c r="E49" s="335">
        <v>5</v>
      </c>
      <c r="F49" s="335">
        <v>150277</v>
      </c>
    </row>
    <row r="50" spans="1:6">
      <c r="A50" s="1286" t="s">
        <v>32</v>
      </c>
      <c r="B50" s="1286" t="s">
        <v>41</v>
      </c>
      <c r="C50" s="335">
        <v>13</v>
      </c>
      <c r="D50" s="335">
        <v>450652</v>
      </c>
      <c r="E50" s="335">
        <v>34</v>
      </c>
      <c r="F50" s="335">
        <v>10331833</v>
      </c>
    </row>
    <row r="51" spans="1:6">
      <c r="A51" s="1286" t="s">
        <v>42</v>
      </c>
      <c r="B51" s="1286" t="s">
        <v>43</v>
      </c>
      <c r="C51" s="335">
        <v>22</v>
      </c>
      <c r="D51" s="335">
        <v>15736857</v>
      </c>
      <c r="E51" s="335">
        <v>171</v>
      </c>
      <c r="F51" s="335">
        <v>3791325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116</v>
      </c>
      <c r="F54" s="335">
        <v>1396151</v>
      </c>
    </row>
    <row r="55" spans="1:6">
      <c r="A55" s="1286" t="s">
        <v>46</v>
      </c>
      <c r="B55" s="1286" t="s">
        <v>29</v>
      </c>
      <c r="C55" s="335">
        <v>0</v>
      </c>
      <c r="D55" s="335">
        <v>0</v>
      </c>
      <c r="E55" s="335">
        <v>0</v>
      </c>
      <c r="F55" s="335">
        <v>0</v>
      </c>
    </row>
    <row r="56" spans="1:6">
      <c r="A56" s="1286" t="s">
        <v>48</v>
      </c>
      <c r="B56" s="1286" t="s">
        <v>29</v>
      </c>
      <c r="C56" s="335">
        <v>70</v>
      </c>
      <c r="D56" s="335">
        <v>2563127</v>
      </c>
      <c r="E56" s="335">
        <v>137</v>
      </c>
      <c r="F56" s="335">
        <v>979094</v>
      </c>
    </row>
    <row r="57" spans="1:6">
      <c r="A57" s="1286" t="s">
        <v>49</v>
      </c>
      <c r="B57" s="1286" t="s">
        <v>50</v>
      </c>
      <c r="C57" s="335">
        <v>71</v>
      </c>
      <c r="D57" s="335">
        <v>7788809</v>
      </c>
      <c r="E57" s="335">
        <v>105</v>
      </c>
      <c r="F57" s="335">
        <v>1816330</v>
      </c>
    </row>
    <row r="58" spans="1:6">
      <c r="A58" s="1286" t="s">
        <v>49</v>
      </c>
      <c r="B58" s="1286" t="s">
        <v>51</v>
      </c>
      <c r="C58" s="335">
        <v>39</v>
      </c>
      <c r="D58" s="335">
        <v>8847228</v>
      </c>
      <c r="E58" s="335">
        <v>70</v>
      </c>
      <c r="F58" s="335">
        <v>4739894</v>
      </c>
    </row>
    <row r="59" spans="1:6">
      <c r="A59" s="1286" t="s">
        <v>49</v>
      </c>
      <c r="B59" s="1286" t="s">
        <v>52</v>
      </c>
      <c r="C59" s="335">
        <v>166</v>
      </c>
      <c r="D59" s="335">
        <v>5803440</v>
      </c>
      <c r="E59" s="335">
        <v>359</v>
      </c>
      <c r="F59" s="335">
        <v>10160658</v>
      </c>
    </row>
    <row r="60" spans="1:6">
      <c r="A60" s="1286" t="s">
        <v>49</v>
      </c>
      <c r="B60" s="1286" t="s">
        <v>53</v>
      </c>
      <c r="C60" s="335">
        <v>59</v>
      </c>
      <c r="D60" s="335">
        <v>2135112</v>
      </c>
      <c r="E60" s="335">
        <v>86</v>
      </c>
      <c r="F60" s="335">
        <v>2426725</v>
      </c>
    </row>
    <row r="61" spans="1:6">
      <c r="A61" s="1286" t="s">
        <v>49</v>
      </c>
      <c r="B61" s="1286" t="s">
        <v>54</v>
      </c>
      <c r="C61" s="335">
        <v>98</v>
      </c>
      <c r="D61" s="335">
        <v>3690359</v>
      </c>
      <c r="E61" s="335">
        <v>369</v>
      </c>
      <c r="F61" s="335">
        <v>5306783</v>
      </c>
    </row>
    <row r="62" spans="1:6">
      <c r="A62" s="1286" t="s">
        <v>49</v>
      </c>
      <c r="B62" s="1286" t="s">
        <v>55</v>
      </c>
      <c r="C62" s="335">
        <v>27</v>
      </c>
      <c r="D62" s="335">
        <v>9492079</v>
      </c>
      <c r="E62" s="335">
        <v>25</v>
      </c>
      <c r="F62" s="335">
        <v>1745693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27320</v>
      </c>
      <c r="E65" s="335">
        <v>1</v>
      </c>
      <c r="F65" s="335">
        <v>175034</v>
      </c>
    </row>
    <row r="66" spans="1:6">
      <c r="A66" s="1286" t="s">
        <v>56</v>
      </c>
      <c r="B66" s="1286" t="s">
        <v>58</v>
      </c>
      <c r="C66" s="335">
        <v>0</v>
      </c>
      <c r="D66" s="335">
        <v>0</v>
      </c>
      <c r="E66" s="335">
        <v>0</v>
      </c>
      <c r="F66" s="335">
        <v>0</v>
      </c>
    </row>
    <row r="67" spans="1:6">
      <c r="A67" s="1287" t="s">
        <v>56</v>
      </c>
      <c r="B67" s="1287" t="s">
        <v>59</v>
      </c>
      <c r="C67" s="335">
        <v>0</v>
      </c>
      <c r="D67" s="335">
        <v>0</v>
      </c>
      <c r="E67" s="335">
        <v>3</v>
      </c>
      <c r="F67" s="335">
        <v>87832</v>
      </c>
    </row>
    <row r="68" spans="1:6">
      <c r="A68" s="1282" t="s">
        <v>56</v>
      </c>
      <c r="B68" s="1282" t="s">
        <v>60</v>
      </c>
      <c r="C68" s="335">
        <v>6</v>
      </c>
      <c r="D68" s="335">
        <v>88371</v>
      </c>
      <c r="E68" s="335">
        <v>19</v>
      </c>
      <c r="F68" s="335">
        <v>134620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60959559</v>
      </c>
      <c r="E73" s="335">
        <v>48796442.709502451</v>
      </c>
    </row>
    <row r="74" spans="1:6">
      <c r="A74" s="1286" t="s">
        <v>64</v>
      </c>
      <c r="B74" s="1286" t="s">
        <v>772</v>
      </c>
      <c r="C74" s="1297" t="s">
        <v>766</v>
      </c>
      <c r="D74" s="335">
        <v>9324657.2825454213</v>
      </c>
      <c r="E74" s="335">
        <v>7503853.4433143977</v>
      </c>
    </row>
    <row r="75" spans="1:6">
      <c r="A75" s="1286" t="s">
        <v>65</v>
      </c>
      <c r="B75" s="1286" t="s">
        <v>771</v>
      </c>
      <c r="C75" s="1297" t="s">
        <v>767</v>
      </c>
      <c r="D75" s="335">
        <v>30157730</v>
      </c>
      <c r="E75" s="335">
        <v>22393277.37081283</v>
      </c>
    </row>
    <row r="76" spans="1:6">
      <c r="A76" s="1286" t="s">
        <v>65</v>
      </c>
      <c r="B76" s="1286" t="s">
        <v>772</v>
      </c>
      <c r="C76" s="1297" t="s">
        <v>768</v>
      </c>
      <c r="D76" s="335">
        <v>1694835.2825454208</v>
      </c>
      <c r="E76" s="335">
        <v>1247059.424532203</v>
      </c>
    </row>
    <row r="77" spans="1:6">
      <c r="A77" s="1286" t="s">
        <v>66</v>
      </c>
      <c r="B77" s="1286" t="s">
        <v>771</v>
      </c>
      <c r="C77" s="1297" t="s">
        <v>769</v>
      </c>
      <c r="D77" s="335">
        <v>16736246</v>
      </c>
      <c r="E77" s="335">
        <v>19581591.323113818</v>
      </c>
    </row>
    <row r="78" spans="1:6">
      <c r="A78" s="1282" t="s">
        <v>66</v>
      </c>
      <c r="B78" s="1282" t="s">
        <v>772</v>
      </c>
      <c r="C78" s="1282" t="s">
        <v>770</v>
      </c>
      <c r="D78" s="1282">
        <v>2399248</v>
      </c>
      <c r="E78" s="1282">
        <v>2545423.6526673525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336241.43490915815</v>
      </c>
      <c r="C83" s="335">
        <v>317360.91887030663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3919.83286184691</v>
      </c>
    </row>
    <row r="92" spans="1:6">
      <c r="A92" s="1282" t="s">
        <v>69</v>
      </c>
      <c r="B92" s="338">
        <v>1082.1175746279296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2900</v>
      </c>
    </row>
    <row r="98" spans="1:6">
      <c r="A98" s="1286" t="s">
        <v>72</v>
      </c>
      <c r="B98" s="335">
        <v>0</v>
      </c>
    </row>
    <row r="99" spans="1:6">
      <c r="A99" s="1286" t="s">
        <v>73</v>
      </c>
      <c r="B99" s="335">
        <v>129</v>
      </c>
    </row>
    <row r="100" spans="1:6">
      <c r="A100" s="1286" t="s">
        <v>74</v>
      </c>
      <c r="B100" s="335">
        <v>998</v>
      </c>
    </row>
    <row r="101" spans="1:6">
      <c r="A101" s="1286" t="s">
        <v>75</v>
      </c>
      <c r="B101" s="335">
        <v>144</v>
      </c>
    </row>
    <row r="102" spans="1:6">
      <c r="A102" s="1286" t="s">
        <v>76</v>
      </c>
      <c r="B102" s="335">
        <v>105</v>
      </c>
    </row>
    <row r="103" spans="1:6">
      <c r="A103" s="1286" t="s">
        <v>77</v>
      </c>
      <c r="B103" s="335">
        <v>238</v>
      </c>
    </row>
    <row r="104" spans="1:6">
      <c r="A104" s="1286" t="s">
        <v>78</v>
      </c>
      <c r="B104" s="335">
        <v>2766</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88214.722103315275</v>
      </c>
      <c r="C3" s="44" t="s">
        <v>170</v>
      </c>
      <c r="D3" s="44"/>
      <c r="E3" s="157"/>
      <c r="F3" s="44"/>
      <c r="G3" s="44"/>
      <c r="H3" s="44"/>
      <c r="I3" s="44"/>
      <c r="J3" s="44"/>
      <c r="K3" s="97"/>
    </row>
    <row r="4" spans="1:11">
      <c r="A4" s="365" t="s">
        <v>171</v>
      </c>
      <c r="B4" s="50">
        <f>IF(ISERROR('SEAP template'!B78),0,'SEAP template'!B78)</f>
        <v>5001.9504364748391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0.20846885984443411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1396.1510000000001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1396.1510000000001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0.20846885984443411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291.05400714066656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37127.881999999998</v>
      </c>
      <c r="C5" s="18">
        <f>IF(ISERROR('Eigen informatie GS &amp; warmtenet'!B57),0,'Eigen informatie GS &amp; warmtenet'!B57)</f>
        <v>0</v>
      </c>
      <c r="D5" s="31">
        <f>(SUM(HH_hh_gas_kWh,HH_rest_gas_kWh)/1000)*0.902</f>
        <v>71895.907028000001</v>
      </c>
      <c r="E5" s="18">
        <f>B46*B57</f>
        <v>5696.5818663103728</v>
      </c>
      <c r="F5" s="18">
        <f>B51*B62</f>
        <v>18962.132848625381</v>
      </c>
      <c r="G5" s="19"/>
      <c r="H5" s="18"/>
      <c r="I5" s="18"/>
      <c r="J5" s="18">
        <f>B50*B61+C50*C61</f>
        <v>1180.2325039244765</v>
      </c>
      <c r="K5" s="18"/>
      <c r="L5" s="18"/>
      <c r="M5" s="18"/>
      <c r="N5" s="18">
        <f>B48*B59+C48*C59</f>
        <v>20651.041496018348</v>
      </c>
      <c r="O5" s="18">
        <f>B69*B70*B71</f>
        <v>120.37666666666668</v>
      </c>
      <c r="P5" s="18">
        <f>B77*B78*B79/1000-B77*B78*B79/1000/B80</f>
        <v>533.86666666666667</v>
      </c>
    </row>
    <row r="6" spans="1:16">
      <c r="A6" s="17" t="s">
        <v>639</v>
      </c>
      <c r="B6" s="780">
        <f>kWh_PV_kleiner_dan_10kW</f>
        <v>3919.83286184691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41047.714861846907</v>
      </c>
      <c r="C8" s="22">
        <f>C5</f>
        <v>0</v>
      </c>
      <c r="D8" s="22">
        <f>D5</f>
        <v>71895.907028000001</v>
      </c>
      <c r="E8" s="22">
        <f>E5</f>
        <v>5696.5818663103728</v>
      </c>
      <c r="F8" s="22">
        <f>F5</f>
        <v>18962.132848625381</v>
      </c>
      <c r="G8" s="22"/>
      <c r="H8" s="22"/>
      <c r="I8" s="22"/>
      <c r="J8" s="22">
        <f>J5</f>
        <v>1180.2325039244765</v>
      </c>
      <c r="K8" s="22"/>
      <c r="L8" s="22">
        <f>L5</f>
        <v>0</v>
      </c>
      <c r="M8" s="22">
        <f>M5</f>
        <v>0</v>
      </c>
      <c r="N8" s="22">
        <f>N5</f>
        <v>20651.041496018348</v>
      </c>
      <c r="O8" s="22">
        <f>O5</f>
        <v>120.37666666666668</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0.20846885984443411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8557.1703164686587</v>
      </c>
      <c r="C12" s="24">
        <f ca="1">C10*C8</f>
        <v>0</v>
      </c>
      <c r="D12" s="24">
        <f>D8*D10</f>
        <v>14522.973219656002</v>
      </c>
      <c r="E12" s="24">
        <f>E10*E8</f>
        <v>1293.1240836524546</v>
      </c>
      <c r="F12" s="24">
        <f>F10*F8</f>
        <v>5062.8894705829771</v>
      </c>
      <c r="G12" s="24"/>
      <c r="H12" s="24"/>
      <c r="I12" s="24"/>
      <c r="J12" s="24">
        <f>J10*J8</f>
        <v>417.80230638926469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2900</v>
      </c>
      <c r="C18" s="169" t="s">
        <v>111</v>
      </c>
      <c r="D18" s="231"/>
      <c r="E18" s="16"/>
    </row>
    <row r="19" spans="1:7">
      <c r="A19" s="174" t="s">
        <v>72</v>
      </c>
      <c r="B19" s="38">
        <f>aantalw2001_ander</f>
        <v>0</v>
      </c>
      <c r="C19" s="169" t="s">
        <v>111</v>
      </c>
      <c r="D19" s="232"/>
      <c r="E19" s="16"/>
    </row>
    <row r="20" spans="1:7">
      <c r="A20" s="174" t="s">
        <v>73</v>
      </c>
      <c r="B20" s="38">
        <f>aantalw2001_propaan</f>
        <v>129</v>
      </c>
      <c r="C20" s="170">
        <f>IF(ISERROR(B20/SUM($B$20,$B$21,$B$22)*100),0,B20/SUM($B$20,$B$21,$B$22)*100)</f>
        <v>10.149488591660111</v>
      </c>
      <c r="D20" s="232"/>
      <c r="E20" s="16"/>
    </row>
    <row r="21" spans="1:7">
      <c r="A21" s="174" t="s">
        <v>74</v>
      </c>
      <c r="B21" s="38">
        <f>aantalw2001_elektriciteit</f>
        <v>998</v>
      </c>
      <c r="C21" s="170">
        <f>IF(ISERROR(B21/SUM($B$20,$B$21,$B$22)*100),0,B21/SUM($B$20,$B$21,$B$22)*100)</f>
        <v>78.520849724626274</v>
      </c>
      <c r="D21" s="232"/>
      <c r="E21" s="16"/>
    </row>
    <row r="22" spans="1:7">
      <c r="A22" s="174" t="s">
        <v>75</v>
      </c>
      <c r="B22" s="38">
        <f>aantalw2001_hout</f>
        <v>144</v>
      </c>
      <c r="C22" s="170">
        <f>IF(ISERROR(B22/SUM($B$20,$B$21,$B$22)*100),0,B22/SUM($B$20,$B$21,$B$22)*100)</f>
        <v>11.329661683713612</v>
      </c>
      <c r="D22" s="232"/>
      <c r="E22" s="16"/>
    </row>
    <row r="23" spans="1:7">
      <c r="A23" s="174" t="s">
        <v>76</v>
      </c>
      <c r="B23" s="38">
        <f>aantalw2001_niet_gespec</f>
        <v>105</v>
      </c>
      <c r="C23" s="169" t="s">
        <v>111</v>
      </c>
      <c r="D23" s="231"/>
      <c r="E23" s="16"/>
    </row>
    <row r="24" spans="1:7">
      <c r="A24" s="174" t="s">
        <v>77</v>
      </c>
      <c r="B24" s="38">
        <f>aantalw2001_steenkool</f>
        <v>238</v>
      </c>
      <c r="C24" s="169" t="s">
        <v>111</v>
      </c>
      <c r="D24" s="232"/>
      <c r="E24" s="16"/>
    </row>
    <row r="25" spans="1:7">
      <c r="A25" s="174" t="s">
        <v>78</v>
      </c>
      <c r="B25" s="38">
        <f>aantalw2001_stookolie</f>
        <v>2766</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8479</v>
      </c>
      <c r="C28" s="37"/>
      <c r="D28" s="231"/>
    </row>
    <row r="29" spans="1:7" s="16" customFormat="1">
      <c r="A29" s="233" t="s">
        <v>666</v>
      </c>
      <c r="B29" s="38">
        <f>SUM(HH_hh_gas_aantal,HH_rest_gas_aantal)</f>
        <v>4906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4906</v>
      </c>
      <c r="C32" s="170">
        <f>IF(ISERROR(B32/SUM($B$32,$B$34,$B$35,$B$36,$B$38,$B$39)*100),0,B32/SUM($B$32,$B$34,$B$35,$B$36,$B$38,$B$39)*100)</f>
        <v>58.052301502780736</v>
      </c>
      <c r="D32" s="236"/>
      <c r="G32" s="16"/>
    </row>
    <row r="33" spans="1:7">
      <c r="A33" s="174" t="s">
        <v>72</v>
      </c>
      <c r="B33" s="35" t="s">
        <v>111</v>
      </c>
      <c r="C33" s="170"/>
      <c r="D33" s="236"/>
      <c r="G33" s="16"/>
    </row>
    <row r="34" spans="1:7">
      <c r="A34" s="174" t="s">
        <v>73</v>
      </c>
      <c r="B34" s="34">
        <f>IF((($B$28-$B$32-$B$39-$B$77-$B$38)*C20/100)&lt;0,0,($B$28-$B$32-$B$39-$B$77-$B$38)*C20/100)</f>
        <v>258.507474429583</v>
      </c>
      <c r="C34" s="170">
        <f>IF(ISERROR(B34/SUM($B$32,$B$34,$B$35,$B$36,$B$38,$B$39)*100),0,B34/SUM($B$32,$B$34,$B$35,$B$36,$B$38,$B$39)*100)</f>
        <v>3.0588980526515557</v>
      </c>
      <c r="D34" s="236"/>
      <c r="G34" s="16"/>
    </row>
    <row r="35" spans="1:7">
      <c r="A35" s="174" t="s">
        <v>74</v>
      </c>
      <c r="B35" s="34">
        <f>IF((($B$28-$B$32-$B$39-$B$77-$B$38)*C21/100)&lt;0,0,($B$28-$B$32-$B$39-$B$77-$B$38)*C21/100)</f>
        <v>1999.9260424862314</v>
      </c>
      <c r="C35" s="170">
        <f>IF(ISERROR(B35/SUM($B$32,$B$34,$B$35,$B$36,$B$38,$B$39)*100),0,B35/SUM($B$32,$B$34,$B$35,$B$36,$B$38,$B$39)*100)</f>
        <v>23.664963229040723</v>
      </c>
      <c r="D35" s="236"/>
      <c r="G35" s="16"/>
    </row>
    <row r="36" spans="1:7">
      <c r="A36" s="174" t="s">
        <v>75</v>
      </c>
      <c r="B36" s="34">
        <f>IF((($B$28-$B$32-$B$39-$B$77-$B$38)*C22/100)&lt;0,0,($B$28-$B$32-$B$39-$B$77-$B$38)*C22/100)</f>
        <v>288.56648308418568</v>
      </c>
      <c r="C36" s="170">
        <f>IF(ISERROR(B36/SUM($B$32,$B$34,$B$35,$B$36,$B$38,$B$39)*100),0,B36/SUM($B$32,$B$34,$B$35,$B$36,$B$38,$B$39)*100)</f>
        <v>3.4145838727273183</v>
      </c>
      <c r="D36" s="236"/>
      <c r="G36" s="16"/>
    </row>
    <row r="37" spans="1:7">
      <c r="A37" s="174" t="s">
        <v>76</v>
      </c>
      <c r="B37" s="35" t="s">
        <v>111</v>
      </c>
      <c r="C37" s="170"/>
      <c r="D37" s="176"/>
      <c r="G37" s="16"/>
    </row>
    <row r="38" spans="1:7">
      <c r="A38" s="174" t="s">
        <v>77</v>
      </c>
      <c r="B38" s="34">
        <f>IF((B24-(B29-B18)*0.1)&lt;0,0,B24-(B29-B18)*0.1)</f>
        <v>37.399999999999977</v>
      </c>
      <c r="C38" s="170">
        <f>IF(ISERROR(B38/SUM($B$32,$B$34,$B$35,$B$36,$B$38,$B$39)*100),0,B38/SUM($B$32,$B$34,$B$35,$B$36,$B$38,$B$39)*100)</f>
        <v>0.44255117737545824</v>
      </c>
      <c r="D38" s="237"/>
      <c r="G38" s="16"/>
    </row>
    <row r="39" spans="1:7">
      <c r="A39" s="174" t="s">
        <v>78</v>
      </c>
      <c r="B39" s="34">
        <f>IF((B25-(B29-B18))&lt;0,0,B25-(B29-B18)*0.9)</f>
        <v>960.59999999999991</v>
      </c>
      <c r="C39" s="170">
        <f>IF(ISERROR(B39/SUM($B$32,$B$34,$B$35,$B$36,$B$38,$B$39)*100),0,B39/SUM($B$32,$B$34,$B$35,$B$36,$B$38,$B$39)*100)</f>
        <v>11.366702165424208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4906</v>
      </c>
      <c r="C44" s="35" t="s">
        <v>111</v>
      </c>
      <c r="D44" s="177"/>
    </row>
    <row r="45" spans="1:7">
      <c r="A45" s="174" t="s">
        <v>72</v>
      </c>
      <c r="B45" s="34" t="str">
        <f t="shared" si="0"/>
        <v>-</v>
      </c>
      <c r="C45" s="35" t="s">
        <v>111</v>
      </c>
      <c r="D45" s="177"/>
    </row>
    <row r="46" spans="1:7">
      <c r="A46" s="174" t="s">
        <v>73</v>
      </c>
      <c r="B46" s="34">
        <f t="shared" si="0"/>
        <v>258.507474429583</v>
      </c>
      <c r="C46" s="35" t="s">
        <v>111</v>
      </c>
      <c r="D46" s="177"/>
    </row>
    <row r="47" spans="1:7">
      <c r="A47" s="174" t="s">
        <v>74</v>
      </c>
      <c r="B47" s="34">
        <f t="shared" si="0"/>
        <v>1999.9260424862314</v>
      </c>
      <c r="C47" s="35" t="s">
        <v>111</v>
      </c>
      <c r="D47" s="177"/>
    </row>
    <row r="48" spans="1:7">
      <c r="A48" s="174" t="s">
        <v>75</v>
      </c>
      <c r="B48" s="34">
        <f t="shared" si="0"/>
        <v>288.56648308418568</v>
      </c>
      <c r="C48" s="34">
        <f>B48*10</f>
        <v>2885.6648308418567</v>
      </c>
      <c r="D48" s="237"/>
    </row>
    <row r="49" spans="1:6">
      <c r="A49" s="174" t="s">
        <v>76</v>
      </c>
      <c r="B49" s="34" t="str">
        <f t="shared" si="0"/>
        <v>-</v>
      </c>
      <c r="C49" s="35" t="s">
        <v>111</v>
      </c>
      <c r="D49" s="237"/>
    </row>
    <row r="50" spans="1:6">
      <c r="A50" s="174" t="s">
        <v>77</v>
      </c>
      <c r="B50" s="34">
        <f t="shared" si="0"/>
        <v>37.399999999999977</v>
      </c>
      <c r="C50" s="34">
        <f>B50*2</f>
        <v>74.799999999999955</v>
      </c>
      <c r="D50" s="237"/>
    </row>
    <row r="51" spans="1:6">
      <c r="A51" s="174" t="s">
        <v>78</v>
      </c>
      <c r="B51" s="34">
        <f t="shared" si="0"/>
        <v>960.59999999999991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26196.082999999999</v>
      </c>
      <c r="C5" s="18">
        <f>IF(ISERROR('Eigen informatie GS &amp; warmtenet'!B58),0,'Eigen informatie GS &amp; warmtenet'!B58)</f>
        <v>0</v>
      </c>
      <c r="D5" s="31">
        <f>SUM(D6:D12)</f>
        <v>34056.838354</v>
      </c>
      <c r="E5" s="18">
        <f>SUM(E6:E12)</f>
        <v>209.98802076629983</v>
      </c>
      <c r="F5" s="18">
        <f>SUM(F6:F12)</f>
        <v>6101.9261001381374</v>
      </c>
      <c r="G5" s="19"/>
      <c r="H5" s="18"/>
      <c r="I5" s="18"/>
      <c r="J5" s="18">
        <f>SUM(J6:J12)</f>
        <v>0</v>
      </c>
      <c r="K5" s="18"/>
      <c r="L5" s="18"/>
      <c r="M5" s="18"/>
      <c r="N5" s="18">
        <f>SUM(N6:N12)</f>
        <v>1146.1577665526142</v>
      </c>
      <c r="O5" s="18">
        <f>B38*B39*B40</f>
        <v>0</v>
      </c>
      <c r="P5" s="18">
        <f>B46*B47*B48/1000-B46*B47*B48/1000/B49</f>
        <v>0</v>
      </c>
      <c r="R5" s="33"/>
    </row>
    <row r="6" spans="1:18">
      <c r="A6" s="33" t="s">
        <v>54</v>
      </c>
      <c r="B6" s="38">
        <f>B26</f>
        <v>5306.7830000000004</v>
      </c>
      <c r="C6" s="34"/>
      <c r="D6" s="38">
        <f>IF(ISERROR(TER_kantoor_gas_kWh/1000),0,TER_kantoor_gas_kWh/1000)*0.902</f>
        <v>3328.703818</v>
      </c>
      <c r="E6" s="34">
        <f>$C$26*'E Balans VL '!I12/100/3.6*1000000</f>
        <v>8.7095064597498748</v>
      </c>
      <c r="F6" s="34">
        <f>$C$26*('E Balans VL '!L12+'E Balans VL '!N12)/100/3.6*1000000</f>
        <v>625.54485387657451</v>
      </c>
      <c r="G6" s="35"/>
      <c r="H6" s="34"/>
      <c r="I6" s="34"/>
      <c r="J6" s="34">
        <f>$C$26*('E Balans VL '!D12+'E Balans VL '!E12)/100/3.6*1000000</f>
        <v>0</v>
      </c>
      <c r="K6" s="34"/>
      <c r="L6" s="34"/>
      <c r="M6" s="34"/>
      <c r="N6" s="34">
        <f>$C$26*'E Balans VL '!Y12/100/3.6*1000000</f>
        <v>1.0722103754751942</v>
      </c>
      <c r="O6" s="34"/>
      <c r="P6" s="34"/>
      <c r="R6" s="33"/>
    </row>
    <row r="7" spans="1:18">
      <c r="A7" s="33" t="s">
        <v>53</v>
      </c>
      <c r="B7" s="38">
        <f t="shared" ref="B7:B12" si="0">B27</f>
        <v>2426.7249999999999</v>
      </c>
      <c r="C7" s="34"/>
      <c r="D7" s="38">
        <f>IF(ISERROR(TER_horeca_gas_kWh/1000),0,TER_horeca_gas_kWh/1000)*0.902</f>
        <v>1925.871024</v>
      </c>
      <c r="E7" s="34">
        <f>$C$27*'E Balans VL '!I9/100/3.6*1000000</f>
        <v>125.9294673421266</v>
      </c>
      <c r="F7" s="34">
        <f>$C$27*('E Balans VL '!L9+'E Balans VL '!N9)/100/3.6*1000000</f>
        <v>553.78040584038706</v>
      </c>
      <c r="G7" s="35"/>
      <c r="H7" s="34"/>
      <c r="I7" s="34"/>
      <c r="J7" s="34">
        <f>$C$27*('E Balans VL '!D9+'E Balans VL '!E9)/100/3.6*1000000</f>
        <v>0</v>
      </c>
      <c r="K7" s="34"/>
      <c r="L7" s="34"/>
      <c r="M7" s="34"/>
      <c r="N7" s="34">
        <f>$C$27*'E Balans VL '!Y9/100/3.6*1000000</f>
        <v>0.2562610479047509</v>
      </c>
      <c r="O7" s="34"/>
      <c r="P7" s="34"/>
      <c r="R7" s="33"/>
    </row>
    <row r="8" spans="1:18">
      <c r="A8" s="6" t="s">
        <v>52</v>
      </c>
      <c r="B8" s="38">
        <f t="shared" si="0"/>
        <v>10160.657999999999</v>
      </c>
      <c r="C8" s="34"/>
      <c r="D8" s="38">
        <f>IF(ISERROR(TER_handel_gas_kWh/1000),0,TER_handel_gas_kWh/1000)*0.902</f>
        <v>5234.7028799999998</v>
      </c>
      <c r="E8" s="34">
        <f>$C$28*'E Balans VL '!I13/100/3.6*1000000</f>
        <v>54.716391908918638</v>
      </c>
      <c r="F8" s="34">
        <f>$C$28*('E Balans VL '!L13+'E Balans VL '!N13)/100/3.6*1000000</f>
        <v>2072.0601137603207</v>
      </c>
      <c r="G8" s="35"/>
      <c r="H8" s="34"/>
      <c r="I8" s="34"/>
      <c r="J8" s="34">
        <f>$C$28*('E Balans VL '!D13+'E Balans VL '!E13)/100/3.6*1000000</f>
        <v>0</v>
      </c>
      <c r="K8" s="34"/>
      <c r="L8" s="34"/>
      <c r="M8" s="34"/>
      <c r="N8" s="34">
        <f>$C$28*'E Balans VL '!Y13/100/3.6*1000000</f>
        <v>50.523586544240324</v>
      </c>
      <c r="O8" s="34"/>
      <c r="P8" s="34"/>
      <c r="R8" s="33"/>
    </row>
    <row r="9" spans="1:18">
      <c r="A9" s="33" t="s">
        <v>51</v>
      </c>
      <c r="B9" s="38">
        <f t="shared" si="0"/>
        <v>4739.8940000000002</v>
      </c>
      <c r="C9" s="34"/>
      <c r="D9" s="38">
        <f>IF(ISERROR(TER_gezond_gas_kWh/1000),0,TER_gezond_gas_kWh/1000)*0.902</f>
        <v>7980.1996559999998</v>
      </c>
      <c r="E9" s="34">
        <f>$C$29*'E Balans VL '!I10/100/3.6*1000000</f>
        <v>4.6972888558514896</v>
      </c>
      <c r="F9" s="34">
        <f>$C$29*('E Balans VL '!L10+'E Balans VL '!N10)/100/3.6*1000000</f>
        <v>1644.6065957968733</v>
      </c>
      <c r="G9" s="35"/>
      <c r="H9" s="34"/>
      <c r="I9" s="34"/>
      <c r="J9" s="34">
        <f>$C$29*('E Balans VL '!D10+'E Balans VL '!E10)/100/3.6*1000000</f>
        <v>0</v>
      </c>
      <c r="K9" s="34"/>
      <c r="L9" s="34"/>
      <c r="M9" s="34"/>
      <c r="N9" s="34">
        <f>$C$29*'E Balans VL '!Y10/100/3.6*1000000</f>
        <v>40.843255982951405</v>
      </c>
      <c r="O9" s="34"/>
      <c r="P9" s="34"/>
      <c r="R9" s="33"/>
    </row>
    <row r="10" spans="1:18">
      <c r="A10" s="33" t="s">
        <v>50</v>
      </c>
      <c r="B10" s="38">
        <f t="shared" si="0"/>
        <v>1816.33</v>
      </c>
      <c r="C10" s="34"/>
      <c r="D10" s="38">
        <f>IF(ISERROR(TER_ander_gas_kWh/1000),0,TER_ander_gas_kWh/1000)*0.902</f>
        <v>7025.5057180000003</v>
      </c>
      <c r="E10" s="34">
        <f>$C$30*'E Balans VL '!I14/100/3.6*1000000</f>
        <v>14.859394692553789</v>
      </c>
      <c r="F10" s="34">
        <f>$C$30*('E Balans VL '!L14+'E Balans VL '!N14)/100/3.6*1000000</f>
        <v>531.02094614312136</v>
      </c>
      <c r="G10" s="35"/>
      <c r="H10" s="34"/>
      <c r="I10" s="34"/>
      <c r="J10" s="34">
        <f>$C$30*('E Balans VL '!D14+'E Balans VL '!E14)/100/3.6*1000000</f>
        <v>0</v>
      </c>
      <c r="K10" s="34"/>
      <c r="L10" s="34"/>
      <c r="M10" s="34"/>
      <c r="N10" s="34">
        <f>$C$30*'E Balans VL '!Y14/100/3.6*1000000</f>
        <v>1047.784087367065</v>
      </c>
      <c r="O10" s="34"/>
      <c r="P10" s="34"/>
      <c r="R10" s="33"/>
    </row>
    <row r="11" spans="1:18">
      <c r="A11" s="33" t="s">
        <v>55</v>
      </c>
      <c r="B11" s="38">
        <f t="shared" si="0"/>
        <v>1745.693</v>
      </c>
      <c r="C11" s="34"/>
      <c r="D11" s="38">
        <f>IF(ISERROR(TER_onderwijs_gas_kWh/1000),0,TER_onderwijs_gas_kWh/1000)*0.902</f>
        <v>8561.8552579999996</v>
      </c>
      <c r="E11" s="34">
        <f>$C$31*'E Balans VL '!I11/100/3.6*1000000</f>
        <v>1.0759715070994198</v>
      </c>
      <c r="F11" s="34">
        <f>$C$31*('E Balans VL '!L11+'E Balans VL '!N11)/100/3.6*1000000</f>
        <v>674.91318472086016</v>
      </c>
      <c r="G11" s="35"/>
      <c r="H11" s="34"/>
      <c r="I11" s="34"/>
      <c r="J11" s="34">
        <f>$C$31*('E Balans VL '!D11+'E Balans VL '!E11)/100/3.6*1000000</f>
        <v>0</v>
      </c>
      <c r="K11" s="34"/>
      <c r="L11" s="34"/>
      <c r="M11" s="34"/>
      <c r="N11" s="34">
        <f>$C$31*'E Balans VL '!Y11/100/3.6*1000000</f>
        <v>5.6783652349775462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26196.082999999999</v>
      </c>
      <c r="C16" s="22">
        <f t="shared" ca="1" si="1"/>
        <v>0</v>
      </c>
      <c r="D16" s="22">
        <f t="shared" ca="1" si="1"/>
        <v>34056.838354</v>
      </c>
      <c r="E16" s="22">
        <f t="shared" si="1"/>
        <v>209.98802076629983</v>
      </c>
      <c r="F16" s="22">
        <f t="shared" ca="1" si="1"/>
        <v>6101.9261001381374</v>
      </c>
      <c r="G16" s="22">
        <f t="shared" si="1"/>
        <v>0</v>
      </c>
      <c r="H16" s="22">
        <f t="shared" si="1"/>
        <v>0</v>
      </c>
      <c r="I16" s="22">
        <f t="shared" si="1"/>
        <v>0</v>
      </c>
      <c r="J16" s="22">
        <f t="shared" si="1"/>
        <v>0</v>
      </c>
      <c r="K16" s="22">
        <f t="shared" si="1"/>
        <v>0</v>
      </c>
      <c r="L16" s="22">
        <f t="shared" ca="1" si="1"/>
        <v>0</v>
      </c>
      <c r="M16" s="22">
        <f t="shared" si="1"/>
        <v>0</v>
      </c>
      <c r="N16" s="22">
        <f t="shared" ca="1" si="1"/>
        <v>1146.1577665526142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0.20846885984443411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5461.0675554001627</v>
      </c>
      <c r="C20" s="24">
        <f t="shared" ref="C20:P20" ca="1" si="2">C16*C18</f>
        <v>0</v>
      </c>
      <c r="D20" s="24">
        <f t="shared" ca="1" si="2"/>
        <v>6879.481347508</v>
      </c>
      <c r="E20" s="24">
        <f t="shared" si="2"/>
        <v>47.667280713950063</v>
      </c>
      <c r="F20" s="24">
        <f t="shared" ca="1" si="2"/>
        <v>1629.2142687368828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5306.7830000000004</v>
      </c>
      <c r="C26" s="40">
        <f>IF(ISERROR(B26*3.6/1000000/'E Balans VL '!Z12*100),0,B26*3.6/1000000/'E Balans VL '!Z12*100)</f>
        <v>0.11276533309116854</v>
      </c>
      <c r="D26" s="240" t="s">
        <v>707</v>
      </c>
      <c r="F26" s="6"/>
    </row>
    <row r="27" spans="1:18">
      <c r="A27" s="234" t="s">
        <v>53</v>
      </c>
      <c r="B27" s="34">
        <f>IF(ISERROR(TER_horeca_ele_kWh/1000),0,TER_horeca_ele_kWh/1000)</f>
        <v>2426.7249999999999</v>
      </c>
      <c r="C27" s="40">
        <f>IF(ISERROR(B27*3.6/1000000/'E Balans VL '!Z9*100),0,B27*3.6/1000000/'E Balans VL '!Z9*100)</f>
        <v>0.19100202328304419</v>
      </c>
      <c r="D27" s="240" t="s">
        <v>707</v>
      </c>
      <c r="F27" s="6"/>
    </row>
    <row r="28" spans="1:18">
      <c r="A28" s="174" t="s">
        <v>52</v>
      </c>
      <c r="B28" s="34">
        <f>IF(ISERROR(TER_handel_ele_kWh/1000),0,TER_handel_ele_kWh/1000)</f>
        <v>10160.657999999999</v>
      </c>
      <c r="C28" s="40">
        <f>IF(ISERROR(B28*3.6/1000000/'E Balans VL '!Z13*100),0,B28*3.6/1000000/'E Balans VL '!Z13*100)</f>
        <v>0.28460546834948003</v>
      </c>
      <c r="D28" s="240" t="s">
        <v>707</v>
      </c>
      <c r="F28" s="6"/>
    </row>
    <row r="29" spans="1:18">
      <c r="A29" s="234" t="s">
        <v>51</v>
      </c>
      <c r="B29" s="34">
        <f>IF(ISERROR(TER_gezond_ele_kWh/1000),0,TER_gezond_ele_kWh/1000)</f>
        <v>4739.8940000000002</v>
      </c>
      <c r="C29" s="40">
        <f>IF(ISERROR(B29*3.6/1000000/'E Balans VL '!Z10*100),0,B29*3.6/1000000/'E Balans VL '!Z10*100)</f>
        <v>0.60637577122208708</v>
      </c>
      <c r="D29" s="240" t="s">
        <v>707</v>
      </c>
      <c r="F29" s="6"/>
    </row>
    <row r="30" spans="1:18">
      <c r="A30" s="234" t="s">
        <v>50</v>
      </c>
      <c r="B30" s="34">
        <f>IF(ISERROR(TER_ander_ele_kWh/1000),0,TER_ander_ele_kWh/1000)</f>
        <v>1816.33</v>
      </c>
      <c r="C30" s="40">
        <f>IF(ISERROR(B30*3.6/1000000/'E Balans VL '!Z14*100),0,B30*3.6/1000000/'E Balans VL '!Z14*100)</f>
        <v>0.13584617933606433</v>
      </c>
      <c r="D30" s="240" t="s">
        <v>707</v>
      </c>
      <c r="F30" s="6"/>
    </row>
    <row r="31" spans="1:18">
      <c r="A31" s="234" t="s">
        <v>55</v>
      </c>
      <c r="B31" s="34">
        <f>IF(ISERROR(TER_onderwijs_ele_kWh/1000),0,TER_onderwijs_ele_kWh/1000)</f>
        <v>1745.693</v>
      </c>
      <c r="C31" s="40">
        <f>IF(ISERROR(B31*3.6/1000000/'E Balans VL '!Z11*100),0,B31*3.6/1000000/'E Balans VL '!Z11*100)</f>
        <v>0.36860533820042496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14802.085000000001</v>
      </c>
      <c r="C5" s="18">
        <f>IF(ISERROR('Eigen informatie GS &amp; warmtenet'!B59),0,'Eigen informatie GS &amp; warmtenet'!B59)</f>
        <v>0</v>
      </c>
      <c r="D5" s="31">
        <f>SUM(D6:D15)</f>
        <v>2606.3172740000005</v>
      </c>
      <c r="E5" s="18">
        <f>SUM(E6:E15)</f>
        <v>142.89844373697804</v>
      </c>
      <c r="F5" s="18">
        <f>SUM(F6:F15)</f>
        <v>3647.4954081768133</v>
      </c>
      <c r="G5" s="19"/>
      <c r="H5" s="18"/>
      <c r="I5" s="18"/>
      <c r="J5" s="18">
        <f>SUM(J6:J15)</f>
        <v>16.994434099588368</v>
      </c>
      <c r="K5" s="18"/>
      <c r="L5" s="18"/>
      <c r="M5" s="18"/>
      <c r="N5" s="18">
        <f>SUM(N6:N15)</f>
        <v>400.17610099875805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794.95799999999997</v>
      </c>
      <c r="C8" s="34"/>
      <c r="D8" s="38">
        <f>IF( ISERROR(IND_metaal_Gas_kWH/1000),0,IND_metaal_Gas_kWH/1000)*0.902</f>
        <v>335.37171800000004</v>
      </c>
      <c r="E8" s="34">
        <f>C30*'E Balans VL '!I18/100/3.6*1000000</f>
        <v>7.2395392447471423</v>
      </c>
      <c r="F8" s="34">
        <f>C30*'E Balans VL '!L18/100/3.6*1000000+C30*'E Balans VL '!N18/100/3.6*1000000</f>
        <v>104.848923185259</v>
      </c>
      <c r="G8" s="35"/>
      <c r="H8" s="34"/>
      <c r="I8" s="34"/>
      <c r="J8" s="41">
        <f>C30*'E Balans VL '!D18/100/3.6*1000000+C30*'E Balans VL '!E18/100/3.6*1000000</f>
        <v>13.036156962546846</v>
      </c>
      <c r="K8" s="34"/>
      <c r="L8" s="34"/>
      <c r="M8" s="34"/>
      <c r="N8" s="34">
        <f>C30*'E Balans VL '!Y18/100/3.6*1000000</f>
        <v>2.7319548497445783</v>
      </c>
      <c r="O8" s="34"/>
      <c r="P8" s="34"/>
      <c r="R8" s="33"/>
    </row>
    <row r="9" spans="1:18">
      <c r="A9" s="6" t="s">
        <v>33</v>
      </c>
      <c r="B9" s="38">
        <f t="shared" si="0"/>
        <v>2792.1959999999999</v>
      </c>
      <c r="C9" s="34"/>
      <c r="D9" s="38">
        <f>IF( ISERROR(IND_andere_gas_kWh/1000),0,IND_andere_gas_kWh/1000)*0.902</f>
        <v>1357.845544</v>
      </c>
      <c r="E9" s="34">
        <f>C31*'E Balans VL '!I19/100/3.6*1000000</f>
        <v>16.13931013917945</v>
      </c>
      <c r="F9" s="34">
        <f>C31*'E Balans VL '!L19/100/3.6*1000000+C31*'E Balans VL '!N19/100/3.6*1000000</f>
        <v>2221.3262731548903</v>
      </c>
      <c r="G9" s="35"/>
      <c r="H9" s="34"/>
      <c r="I9" s="34"/>
      <c r="J9" s="41">
        <f>C31*'E Balans VL '!D19/100/3.6*1000000+C31*'E Balans VL '!E19/100/3.6*1000000</f>
        <v>0.2641107267652899</v>
      </c>
      <c r="K9" s="34"/>
      <c r="L9" s="34"/>
      <c r="M9" s="34"/>
      <c r="N9" s="34">
        <f>C31*'E Balans VL '!Y19/100/3.6*1000000</f>
        <v>211.55110215997158</v>
      </c>
      <c r="O9" s="34"/>
      <c r="P9" s="34"/>
      <c r="R9" s="33"/>
    </row>
    <row r="10" spans="1:18">
      <c r="A10" s="6" t="s">
        <v>41</v>
      </c>
      <c r="B10" s="38">
        <f t="shared" si="0"/>
        <v>10331.833000000001</v>
      </c>
      <c r="C10" s="34"/>
      <c r="D10" s="38">
        <f>IF( ISERROR(IND_voed_gas_kWh/1000),0,IND_voed_gas_kWh/1000)*0.902</f>
        <v>406.48810400000002</v>
      </c>
      <c r="E10" s="34">
        <f>C32*'E Balans VL '!I20/100/3.6*1000000</f>
        <v>101.5889480284863</v>
      </c>
      <c r="F10" s="34">
        <f>C32*'E Balans VL '!L20/100/3.6*1000000+C32*'E Balans VL '!N20/100/3.6*1000000</f>
        <v>1147.4849123920619</v>
      </c>
      <c r="G10" s="35"/>
      <c r="H10" s="34"/>
      <c r="I10" s="34"/>
      <c r="J10" s="41">
        <f>C32*'E Balans VL '!D20/100/3.6*1000000+C32*'E Balans VL '!E20/100/3.6*1000000</f>
        <v>4.0722444222951633E-2</v>
      </c>
      <c r="K10" s="34"/>
      <c r="L10" s="34"/>
      <c r="M10" s="34"/>
      <c r="N10" s="34">
        <f>C32*'E Balans VL '!Y20/100/3.6*1000000</f>
        <v>152.99014369705654</v>
      </c>
      <c r="O10" s="34"/>
      <c r="P10" s="34"/>
      <c r="R10" s="33"/>
    </row>
    <row r="11" spans="1:18">
      <c r="A11" s="6" t="s">
        <v>40</v>
      </c>
      <c r="B11" s="38">
        <f t="shared" si="0"/>
        <v>150.27699999999999</v>
      </c>
      <c r="C11" s="34"/>
      <c r="D11" s="38">
        <f>IF( ISERROR(IND_textiel_gas_kWh/1000),0,IND_textiel_gas_kWh/1000)*0.902</f>
        <v>0</v>
      </c>
      <c r="E11" s="34">
        <f>C33*'E Balans VL '!I21/100/3.6*1000000</f>
        <v>0.29262421434820174</v>
      </c>
      <c r="F11" s="34">
        <f>C33*'E Balans VL '!L21/100/3.6*1000000+C33*'E Balans VL '!N21/100/3.6*1000000</f>
        <v>4.9566285945138411</v>
      </c>
      <c r="G11" s="35"/>
      <c r="H11" s="34"/>
      <c r="I11" s="34"/>
      <c r="J11" s="41">
        <f>C33*'E Balans VL '!D21/100/3.6*1000000+C33*'E Balans VL '!E21/100/3.6*1000000</f>
        <v>0</v>
      </c>
      <c r="K11" s="34"/>
      <c r="L11" s="34"/>
      <c r="M11" s="34"/>
      <c r="N11" s="34">
        <f>C33*'E Balans VL '!Y21/100/3.6*1000000</f>
        <v>1.5587677451531714</v>
      </c>
      <c r="O11" s="34"/>
      <c r="P11" s="34"/>
      <c r="R11" s="33"/>
    </row>
    <row r="12" spans="1:18">
      <c r="A12" s="6" t="s">
        <v>37</v>
      </c>
      <c r="B12" s="38">
        <f t="shared" si="0"/>
        <v>553.20000000000005</v>
      </c>
      <c r="C12" s="34"/>
      <c r="D12" s="38">
        <f>IF( ISERROR(IND_min_gas_kWh/1000),0,IND_min_gas_kWh/1000)*0.902</f>
        <v>0</v>
      </c>
      <c r="E12" s="34">
        <f>C34*'E Balans VL '!I22/100/3.6*1000000</f>
        <v>14.02460441667708</v>
      </c>
      <c r="F12" s="34">
        <f>C34*'E Balans VL '!L22/100/3.6*1000000+C34*'E Balans VL '!N22/100/3.6*1000000</f>
        <v>153.07236822854108</v>
      </c>
      <c r="G12" s="35"/>
      <c r="H12" s="34"/>
      <c r="I12" s="34"/>
      <c r="J12" s="41">
        <f>C34*'E Balans VL '!D22/100/3.6*1000000+C34*'E Balans VL '!E22/100/3.6*1000000</f>
        <v>3.653443966053278</v>
      </c>
      <c r="K12" s="34"/>
      <c r="L12" s="34"/>
      <c r="M12" s="34"/>
      <c r="N12" s="34">
        <f>C34*'E Balans VL '!Y22/100/3.6*1000000</f>
        <v>0</v>
      </c>
      <c r="O12" s="34"/>
      <c r="P12" s="34"/>
      <c r="R12" s="33"/>
    </row>
    <row r="13" spans="1:18">
      <c r="A13" s="6" t="s">
        <v>39</v>
      </c>
      <c r="B13" s="38">
        <f t="shared" si="0"/>
        <v>85.105999999999995</v>
      </c>
      <c r="C13" s="34"/>
      <c r="D13" s="38">
        <f>IF( ISERROR(IND_papier_gas_kWh/1000),0,IND_papier_gas_kWh/1000)*0.902</f>
        <v>359.43076400000001</v>
      </c>
      <c r="E13" s="34">
        <f>C35*'E Balans VL '!I23/100/3.6*1000000</f>
        <v>2.8988337557221571</v>
      </c>
      <c r="F13" s="34">
        <f>C35*'E Balans VL '!L23/100/3.6*1000000+C35*'E Balans VL '!N23/100/3.6*1000000</f>
        <v>14.057513805175057</v>
      </c>
      <c r="G13" s="35"/>
      <c r="H13" s="34"/>
      <c r="I13" s="34"/>
      <c r="J13" s="41">
        <f>C35*'E Balans VL '!D23/100/3.6*1000000+C35*'E Balans VL '!E23/100/3.6*1000000</f>
        <v>0</v>
      </c>
      <c r="K13" s="34"/>
      <c r="L13" s="34"/>
      <c r="M13" s="34"/>
      <c r="N13" s="34">
        <f>C35*'E Balans VL '!Y23/100/3.6*1000000</f>
        <v>31.316725634009128</v>
      </c>
      <c r="O13" s="34"/>
      <c r="P13" s="34"/>
      <c r="R13" s="33"/>
    </row>
    <row r="14" spans="1:18">
      <c r="A14" s="6" t="s">
        <v>34</v>
      </c>
      <c r="B14" s="38">
        <f t="shared" si="0"/>
        <v>94.515000000000001</v>
      </c>
      <c r="C14" s="34"/>
      <c r="D14" s="38">
        <f>IF( ISERROR(IND_chemie_gas_kWh/1000),0,IND_chemie_gas_kWh/1000)*0.902</f>
        <v>0</v>
      </c>
      <c r="E14" s="34">
        <f>C36*'E Balans VL '!I24/100/3.6*1000000</f>
        <v>0.71458393781767182</v>
      </c>
      <c r="F14" s="34">
        <f>C36*'E Balans VL '!L24/100/3.6*1000000+C36*'E Balans VL '!N24/100/3.6*1000000</f>
        <v>1.748788816371736</v>
      </c>
      <c r="G14" s="35"/>
      <c r="H14" s="34"/>
      <c r="I14" s="34"/>
      <c r="J14" s="41">
        <f>C36*'E Balans VL '!D24/100/3.6*1000000+C36*'E Balans VL '!E24/100/3.6*1000000</f>
        <v>0</v>
      </c>
      <c r="K14" s="34"/>
      <c r="L14" s="34"/>
      <c r="M14" s="34"/>
      <c r="N14" s="34">
        <f>C36*'E Balans VL '!Y24/100/3.6*1000000</f>
        <v>2.7406912823122822E-2</v>
      </c>
      <c r="O14" s="34"/>
      <c r="P14" s="34"/>
      <c r="R14" s="33"/>
    </row>
    <row r="15" spans="1:18">
      <c r="A15" s="6" t="s">
        <v>270</v>
      </c>
      <c r="B15" s="38">
        <f t="shared" si="0"/>
        <v>0</v>
      </c>
      <c r="C15" s="34"/>
      <c r="D15" s="38">
        <f>IF( ISERROR(IND_rest_gas_kWh/1000),0,IND_rest_gas_kWh/1000)*0.902</f>
        <v>147.18114399999999</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14802.085000000001</v>
      </c>
      <c r="C18" s="22">
        <f>C5+C16</f>
        <v>0</v>
      </c>
      <c r="D18" s="22">
        <f>MAX((D5+D16),0)</f>
        <v>2606.3172740000005</v>
      </c>
      <c r="E18" s="22">
        <f>MAX((E5+E16),0)</f>
        <v>142.89844373697804</v>
      </c>
      <c r="F18" s="22">
        <f>MAX((F5+F16),0)</f>
        <v>3647.4954081768133</v>
      </c>
      <c r="G18" s="22"/>
      <c r="H18" s="22"/>
      <c r="I18" s="22"/>
      <c r="J18" s="22">
        <f>MAX((J5+J16),0)</f>
        <v>16.994434099588368</v>
      </c>
      <c r="K18" s="22"/>
      <c r="L18" s="22">
        <f>MAX((L5+L16),0)</f>
        <v>0</v>
      </c>
      <c r="M18" s="22"/>
      <c r="N18" s="22">
        <f>MAX((N5+N16),0)</f>
        <v>400.17610099875805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0.20846885984443411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3085.7737832704006</v>
      </c>
      <c r="C22" s="24">
        <f ca="1">C18*C20</f>
        <v>0</v>
      </c>
      <c r="D22" s="24">
        <f>D18*D20</f>
        <v>526.47608934800007</v>
      </c>
      <c r="E22" s="24">
        <f>E18*E20</f>
        <v>32.437946728294015</v>
      </c>
      <c r="F22" s="24">
        <f>F18*F20</f>
        <v>973.88127398320921</v>
      </c>
      <c r="G22" s="24"/>
      <c r="H22" s="24"/>
      <c r="I22" s="24"/>
      <c r="J22" s="24">
        <f>J18*J20</f>
        <v>6.016029671254282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794.95799999999997</v>
      </c>
      <c r="C30" s="40">
        <f>IF(ISERROR(B30*3.6/1000000/'E Balans VL '!Z18*100),0,B30*3.6/1000000/'E Balans VL '!Z18*100)</f>
        <v>4.4234096861462506E-2</v>
      </c>
      <c r="D30" s="240" t="s">
        <v>707</v>
      </c>
    </row>
    <row r="31" spans="1:18">
      <c r="A31" s="6" t="s">
        <v>33</v>
      </c>
      <c r="B31" s="38">
        <f>IF( ISERROR(IND_ander_ele_kWh/1000),0,IND_ander_ele_kWh/1000)</f>
        <v>2792.1959999999999</v>
      </c>
      <c r="C31" s="40">
        <f>IF(ISERROR(B31*3.6/1000000/'E Balans VL '!Z19*100),0,B31*3.6/1000000/'E Balans VL '!Z19*100)</f>
        <v>0.12980185888806056</v>
      </c>
      <c r="D31" s="240" t="s">
        <v>707</v>
      </c>
    </row>
    <row r="32" spans="1:18">
      <c r="A32" s="174" t="s">
        <v>41</v>
      </c>
      <c r="B32" s="38">
        <f>IF( ISERROR(IND_voed_ele_kWh/1000),0,IND_voed_ele_kWh/1000)</f>
        <v>10331.833000000001</v>
      </c>
      <c r="C32" s="40">
        <f>IF(ISERROR(B32*3.6/1000000/'E Balans VL '!Z20*100),0,B32*3.6/1000000/'E Balans VL '!Z20*100)</f>
        <v>0.36520943052957139</v>
      </c>
      <c r="D32" s="240" t="s">
        <v>707</v>
      </c>
    </row>
    <row r="33" spans="1:5">
      <c r="A33" s="174" t="s">
        <v>40</v>
      </c>
      <c r="B33" s="38">
        <f>IF( ISERROR(IND_textiel_ele_kWh/1000),0,IND_textiel_ele_kWh/1000)</f>
        <v>150.27699999999999</v>
      </c>
      <c r="C33" s="40">
        <f>IF(ISERROR(B33*3.6/1000000/'E Balans VL '!Z21*100),0,B33*3.6/1000000/'E Balans VL '!Z21*100)</f>
        <v>2.0297189143673514E-2</v>
      </c>
      <c r="D33" s="240" t="s">
        <v>707</v>
      </c>
    </row>
    <row r="34" spans="1:5">
      <c r="A34" s="174" t="s">
        <v>37</v>
      </c>
      <c r="B34" s="38">
        <f>IF( ISERROR(IND_min_ele_kWh/1000),0,IND_min_ele_kWh/1000)</f>
        <v>553.20000000000005</v>
      </c>
      <c r="C34" s="40">
        <f>IF(ISERROR(B34*3.6/1000000/'E Balans VL '!Z22*100),0,B34*3.6/1000000/'E Balans VL '!Z22*100)</f>
        <v>0.11117760028702228</v>
      </c>
      <c r="D34" s="240" t="s">
        <v>707</v>
      </c>
    </row>
    <row r="35" spans="1:5">
      <c r="A35" s="174" t="s">
        <v>39</v>
      </c>
      <c r="B35" s="38">
        <f>IF( ISERROR(IND_papier_ele_kWh/1000),0,IND_papier_ele_kWh/1000)</f>
        <v>85.105999999999995</v>
      </c>
      <c r="C35" s="40">
        <f>IF(ISERROR(B35*3.6/1000000/'E Balans VL '!Z22*100),0,B35*3.6/1000000/'E Balans VL '!Z22*100)</f>
        <v>1.7103906091878736E-2</v>
      </c>
      <c r="D35" s="240" t="s">
        <v>707</v>
      </c>
    </row>
    <row r="36" spans="1:5">
      <c r="A36" s="174" t="s">
        <v>34</v>
      </c>
      <c r="B36" s="38">
        <f>IF( ISERROR(IND_chemie_ele_kWh/1000),0,IND_chemie_ele_kWh/1000)</f>
        <v>94.515000000000001</v>
      </c>
      <c r="C36" s="40">
        <f>IF(ISERROR(B36*3.6/1000000/'E Balans VL '!Z24*100),0,B36*3.6/1000000/'E Balans VL '!Z24*100)</f>
        <v>2.327453031069467E-3</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3791.3249999999998</v>
      </c>
      <c r="C5" s="18">
        <f>'Eigen informatie GS &amp; warmtenet'!B60</f>
        <v>0</v>
      </c>
      <c r="D5" s="31">
        <f>IF(ISERROR(SUM(LB_lb_gas_kWh,LB_rest_gas_kWh)/1000),0,SUM(LB_lb_gas_kWh,LB_rest_gas_kWh)/1000)*0.902</f>
        <v>14194.645014</v>
      </c>
      <c r="E5" s="18">
        <f>B17*'E Balans VL '!I25/3.6*1000000/100</f>
        <v>35.716821771078763</v>
      </c>
      <c r="F5" s="18">
        <f>B17*('E Balans VL '!L25/3.6*1000000+'E Balans VL '!N25/3.6*1000000)/100</f>
        <v>12372.351705265613</v>
      </c>
      <c r="G5" s="19"/>
      <c r="H5" s="18"/>
      <c r="I5" s="18"/>
      <c r="J5" s="18">
        <f>('E Balans VL '!D25+'E Balans VL '!E25)/3.6*1000000*landbouw!B17/100</f>
        <v>469.00534350125764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3791.3249999999998</v>
      </c>
      <c r="C8" s="22">
        <f>C5+C6</f>
        <v>0</v>
      </c>
      <c r="D8" s="22">
        <f>MAX((D5+D6),0)</f>
        <v>14194.645014</v>
      </c>
      <c r="E8" s="22">
        <f>MAX((E5+E6),0)</f>
        <v>35.716821771078763</v>
      </c>
      <c r="F8" s="22">
        <f>MAX((F5+F6),0)</f>
        <v>12372.351705265613</v>
      </c>
      <c r="G8" s="22"/>
      <c r="H8" s="22"/>
      <c r="I8" s="22"/>
      <c r="J8" s="22">
        <f>MAX((J5+J6),0)</f>
        <v>469.00534350125764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0.20846885984443411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790.37320004969911</v>
      </c>
      <c r="C12" s="24">
        <f ca="1">C8*C10</f>
        <v>0</v>
      </c>
      <c r="D12" s="24">
        <f>D8*D10</f>
        <v>2867.3182928280003</v>
      </c>
      <c r="E12" s="24">
        <f>E8*E10</f>
        <v>8.1077185420348794</v>
      </c>
      <c r="F12" s="24">
        <f>F8*F10</f>
        <v>3303.4179053059188</v>
      </c>
      <c r="G12" s="24"/>
      <c r="H12" s="24"/>
      <c r="I12" s="24"/>
      <c r="J12" s="24">
        <f>J8*J10</f>
        <v>166.02789159944518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0.5132848215631689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622.31467347062426</v>
      </c>
      <c r="C26" s="250">
        <f>B26*'GWP N2O_CH4'!B5</f>
        <v>13068.608142883109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522.19145740470071</v>
      </c>
      <c r="C27" s="250">
        <f>B27*'GWP N2O_CH4'!B5</f>
        <v>10966.020605498716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9.6609526990071117</v>
      </c>
      <c r="C28" s="250">
        <f>B28*'GWP N2O_CH4'!B4</f>
        <v>2994.8953366922046</v>
      </c>
      <c r="D28" s="51"/>
    </row>
    <row r="29" spans="1:4">
      <c r="A29" s="42" t="s">
        <v>277</v>
      </c>
      <c r="B29" s="250">
        <f>B34*'ha_N2O bodem landbouw'!B4</f>
        <v>15.338229659364639</v>
      </c>
      <c r="C29" s="250">
        <f>B29*'GWP N2O_CH4'!B4</f>
        <v>4754.8511944030379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4.1408391564659482E-3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8.1692692861235063E-6</v>
      </c>
      <c r="C5" s="447" t="s">
        <v>211</v>
      </c>
      <c r="D5" s="432">
        <f>SUM(D6:D11)</f>
        <v>2.448769154438723E-5</v>
      </c>
      <c r="E5" s="432">
        <f>SUM(E6:E11)</f>
        <v>1.4502183031168041E-3</v>
      </c>
      <c r="F5" s="445" t="s">
        <v>211</v>
      </c>
      <c r="G5" s="432">
        <f>SUM(G6:G11)</f>
        <v>0.33243045104324909</v>
      </c>
      <c r="H5" s="432">
        <f>SUM(H6:H11)</f>
        <v>5.4495854670722141E-2</v>
      </c>
      <c r="I5" s="447" t="s">
        <v>211</v>
      </c>
      <c r="J5" s="447" t="s">
        <v>211</v>
      </c>
      <c r="K5" s="447" t="s">
        <v>211</v>
      </c>
      <c r="L5" s="447" t="s">
        <v>211</v>
      </c>
      <c r="M5" s="432">
        <f>SUM(M6:M11)</f>
        <v>1.729607538707531E-2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4.6173271282608751E-6</v>
      </c>
      <c r="C6" s="433"/>
      <c r="D6" s="433">
        <f>vkm_2011_GW_PW*SUMIFS(TableVerdeelsleutelVkm[CNG],TableVerdeelsleutelVkm[Voertuigtype],"Lichte voertuigen")*SUMIFS(TableECFTransport[EnergieConsumptieFactor (PJ per km)],TableECFTransport[Index],CONCATENATE($A6,"_CNG_CNG"))</f>
        <v>1.1275590174081978E-5</v>
      </c>
      <c r="E6" s="435">
        <f>vkm_2011_GW_PW*SUMIFS(TableVerdeelsleutelVkm[LPG],TableVerdeelsleutelVkm[Voertuigtype],"Lichte voertuigen")*SUMIFS(TableECFTransport[EnergieConsumptieFactor (PJ per km)],TableECFTransport[Index],CONCATENATE($A6,"_LPG_LPG"))</f>
        <v>6.6835871483661761E-4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9.6619114451593463E-2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2.5321094082023543E-2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5.4607071048029619E-3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8.66963783076036E-2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3.49786086394315E-5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3.8622968299321112E-3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2.2842702135651418E-6</v>
      </c>
      <c r="C8" s="433"/>
      <c r="D8" s="435">
        <f>vkm_2011_NGW_PW*SUMIFS(TableVerdeelsleutelVkm[CNG],TableVerdeelsleutelVkm[Voertuigtype],"Lichte voertuigen")*SUMIFS(TableECFTransport[EnergieConsumptieFactor (PJ per km)],TableECFTransport[Index],CONCATENATE($A8,"_CNG_CNG"))</f>
        <v>1.000828539962134E-5</v>
      </c>
      <c r="E8" s="435">
        <f>vkm_2011_NGW_PW*SUMIFS(TableVerdeelsleutelVkm[LPG],TableVerdeelsleutelVkm[Voertuigtype],"Lichte voertuigen")*SUMIFS(TableECFTransport[EnergieConsumptieFactor (PJ per km)],TableECFTransport[Index],CONCATENATE($A8,"_LPG_LPG"))</f>
        <v>5.4423769323143692E-4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7.4323996622215116E-2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2.1522153049523013E-2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4.2941216303683891E-3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2.1846418546565403E-2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7.6744661226354861E-6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9.7319905876600379E-4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1.2676719442974901E-6</v>
      </c>
      <c r="C10" s="433"/>
      <c r="D10" s="435">
        <f>vkm_2011_SW_PW*SUMIFS(TableVerdeelsleutelVkm[CNG],TableVerdeelsleutelVkm[Voertuigtype],"Lichte voertuigen")*SUMIFS(TableECFTransport[EnergieConsumptieFactor (PJ per km)],TableECFTransport[Index],CONCATENATE($A10,"_CNG_CNG"))</f>
        <v>3.2038159706839141E-6</v>
      </c>
      <c r="E10" s="435">
        <f>vkm_2011_SW_PW*SUMIFS(TableVerdeelsleutelVkm[LPG],TableVerdeelsleutelVkm[Voertuigtype],"Lichte voertuigen")*SUMIFS(TableECFTransport[EnergieConsumptieFactor (PJ per km)],TableECFTransport[Index],CONCATENATE($A10,"_LPG_LPG"))</f>
        <v>2.3762189504874967E-4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3.1305355645477942E-2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7.6006917800379679E-3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1.7417073185819827E-3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2.1639187469793621E-2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9.2626843755555113E-6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9.6404344462386001E-4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2.2692414683676407</v>
      </c>
      <c r="C14" s="22"/>
      <c r="D14" s="22">
        <f t="shared" ref="D14:M14" si="0">((D5)*10^9/3600)+D12</f>
        <v>6.802136540107564</v>
      </c>
      <c r="E14" s="22">
        <f t="shared" si="0"/>
        <v>402.83841753244553</v>
      </c>
      <c r="F14" s="22"/>
      <c r="G14" s="22">
        <f t="shared" si="0"/>
        <v>92341.791956458081</v>
      </c>
      <c r="H14" s="22">
        <f t="shared" si="0"/>
        <v>15137.737408533929</v>
      </c>
      <c r="I14" s="22"/>
      <c r="J14" s="22"/>
      <c r="K14" s="22"/>
      <c r="L14" s="22"/>
      <c r="M14" s="22">
        <f t="shared" si="0"/>
        <v>4804.4653852986967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0.20846885984443411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0.47306618162231157</v>
      </c>
      <c r="C18" s="24"/>
      <c r="D18" s="24">
        <f t="shared" ref="D18:M18" si="1">D14*D16</f>
        <v>1.3740315811017281</v>
      </c>
      <c r="E18" s="24">
        <f t="shared" si="1"/>
        <v>91.444320779865137</v>
      </c>
      <c r="F18" s="24"/>
      <c r="G18" s="24">
        <f t="shared" si="1"/>
        <v>24655.25845237431</v>
      </c>
      <c r="H18" s="24">
        <f t="shared" si="1"/>
        <v>3769.2966147249481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4.4072067313415536E-3</v>
      </c>
      <c r="H50" s="323">
        <f t="shared" si="2"/>
        <v>0</v>
      </c>
      <c r="I50" s="323">
        <f t="shared" si="2"/>
        <v>0</v>
      </c>
      <c r="J50" s="323">
        <f t="shared" si="2"/>
        <v>0</v>
      </c>
      <c r="K50" s="323">
        <f t="shared" si="2"/>
        <v>0</v>
      </c>
      <c r="L50" s="323">
        <f t="shared" si="2"/>
        <v>0</v>
      </c>
      <c r="M50" s="323">
        <f t="shared" si="2"/>
        <v>1.935277177154663E-4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4.4072067313415536E-3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1.935277177154663E-4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1224.2240920393206</v>
      </c>
      <c r="H54" s="22">
        <f t="shared" si="3"/>
        <v>0</v>
      </c>
      <c r="I54" s="22">
        <f t="shared" si="3"/>
        <v>0</v>
      </c>
      <c r="J54" s="22">
        <f t="shared" si="3"/>
        <v>0</v>
      </c>
      <c r="K54" s="22">
        <f t="shared" si="3"/>
        <v>0</v>
      </c>
      <c r="L54" s="22">
        <f t="shared" si="3"/>
        <v>0</v>
      </c>
      <c r="M54" s="22">
        <f t="shared" si="3"/>
        <v>53.757699365407305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0.20846885984443411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326.86783257449861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27592.234</v>
      </c>
      <c r="D10" s="688">
        <f ca="1">tertiair!C16</f>
        <v>0</v>
      </c>
      <c r="E10" s="688">
        <f ca="1">tertiair!D16</f>
        <v>34056.838354</v>
      </c>
      <c r="F10" s="688">
        <f>tertiair!E16</f>
        <v>209.98802076629983</v>
      </c>
      <c r="G10" s="688">
        <f ca="1">tertiair!F16</f>
        <v>6101.9261001381374</v>
      </c>
      <c r="H10" s="688">
        <f>tertiair!G16</f>
        <v>0</v>
      </c>
      <c r="I10" s="688">
        <f>tertiair!H16</f>
        <v>0</v>
      </c>
      <c r="J10" s="688">
        <f>tertiair!I16</f>
        <v>0</v>
      </c>
      <c r="K10" s="688">
        <f>tertiair!J16</f>
        <v>0</v>
      </c>
      <c r="L10" s="688">
        <f>tertiair!K16</f>
        <v>0</v>
      </c>
      <c r="M10" s="688">
        <f ca="1">tertiair!L16</f>
        <v>0</v>
      </c>
      <c r="N10" s="688">
        <f>tertiair!M16</f>
        <v>0</v>
      </c>
      <c r="O10" s="688">
        <f ca="1">tertiair!N16</f>
        <v>1146.1577665526142</v>
      </c>
      <c r="P10" s="688">
        <f>tertiair!O16</f>
        <v>0</v>
      </c>
      <c r="Q10" s="689">
        <f>tertiair!P16</f>
        <v>0</v>
      </c>
      <c r="R10" s="691">
        <f ca="1">SUM(C10:Q10)</f>
        <v>69107.144241457048</v>
      </c>
      <c r="S10" s="68"/>
    </row>
    <row r="11" spans="1:19" s="457" customFormat="1">
      <c r="A11" s="803" t="s">
        <v>225</v>
      </c>
      <c r="B11" s="808"/>
      <c r="C11" s="688">
        <f>huishoudens!B8</f>
        <v>41047.714861846907</v>
      </c>
      <c r="D11" s="688">
        <f>huishoudens!C8</f>
        <v>0</v>
      </c>
      <c r="E11" s="688">
        <f>huishoudens!D8</f>
        <v>71895.907028000001</v>
      </c>
      <c r="F11" s="688">
        <f>huishoudens!E8</f>
        <v>5696.5818663103728</v>
      </c>
      <c r="G11" s="688">
        <f>huishoudens!F8</f>
        <v>18962.132848625381</v>
      </c>
      <c r="H11" s="688">
        <f>huishoudens!G8</f>
        <v>0</v>
      </c>
      <c r="I11" s="688">
        <f>huishoudens!H8</f>
        <v>0</v>
      </c>
      <c r="J11" s="688">
        <f>huishoudens!I8</f>
        <v>0</v>
      </c>
      <c r="K11" s="688">
        <f>huishoudens!J8</f>
        <v>1180.2325039244765</v>
      </c>
      <c r="L11" s="688">
        <f>huishoudens!K8</f>
        <v>0</v>
      </c>
      <c r="M11" s="688">
        <f>huishoudens!L8</f>
        <v>0</v>
      </c>
      <c r="N11" s="688">
        <f>huishoudens!M8</f>
        <v>0</v>
      </c>
      <c r="O11" s="688">
        <f>huishoudens!N8</f>
        <v>20651.041496018348</v>
      </c>
      <c r="P11" s="688">
        <f>huishoudens!O8</f>
        <v>120.37666666666668</v>
      </c>
      <c r="Q11" s="689">
        <f>huishoudens!P8</f>
        <v>533.86666666666667</v>
      </c>
      <c r="R11" s="691">
        <f>SUM(C11:Q11)</f>
        <v>160087.85393805886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14802.085000000001</v>
      </c>
      <c r="D13" s="688">
        <f>industrie!C18</f>
        <v>0</v>
      </c>
      <c r="E13" s="688">
        <f>industrie!D18</f>
        <v>2606.3172740000005</v>
      </c>
      <c r="F13" s="688">
        <f>industrie!E18</f>
        <v>142.89844373697804</v>
      </c>
      <c r="G13" s="688">
        <f>industrie!F18</f>
        <v>3647.4954081768133</v>
      </c>
      <c r="H13" s="688">
        <f>industrie!G18</f>
        <v>0</v>
      </c>
      <c r="I13" s="688">
        <f>industrie!H18</f>
        <v>0</v>
      </c>
      <c r="J13" s="688">
        <f>industrie!I18</f>
        <v>0</v>
      </c>
      <c r="K13" s="688">
        <f>industrie!J18</f>
        <v>16.994434099588368</v>
      </c>
      <c r="L13" s="688">
        <f>industrie!K18</f>
        <v>0</v>
      </c>
      <c r="M13" s="688">
        <f>industrie!L18</f>
        <v>0</v>
      </c>
      <c r="N13" s="688">
        <f>industrie!M18</f>
        <v>0</v>
      </c>
      <c r="O13" s="688">
        <f>industrie!N18</f>
        <v>400.17610099875805</v>
      </c>
      <c r="P13" s="688">
        <f>industrie!O18</f>
        <v>0</v>
      </c>
      <c r="Q13" s="689">
        <f>industrie!P18</f>
        <v>0</v>
      </c>
      <c r="R13" s="691">
        <f>SUM(C13:Q13)</f>
        <v>21615.966661012135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83442.03386184691</v>
      </c>
      <c r="D16" s="721">
        <f t="shared" ref="D16:R16" ca="1" si="0">SUM(D9:D15)</f>
        <v>0</v>
      </c>
      <c r="E16" s="721">
        <f t="shared" ca="1" si="0"/>
        <v>108559.06265599999</v>
      </c>
      <c r="F16" s="721">
        <f t="shared" si="0"/>
        <v>6049.4683308136509</v>
      </c>
      <c r="G16" s="721">
        <f t="shared" ca="1" si="0"/>
        <v>28711.554356940331</v>
      </c>
      <c r="H16" s="721">
        <f t="shared" si="0"/>
        <v>0</v>
      </c>
      <c r="I16" s="721">
        <f t="shared" si="0"/>
        <v>0</v>
      </c>
      <c r="J16" s="721">
        <f t="shared" si="0"/>
        <v>0</v>
      </c>
      <c r="K16" s="721">
        <f t="shared" si="0"/>
        <v>1197.2269380240648</v>
      </c>
      <c r="L16" s="721">
        <f t="shared" si="0"/>
        <v>0</v>
      </c>
      <c r="M16" s="721">
        <f t="shared" ca="1" si="0"/>
        <v>0</v>
      </c>
      <c r="N16" s="721">
        <f t="shared" si="0"/>
        <v>0</v>
      </c>
      <c r="O16" s="721">
        <f t="shared" ca="1" si="0"/>
        <v>22197.375363569718</v>
      </c>
      <c r="P16" s="721">
        <f t="shared" si="0"/>
        <v>120.37666666666668</v>
      </c>
      <c r="Q16" s="721">
        <f t="shared" si="0"/>
        <v>533.86666666666667</v>
      </c>
      <c r="R16" s="721">
        <f t="shared" ca="1" si="0"/>
        <v>250810.96484052803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1224.2240920393206</v>
      </c>
      <c r="I19" s="688">
        <f>transport!H54</f>
        <v>0</v>
      </c>
      <c r="J19" s="688">
        <f>transport!I54</f>
        <v>0</v>
      </c>
      <c r="K19" s="688">
        <f>transport!J54</f>
        <v>0</v>
      </c>
      <c r="L19" s="688">
        <f>transport!K54</f>
        <v>0</v>
      </c>
      <c r="M19" s="688">
        <f>transport!L54</f>
        <v>0</v>
      </c>
      <c r="N19" s="688">
        <f>transport!M54</f>
        <v>53.757699365407305</v>
      </c>
      <c r="O19" s="688">
        <f>transport!N54</f>
        <v>0</v>
      </c>
      <c r="P19" s="688">
        <f>transport!O54</f>
        <v>0</v>
      </c>
      <c r="Q19" s="689">
        <f>transport!P54</f>
        <v>0</v>
      </c>
      <c r="R19" s="691">
        <f>SUM(C19:Q19)</f>
        <v>1277.9817914047278</v>
      </c>
      <c r="S19" s="68"/>
    </row>
    <row r="20" spans="1:19" s="457" customFormat="1">
      <c r="A20" s="803" t="s">
        <v>307</v>
      </c>
      <c r="B20" s="808"/>
      <c r="C20" s="688">
        <f>transport!B14</f>
        <v>2.2692414683676407</v>
      </c>
      <c r="D20" s="688">
        <f>transport!C14</f>
        <v>0</v>
      </c>
      <c r="E20" s="688">
        <f>transport!D14</f>
        <v>6.802136540107564</v>
      </c>
      <c r="F20" s="688">
        <f>transport!E14</f>
        <v>402.83841753244553</v>
      </c>
      <c r="G20" s="688">
        <f>transport!F14</f>
        <v>0</v>
      </c>
      <c r="H20" s="688">
        <f>transport!G14</f>
        <v>92341.791956458081</v>
      </c>
      <c r="I20" s="688">
        <f>transport!H14</f>
        <v>15137.737408533929</v>
      </c>
      <c r="J20" s="688">
        <f>transport!I14</f>
        <v>0</v>
      </c>
      <c r="K20" s="688">
        <f>transport!J14</f>
        <v>0</v>
      </c>
      <c r="L20" s="688">
        <f>transport!K14</f>
        <v>0</v>
      </c>
      <c r="M20" s="688">
        <f>transport!L14</f>
        <v>0</v>
      </c>
      <c r="N20" s="688">
        <f>transport!M14</f>
        <v>4804.4653852986967</v>
      </c>
      <c r="O20" s="688">
        <f>transport!N14</f>
        <v>0</v>
      </c>
      <c r="P20" s="688">
        <f>transport!O14</f>
        <v>0</v>
      </c>
      <c r="Q20" s="689">
        <f>transport!P14</f>
        <v>0</v>
      </c>
      <c r="R20" s="691">
        <f>SUM(C20:Q20)</f>
        <v>112695.90454583163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2.2692414683676407</v>
      </c>
      <c r="D22" s="806">
        <f t="shared" ref="D22:R22" si="1">SUM(D18:D21)</f>
        <v>0</v>
      </c>
      <c r="E22" s="806">
        <f t="shared" si="1"/>
        <v>6.802136540107564</v>
      </c>
      <c r="F22" s="806">
        <f t="shared" si="1"/>
        <v>402.83841753244553</v>
      </c>
      <c r="G22" s="806">
        <f t="shared" si="1"/>
        <v>0</v>
      </c>
      <c r="H22" s="806">
        <f t="shared" si="1"/>
        <v>93566.016048497404</v>
      </c>
      <c r="I22" s="806">
        <f t="shared" si="1"/>
        <v>15137.737408533929</v>
      </c>
      <c r="J22" s="806">
        <f t="shared" si="1"/>
        <v>0</v>
      </c>
      <c r="K22" s="806">
        <f t="shared" si="1"/>
        <v>0</v>
      </c>
      <c r="L22" s="806">
        <f t="shared" si="1"/>
        <v>0</v>
      </c>
      <c r="M22" s="806">
        <f t="shared" si="1"/>
        <v>0</v>
      </c>
      <c r="N22" s="806">
        <f t="shared" si="1"/>
        <v>4858.2230846641041</v>
      </c>
      <c r="O22" s="806">
        <f t="shared" si="1"/>
        <v>0</v>
      </c>
      <c r="P22" s="806">
        <f t="shared" si="1"/>
        <v>0</v>
      </c>
      <c r="Q22" s="806">
        <f t="shared" si="1"/>
        <v>0</v>
      </c>
      <c r="R22" s="806">
        <f t="shared" si="1"/>
        <v>113973.88633723636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3791.3249999999998</v>
      </c>
      <c r="D24" s="688">
        <f>+landbouw!C8</f>
        <v>0</v>
      </c>
      <c r="E24" s="688">
        <f>+landbouw!D8</f>
        <v>14194.645014</v>
      </c>
      <c r="F24" s="688">
        <f>+landbouw!E8</f>
        <v>35.716821771078763</v>
      </c>
      <c r="G24" s="688">
        <f>+landbouw!F8</f>
        <v>12372.351705265613</v>
      </c>
      <c r="H24" s="688">
        <f>+landbouw!G8</f>
        <v>0</v>
      </c>
      <c r="I24" s="688">
        <f>+landbouw!H8</f>
        <v>0</v>
      </c>
      <c r="J24" s="688">
        <f>+landbouw!I8</f>
        <v>0</v>
      </c>
      <c r="K24" s="688">
        <f>+landbouw!J8</f>
        <v>469.00534350125764</v>
      </c>
      <c r="L24" s="688">
        <f>+landbouw!K8</f>
        <v>0</v>
      </c>
      <c r="M24" s="688">
        <f>+landbouw!L8</f>
        <v>0</v>
      </c>
      <c r="N24" s="688">
        <f>+landbouw!M8</f>
        <v>0</v>
      </c>
      <c r="O24" s="688">
        <f>+landbouw!N8</f>
        <v>0</v>
      </c>
      <c r="P24" s="688">
        <f>+landbouw!O8</f>
        <v>0</v>
      </c>
      <c r="Q24" s="689">
        <f>+landbouw!P8</f>
        <v>0</v>
      </c>
      <c r="R24" s="691">
        <f>SUM(C24:Q24)</f>
        <v>30863.043884537947</v>
      </c>
      <c r="S24" s="68"/>
    </row>
    <row r="25" spans="1:19" s="457" customFormat="1" ht="15" thickBot="1">
      <c r="A25" s="825" t="s">
        <v>912</v>
      </c>
      <c r="B25" s="1001"/>
      <c r="C25" s="1002">
        <f>IF(Onbekend_ele_kWh="---",0,Onbekend_ele_kWh)/1000+IF(REST_rest_ele_kWh="---",0,REST_rest_ele_kWh)/1000</f>
        <v>979.09400000000005</v>
      </c>
      <c r="D25" s="1002"/>
      <c r="E25" s="1002">
        <f>IF(onbekend_gas_kWh="---",0,onbekend_gas_kWh)/1000+IF(REST_rest_gas_kWh="---",0,REST_rest_gas_kWh)/1000</f>
        <v>2563.127</v>
      </c>
      <c r="F25" s="1002"/>
      <c r="G25" s="1002"/>
      <c r="H25" s="1002"/>
      <c r="I25" s="1002"/>
      <c r="J25" s="1002"/>
      <c r="K25" s="1002"/>
      <c r="L25" s="1002"/>
      <c r="M25" s="1002"/>
      <c r="N25" s="1002"/>
      <c r="O25" s="1002"/>
      <c r="P25" s="1002"/>
      <c r="Q25" s="1003"/>
      <c r="R25" s="691">
        <f>SUM(C25:Q25)</f>
        <v>3542.221</v>
      </c>
      <c r="S25" s="68"/>
    </row>
    <row r="26" spans="1:19" s="457" customFormat="1" ht="15.75" thickBot="1">
      <c r="A26" s="694" t="s">
        <v>913</v>
      </c>
      <c r="B26" s="811"/>
      <c r="C26" s="806">
        <f>SUM(C24:C25)</f>
        <v>4770.4189999999999</v>
      </c>
      <c r="D26" s="806">
        <f t="shared" ref="D26:R26" si="2">SUM(D24:D25)</f>
        <v>0</v>
      </c>
      <c r="E26" s="806">
        <f t="shared" si="2"/>
        <v>16757.772013999998</v>
      </c>
      <c r="F26" s="806">
        <f t="shared" si="2"/>
        <v>35.716821771078763</v>
      </c>
      <c r="G26" s="806">
        <f t="shared" si="2"/>
        <v>12372.351705265613</v>
      </c>
      <c r="H26" s="806">
        <f t="shared" si="2"/>
        <v>0</v>
      </c>
      <c r="I26" s="806">
        <f t="shared" si="2"/>
        <v>0</v>
      </c>
      <c r="J26" s="806">
        <f t="shared" si="2"/>
        <v>0</v>
      </c>
      <c r="K26" s="806">
        <f t="shared" si="2"/>
        <v>469.00534350125764</v>
      </c>
      <c r="L26" s="806">
        <f t="shared" si="2"/>
        <v>0</v>
      </c>
      <c r="M26" s="806">
        <f t="shared" si="2"/>
        <v>0</v>
      </c>
      <c r="N26" s="806">
        <f t="shared" si="2"/>
        <v>0</v>
      </c>
      <c r="O26" s="806">
        <f t="shared" si="2"/>
        <v>0</v>
      </c>
      <c r="P26" s="806">
        <f t="shared" si="2"/>
        <v>0</v>
      </c>
      <c r="Q26" s="806">
        <f t="shared" si="2"/>
        <v>0</v>
      </c>
      <c r="R26" s="806">
        <f t="shared" si="2"/>
        <v>34405.264884537944</v>
      </c>
      <c r="S26" s="68"/>
    </row>
    <row r="27" spans="1:19" s="457" customFormat="1" ht="17.25" thickTop="1" thickBot="1">
      <c r="A27" s="695" t="s">
        <v>116</v>
      </c>
      <c r="B27" s="798"/>
      <c r="C27" s="696">
        <f ca="1">C22+C16+C26</f>
        <v>88214.722103315275</v>
      </c>
      <c r="D27" s="696">
        <f t="shared" ref="D27:R27" ca="1" si="3">D22+D16+D26</f>
        <v>0</v>
      </c>
      <c r="E27" s="696">
        <f t="shared" ca="1" si="3"/>
        <v>125323.6368065401</v>
      </c>
      <c r="F27" s="696">
        <f t="shared" si="3"/>
        <v>6488.023570117175</v>
      </c>
      <c r="G27" s="696">
        <f t="shared" ca="1" si="3"/>
        <v>41083.906062205948</v>
      </c>
      <c r="H27" s="696">
        <f t="shared" si="3"/>
        <v>93566.016048497404</v>
      </c>
      <c r="I27" s="696">
        <f t="shared" si="3"/>
        <v>15137.737408533929</v>
      </c>
      <c r="J27" s="696">
        <f t="shared" si="3"/>
        <v>0</v>
      </c>
      <c r="K27" s="696">
        <f t="shared" si="3"/>
        <v>1666.2322815253224</v>
      </c>
      <c r="L27" s="696">
        <f t="shared" si="3"/>
        <v>0</v>
      </c>
      <c r="M27" s="696">
        <f t="shared" ca="1" si="3"/>
        <v>0</v>
      </c>
      <c r="N27" s="696">
        <f t="shared" si="3"/>
        <v>4858.2230846641041</v>
      </c>
      <c r="O27" s="696">
        <f t="shared" ca="1" si="3"/>
        <v>22197.375363569718</v>
      </c>
      <c r="P27" s="696">
        <f t="shared" si="3"/>
        <v>120.37666666666668</v>
      </c>
      <c r="Q27" s="696">
        <f t="shared" si="3"/>
        <v>533.86666666666667</v>
      </c>
      <c r="R27" s="696">
        <f t="shared" ca="1" si="3"/>
        <v>399190.11606230232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5752.1215625408295</v>
      </c>
      <c r="D40" s="688">
        <f ca="1">tertiair!C20</f>
        <v>0</v>
      </c>
      <c r="E40" s="688">
        <f ca="1">tertiair!D20</f>
        <v>6879.481347508</v>
      </c>
      <c r="F40" s="688">
        <f>tertiair!E20</f>
        <v>47.667280713950063</v>
      </c>
      <c r="G40" s="688">
        <f ca="1">tertiair!F20</f>
        <v>1629.2142687368828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14308.484459499663</v>
      </c>
    </row>
    <row r="41" spans="1:18">
      <c r="A41" s="816" t="s">
        <v>225</v>
      </c>
      <c r="B41" s="823"/>
      <c r="C41" s="688">
        <f ca="1">huishoudens!B12</f>
        <v>8557.1703164686587</v>
      </c>
      <c r="D41" s="688">
        <f ca="1">huishoudens!C12</f>
        <v>0</v>
      </c>
      <c r="E41" s="688">
        <f>huishoudens!D12</f>
        <v>14522.973219656002</v>
      </c>
      <c r="F41" s="688">
        <f>huishoudens!E12</f>
        <v>1293.1240836524546</v>
      </c>
      <c r="G41" s="688">
        <f>huishoudens!F12</f>
        <v>5062.8894705829771</v>
      </c>
      <c r="H41" s="688">
        <f>huishoudens!G12</f>
        <v>0</v>
      </c>
      <c r="I41" s="688">
        <f>huishoudens!H12</f>
        <v>0</v>
      </c>
      <c r="J41" s="688">
        <f>huishoudens!I12</f>
        <v>0</v>
      </c>
      <c r="K41" s="688">
        <f>huishoudens!J12</f>
        <v>417.80230638926469</v>
      </c>
      <c r="L41" s="688">
        <f>huishoudens!K12</f>
        <v>0</v>
      </c>
      <c r="M41" s="688">
        <f>huishoudens!L12</f>
        <v>0</v>
      </c>
      <c r="N41" s="688">
        <f>huishoudens!M12</f>
        <v>0</v>
      </c>
      <c r="O41" s="688">
        <f>huishoudens!N12</f>
        <v>0</v>
      </c>
      <c r="P41" s="688">
        <f>huishoudens!O12</f>
        <v>0</v>
      </c>
      <c r="Q41" s="763">
        <f>huishoudens!P12</f>
        <v>0</v>
      </c>
      <c r="R41" s="844">
        <f t="shared" ca="1" si="4"/>
        <v>29853.95939674936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3085.7737832704006</v>
      </c>
      <c r="D43" s="688">
        <f ca="1">industrie!C22</f>
        <v>0</v>
      </c>
      <c r="E43" s="688">
        <f>industrie!D22</f>
        <v>526.47608934800007</v>
      </c>
      <c r="F43" s="688">
        <f>industrie!E22</f>
        <v>32.437946728294015</v>
      </c>
      <c r="G43" s="688">
        <f>industrie!F22</f>
        <v>973.88127398320921</v>
      </c>
      <c r="H43" s="688">
        <f>industrie!G22</f>
        <v>0</v>
      </c>
      <c r="I43" s="688">
        <f>industrie!H22</f>
        <v>0</v>
      </c>
      <c r="J43" s="688">
        <f>industrie!I22</f>
        <v>0</v>
      </c>
      <c r="K43" s="688">
        <f>industrie!J22</f>
        <v>6.016029671254282</v>
      </c>
      <c r="L43" s="688">
        <f>industrie!K22</f>
        <v>0</v>
      </c>
      <c r="M43" s="688">
        <f>industrie!L22</f>
        <v>0</v>
      </c>
      <c r="N43" s="688">
        <f>industrie!M22</f>
        <v>0</v>
      </c>
      <c r="O43" s="688">
        <f>industrie!N22</f>
        <v>0</v>
      </c>
      <c r="P43" s="688">
        <f>industrie!O22</f>
        <v>0</v>
      </c>
      <c r="Q43" s="763">
        <f>industrie!P22</f>
        <v>0</v>
      </c>
      <c r="R43" s="843">
        <f t="shared" ca="1" si="4"/>
        <v>4624.5851230011585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17395.065662279889</v>
      </c>
      <c r="D46" s="721">
        <f t="shared" ref="D46:Q46" ca="1" si="5">SUM(D39:D45)</f>
        <v>0</v>
      </c>
      <c r="E46" s="721">
        <f t="shared" ca="1" si="5"/>
        <v>21928.930656512002</v>
      </c>
      <c r="F46" s="721">
        <f t="shared" si="5"/>
        <v>1373.2293110946987</v>
      </c>
      <c r="G46" s="721">
        <f t="shared" ca="1" si="5"/>
        <v>7665.9850133030695</v>
      </c>
      <c r="H46" s="721">
        <f t="shared" si="5"/>
        <v>0</v>
      </c>
      <c r="I46" s="721">
        <f t="shared" si="5"/>
        <v>0</v>
      </c>
      <c r="J46" s="721">
        <f t="shared" si="5"/>
        <v>0</v>
      </c>
      <c r="K46" s="721">
        <f t="shared" si="5"/>
        <v>423.81833606051896</v>
      </c>
      <c r="L46" s="721">
        <f t="shared" si="5"/>
        <v>0</v>
      </c>
      <c r="M46" s="721">
        <f t="shared" ca="1" si="5"/>
        <v>0</v>
      </c>
      <c r="N46" s="721">
        <f t="shared" si="5"/>
        <v>0</v>
      </c>
      <c r="O46" s="721">
        <f t="shared" ca="1" si="5"/>
        <v>0</v>
      </c>
      <c r="P46" s="721">
        <f t="shared" si="5"/>
        <v>0</v>
      </c>
      <c r="Q46" s="721">
        <f t="shared" si="5"/>
        <v>0</v>
      </c>
      <c r="R46" s="721">
        <f ca="1">SUM(R39:R45)</f>
        <v>48787.028979250186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326.86783257449861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326.86783257449861</v>
      </c>
    </row>
    <row r="50" spans="1:18">
      <c r="A50" s="819" t="s">
        <v>307</v>
      </c>
      <c r="B50" s="829"/>
      <c r="C50" s="1008">
        <f ca="1">transport!B18</f>
        <v>0.47306618162231157</v>
      </c>
      <c r="D50" s="1008">
        <f>transport!C18</f>
        <v>0</v>
      </c>
      <c r="E50" s="1008">
        <f>transport!D18</f>
        <v>1.3740315811017281</v>
      </c>
      <c r="F50" s="1008">
        <f>transport!E18</f>
        <v>91.444320779865137</v>
      </c>
      <c r="G50" s="1008">
        <f>transport!F18</f>
        <v>0</v>
      </c>
      <c r="H50" s="1008">
        <f>transport!G18</f>
        <v>24655.25845237431</v>
      </c>
      <c r="I50" s="1008">
        <f>transport!H18</f>
        <v>3769.2966147249481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28517.84648564185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0.47306618162231157</v>
      </c>
      <c r="D52" s="721">
        <f t="shared" ref="D52:Q52" ca="1" si="6">SUM(D48:D51)</f>
        <v>0</v>
      </c>
      <c r="E52" s="721">
        <f t="shared" si="6"/>
        <v>1.3740315811017281</v>
      </c>
      <c r="F52" s="721">
        <f t="shared" si="6"/>
        <v>91.444320779865137</v>
      </c>
      <c r="G52" s="721">
        <f t="shared" si="6"/>
        <v>0</v>
      </c>
      <c r="H52" s="721">
        <f t="shared" si="6"/>
        <v>24982.126284948808</v>
      </c>
      <c r="I52" s="721">
        <f t="shared" si="6"/>
        <v>3769.2966147249481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28844.714318216349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790.37320004969911</v>
      </c>
      <c r="D54" s="1008">
        <f ca="1">+landbouw!C12</f>
        <v>0</v>
      </c>
      <c r="E54" s="1008">
        <f>+landbouw!D12</f>
        <v>2867.3182928280003</v>
      </c>
      <c r="F54" s="1008">
        <f>+landbouw!E12</f>
        <v>8.1077185420348794</v>
      </c>
      <c r="G54" s="1008">
        <f>+landbouw!F12</f>
        <v>3303.4179053059188</v>
      </c>
      <c r="H54" s="1008">
        <f>+landbouw!G12</f>
        <v>0</v>
      </c>
      <c r="I54" s="1008">
        <f>+landbouw!H12</f>
        <v>0</v>
      </c>
      <c r="J54" s="1008">
        <f>+landbouw!I12</f>
        <v>0</v>
      </c>
      <c r="K54" s="1008">
        <f>+landbouw!J12</f>
        <v>166.02789159944518</v>
      </c>
      <c r="L54" s="1008">
        <f>+landbouw!K12</f>
        <v>0</v>
      </c>
      <c r="M54" s="1008">
        <f>+landbouw!L12</f>
        <v>0</v>
      </c>
      <c r="N54" s="1008">
        <f>+landbouw!M12</f>
        <v>0</v>
      </c>
      <c r="O54" s="1008">
        <f>+landbouw!N12</f>
        <v>0</v>
      </c>
      <c r="P54" s="1008">
        <f>+landbouw!O12</f>
        <v>0</v>
      </c>
      <c r="Q54" s="1009">
        <f>+landbouw!P12</f>
        <v>0</v>
      </c>
      <c r="R54" s="720">
        <f ca="1">SUM(C54:Q54)</f>
        <v>7135.2450083250978</v>
      </c>
    </row>
    <row r="55" spans="1:18" ht="15" thickBot="1">
      <c r="A55" s="819" t="s">
        <v>912</v>
      </c>
      <c r="B55" s="829"/>
      <c r="C55" s="1008">
        <f ca="1">C25*'EF ele_warmte'!B12</f>
        <v>204.11060986052638</v>
      </c>
      <c r="D55" s="1008"/>
      <c r="E55" s="1008">
        <f>E25*EF_CO2_aardgas</f>
        <v>517.75165400000003</v>
      </c>
      <c r="F55" s="1008"/>
      <c r="G55" s="1008"/>
      <c r="H55" s="1008"/>
      <c r="I55" s="1008"/>
      <c r="J55" s="1008"/>
      <c r="K55" s="1008"/>
      <c r="L55" s="1008"/>
      <c r="M55" s="1008"/>
      <c r="N55" s="1008"/>
      <c r="O55" s="1008"/>
      <c r="P55" s="1008"/>
      <c r="Q55" s="1009"/>
      <c r="R55" s="720">
        <f ca="1">SUM(C55:Q55)</f>
        <v>721.86226386052635</v>
      </c>
    </row>
    <row r="56" spans="1:18" ht="15.75" thickBot="1">
      <c r="A56" s="817" t="s">
        <v>913</v>
      </c>
      <c r="B56" s="830"/>
      <c r="C56" s="721">
        <f ca="1">SUM(C54:C55)</f>
        <v>994.48380991022555</v>
      </c>
      <c r="D56" s="721">
        <f t="shared" ref="D56:Q56" ca="1" si="7">SUM(D54:D55)</f>
        <v>0</v>
      </c>
      <c r="E56" s="721">
        <f t="shared" si="7"/>
        <v>3385.0699468280004</v>
      </c>
      <c r="F56" s="721">
        <f t="shared" si="7"/>
        <v>8.1077185420348794</v>
      </c>
      <c r="G56" s="721">
        <f t="shared" si="7"/>
        <v>3303.4179053059188</v>
      </c>
      <c r="H56" s="721">
        <f t="shared" si="7"/>
        <v>0</v>
      </c>
      <c r="I56" s="721">
        <f t="shared" si="7"/>
        <v>0</v>
      </c>
      <c r="J56" s="721">
        <f t="shared" si="7"/>
        <v>0</v>
      </c>
      <c r="K56" s="721">
        <f t="shared" si="7"/>
        <v>166.02789159944518</v>
      </c>
      <c r="L56" s="721">
        <f t="shared" si="7"/>
        <v>0</v>
      </c>
      <c r="M56" s="721">
        <f t="shared" si="7"/>
        <v>0</v>
      </c>
      <c r="N56" s="721">
        <f t="shared" si="7"/>
        <v>0</v>
      </c>
      <c r="O56" s="721">
        <f t="shared" si="7"/>
        <v>0</v>
      </c>
      <c r="P56" s="721">
        <f t="shared" si="7"/>
        <v>0</v>
      </c>
      <c r="Q56" s="722">
        <f t="shared" si="7"/>
        <v>0</v>
      </c>
      <c r="R56" s="723">
        <f ca="1">SUM(R54:R55)</f>
        <v>7857.1072721856244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18390.022538371737</v>
      </c>
      <c r="D61" s="729">
        <f t="shared" ref="D61:Q61" ca="1" si="8">D46+D52+D56</f>
        <v>0</v>
      </c>
      <c r="E61" s="729">
        <f t="shared" ca="1" si="8"/>
        <v>25315.374634921103</v>
      </c>
      <c r="F61" s="729">
        <f t="shared" si="8"/>
        <v>1472.7813504165988</v>
      </c>
      <c r="G61" s="729">
        <f t="shared" ca="1" si="8"/>
        <v>10969.402918608988</v>
      </c>
      <c r="H61" s="729">
        <f t="shared" si="8"/>
        <v>24982.126284948808</v>
      </c>
      <c r="I61" s="729">
        <f t="shared" si="8"/>
        <v>3769.2966147249481</v>
      </c>
      <c r="J61" s="729">
        <f t="shared" si="8"/>
        <v>0</v>
      </c>
      <c r="K61" s="729">
        <f t="shared" si="8"/>
        <v>589.84622765996414</v>
      </c>
      <c r="L61" s="729">
        <f t="shared" si="8"/>
        <v>0</v>
      </c>
      <c r="M61" s="729">
        <f t="shared" ca="1" si="8"/>
        <v>0</v>
      </c>
      <c r="N61" s="729">
        <f t="shared" si="8"/>
        <v>0</v>
      </c>
      <c r="O61" s="729">
        <f t="shared" ca="1" si="8"/>
        <v>0</v>
      </c>
      <c r="P61" s="729">
        <f t="shared" si="8"/>
        <v>0</v>
      </c>
      <c r="Q61" s="729">
        <f t="shared" si="8"/>
        <v>0</v>
      </c>
      <c r="R61" s="729">
        <f ca="1">R46+R52+R56</f>
        <v>85488.850569652161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0.20846885984443411</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5001.9504364748391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5001.9504364748391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5001.9504364748391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5001.9504364748391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41047.714861846907</v>
      </c>
      <c r="C4" s="461">
        <f>huishoudens!C8</f>
        <v>0</v>
      </c>
      <c r="D4" s="461">
        <f>huishoudens!D8</f>
        <v>71895.907028000001</v>
      </c>
      <c r="E4" s="461">
        <f>huishoudens!E8</f>
        <v>5696.5818663103728</v>
      </c>
      <c r="F4" s="461">
        <f>huishoudens!F8</f>
        <v>18962.132848625381</v>
      </c>
      <c r="G4" s="461">
        <f>huishoudens!G8</f>
        <v>0</v>
      </c>
      <c r="H4" s="461">
        <f>huishoudens!H8</f>
        <v>0</v>
      </c>
      <c r="I4" s="461">
        <f>huishoudens!I8</f>
        <v>0</v>
      </c>
      <c r="J4" s="461">
        <f>huishoudens!J8</f>
        <v>1180.2325039244765</v>
      </c>
      <c r="K4" s="461">
        <f>huishoudens!K8</f>
        <v>0</v>
      </c>
      <c r="L4" s="461">
        <f>huishoudens!L8</f>
        <v>0</v>
      </c>
      <c r="M4" s="461">
        <f>huishoudens!M8</f>
        <v>0</v>
      </c>
      <c r="N4" s="461">
        <f>huishoudens!N8</f>
        <v>20651.041496018348</v>
      </c>
      <c r="O4" s="461">
        <f>huishoudens!O8</f>
        <v>120.37666666666668</v>
      </c>
      <c r="P4" s="462">
        <f>huishoudens!P8</f>
        <v>533.86666666666667</v>
      </c>
      <c r="Q4" s="463">
        <f>SUM(B4:P4)</f>
        <v>160087.85393805886</v>
      </c>
    </row>
    <row r="5" spans="1:17">
      <c r="A5" s="460" t="s">
        <v>156</v>
      </c>
      <c r="B5" s="461">
        <f ca="1">tertiair!B16</f>
        <v>26196.082999999999</v>
      </c>
      <c r="C5" s="461">
        <f ca="1">tertiair!C16</f>
        <v>0</v>
      </c>
      <c r="D5" s="461">
        <f ca="1">tertiair!D16</f>
        <v>34056.838354</v>
      </c>
      <c r="E5" s="461">
        <f>tertiair!E16</f>
        <v>209.98802076629983</v>
      </c>
      <c r="F5" s="461">
        <f ca="1">tertiair!F16</f>
        <v>6101.9261001381374</v>
      </c>
      <c r="G5" s="461">
        <f>tertiair!G16</f>
        <v>0</v>
      </c>
      <c r="H5" s="461">
        <f>tertiair!H16</f>
        <v>0</v>
      </c>
      <c r="I5" s="461">
        <f>tertiair!I16</f>
        <v>0</v>
      </c>
      <c r="J5" s="461">
        <f>tertiair!J16</f>
        <v>0</v>
      </c>
      <c r="K5" s="461">
        <f>tertiair!K16</f>
        <v>0</v>
      </c>
      <c r="L5" s="461">
        <f ca="1">tertiair!L16</f>
        <v>0</v>
      </c>
      <c r="M5" s="461">
        <f>tertiair!M16</f>
        <v>0</v>
      </c>
      <c r="N5" s="461">
        <f ca="1">tertiair!N16</f>
        <v>1146.1577665526142</v>
      </c>
      <c r="O5" s="461">
        <f>tertiair!O16</f>
        <v>0</v>
      </c>
      <c r="P5" s="462">
        <f>tertiair!P16</f>
        <v>0</v>
      </c>
      <c r="Q5" s="460">
        <f t="shared" ref="Q5:Q14" ca="1" si="0">SUM(B5:P5)</f>
        <v>67710.99324145705</v>
      </c>
    </row>
    <row r="6" spans="1:17">
      <c r="A6" s="460" t="s">
        <v>194</v>
      </c>
      <c r="B6" s="461">
        <f>'openbare verlichting'!B8</f>
        <v>1396.1510000000001</v>
      </c>
      <c r="C6" s="461"/>
      <c r="D6" s="461"/>
      <c r="E6" s="461"/>
      <c r="F6" s="461"/>
      <c r="G6" s="461"/>
      <c r="H6" s="461"/>
      <c r="I6" s="461"/>
      <c r="J6" s="461"/>
      <c r="K6" s="461"/>
      <c r="L6" s="461"/>
      <c r="M6" s="461"/>
      <c r="N6" s="461"/>
      <c r="O6" s="461"/>
      <c r="P6" s="462"/>
      <c r="Q6" s="460">
        <f t="shared" si="0"/>
        <v>1396.1510000000001</v>
      </c>
    </row>
    <row r="7" spans="1:17">
      <c r="A7" s="460" t="s">
        <v>112</v>
      </c>
      <c r="B7" s="461">
        <f>landbouw!B8</f>
        <v>3791.3249999999998</v>
      </c>
      <c r="C7" s="461">
        <f>landbouw!C8</f>
        <v>0</v>
      </c>
      <c r="D7" s="461">
        <f>landbouw!D8</f>
        <v>14194.645014</v>
      </c>
      <c r="E7" s="461">
        <f>landbouw!E8</f>
        <v>35.716821771078763</v>
      </c>
      <c r="F7" s="461">
        <f>landbouw!F8</f>
        <v>12372.351705265613</v>
      </c>
      <c r="G7" s="461">
        <f>landbouw!G8</f>
        <v>0</v>
      </c>
      <c r="H7" s="461">
        <f>landbouw!H8</f>
        <v>0</v>
      </c>
      <c r="I7" s="461">
        <f>landbouw!I8</f>
        <v>0</v>
      </c>
      <c r="J7" s="461">
        <f>landbouw!J8</f>
        <v>469.00534350125764</v>
      </c>
      <c r="K7" s="461">
        <f>landbouw!K8</f>
        <v>0</v>
      </c>
      <c r="L7" s="461">
        <f>landbouw!L8</f>
        <v>0</v>
      </c>
      <c r="M7" s="461">
        <f>landbouw!M8</f>
        <v>0</v>
      </c>
      <c r="N7" s="461">
        <f>landbouw!N8</f>
        <v>0</v>
      </c>
      <c r="O7" s="461">
        <f>landbouw!O8</f>
        <v>0</v>
      </c>
      <c r="P7" s="462">
        <f>landbouw!P8</f>
        <v>0</v>
      </c>
      <c r="Q7" s="460">
        <f t="shared" si="0"/>
        <v>30863.043884537947</v>
      </c>
    </row>
    <row r="8" spans="1:17">
      <c r="A8" s="460" t="s">
        <v>685</v>
      </c>
      <c r="B8" s="461">
        <f>industrie!B18</f>
        <v>14802.085000000001</v>
      </c>
      <c r="C8" s="461">
        <f>industrie!C18</f>
        <v>0</v>
      </c>
      <c r="D8" s="461">
        <f>industrie!D18</f>
        <v>2606.3172740000005</v>
      </c>
      <c r="E8" s="461">
        <f>industrie!E18</f>
        <v>142.89844373697804</v>
      </c>
      <c r="F8" s="461">
        <f>industrie!F18</f>
        <v>3647.4954081768133</v>
      </c>
      <c r="G8" s="461">
        <f>industrie!G18</f>
        <v>0</v>
      </c>
      <c r="H8" s="461">
        <f>industrie!H18</f>
        <v>0</v>
      </c>
      <c r="I8" s="461">
        <f>industrie!I18</f>
        <v>0</v>
      </c>
      <c r="J8" s="461">
        <f>industrie!J18</f>
        <v>16.994434099588368</v>
      </c>
      <c r="K8" s="461">
        <f>industrie!K18</f>
        <v>0</v>
      </c>
      <c r="L8" s="461">
        <f>industrie!L18</f>
        <v>0</v>
      </c>
      <c r="M8" s="461">
        <f>industrie!M18</f>
        <v>0</v>
      </c>
      <c r="N8" s="461">
        <f>industrie!N18</f>
        <v>400.17610099875805</v>
      </c>
      <c r="O8" s="461">
        <f>industrie!O18</f>
        <v>0</v>
      </c>
      <c r="P8" s="462">
        <f>industrie!P18</f>
        <v>0</v>
      </c>
      <c r="Q8" s="460">
        <f t="shared" si="0"/>
        <v>21615.966661012135</v>
      </c>
    </row>
    <row r="9" spans="1:17" s="466" customFormat="1">
      <c r="A9" s="464" t="s">
        <v>579</v>
      </c>
      <c r="B9" s="465">
        <f>transport!B14</f>
        <v>2.2692414683676407</v>
      </c>
      <c r="C9" s="465">
        <f>transport!C14</f>
        <v>0</v>
      </c>
      <c r="D9" s="465">
        <f>transport!D14</f>
        <v>6.802136540107564</v>
      </c>
      <c r="E9" s="465">
        <f>transport!E14</f>
        <v>402.83841753244553</v>
      </c>
      <c r="F9" s="465">
        <f>transport!F14</f>
        <v>0</v>
      </c>
      <c r="G9" s="465">
        <f>transport!G14</f>
        <v>92341.791956458081</v>
      </c>
      <c r="H9" s="465">
        <f>transport!H14</f>
        <v>15137.737408533929</v>
      </c>
      <c r="I9" s="465">
        <f>transport!I14</f>
        <v>0</v>
      </c>
      <c r="J9" s="465">
        <f>transport!J14</f>
        <v>0</v>
      </c>
      <c r="K9" s="465">
        <f>transport!K14</f>
        <v>0</v>
      </c>
      <c r="L9" s="465">
        <f>transport!L14</f>
        <v>0</v>
      </c>
      <c r="M9" s="465">
        <f>transport!M14</f>
        <v>4804.4653852986967</v>
      </c>
      <c r="N9" s="465">
        <f>transport!N14</f>
        <v>0</v>
      </c>
      <c r="O9" s="465">
        <f>transport!O14</f>
        <v>0</v>
      </c>
      <c r="P9" s="465">
        <f>transport!P14</f>
        <v>0</v>
      </c>
      <c r="Q9" s="464">
        <f>SUM(B9:P9)</f>
        <v>112695.90454583163</v>
      </c>
    </row>
    <row r="10" spans="1:17">
      <c r="A10" s="460" t="s">
        <v>569</v>
      </c>
      <c r="B10" s="461">
        <f>transport!B54</f>
        <v>0</v>
      </c>
      <c r="C10" s="461">
        <f>transport!C54</f>
        <v>0</v>
      </c>
      <c r="D10" s="461">
        <f>transport!D54</f>
        <v>0</v>
      </c>
      <c r="E10" s="461">
        <f>transport!E54</f>
        <v>0</v>
      </c>
      <c r="F10" s="461">
        <f>transport!F54</f>
        <v>0</v>
      </c>
      <c r="G10" s="461">
        <f>transport!G54</f>
        <v>1224.2240920393206</v>
      </c>
      <c r="H10" s="461">
        <f>transport!H54</f>
        <v>0</v>
      </c>
      <c r="I10" s="461">
        <f>transport!I54</f>
        <v>0</v>
      </c>
      <c r="J10" s="461">
        <f>transport!J54</f>
        <v>0</v>
      </c>
      <c r="K10" s="461">
        <f>transport!K54</f>
        <v>0</v>
      </c>
      <c r="L10" s="461">
        <f>transport!L54</f>
        <v>0</v>
      </c>
      <c r="M10" s="461">
        <f>transport!M54</f>
        <v>53.757699365407305</v>
      </c>
      <c r="N10" s="461">
        <f>transport!N54</f>
        <v>0</v>
      </c>
      <c r="O10" s="461">
        <f>transport!O54</f>
        <v>0</v>
      </c>
      <c r="P10" s="462">
        <f>transport!P54</f>
        <v>0</v>
      </c>
      <c r="Q10" s="460">
        <f t="shared" si="0"/>
        <v>1277.9817914047278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979.09400000000005</v>
      </c>
      <c r="C14" s="468"/>
      <c r="D14" s="468">
        <f>'SEAP template'!E25</f>
        <v>2563.127</v>
      </c>
      <c r="E14" s="468"/>
      <c r="F14" s="468"/>
      <c r="G14" s="468"/>
      <c r="H14" s="468"/>
      <c r="I14" s="468"/>
      <c r="J14" s="468"/>
      <c r="K14" s="468"/>
      <c r="L14" s="468"/>
      <c r="M14" s="468"/>
      <c r="N14" s="468"/>
      <c r="O14" s="468"/>
      <c r="P14" s="469"/>
      <c r="Q14" s="460">
        <f t="shared" si="0"/>
        <v>3542.221</v>
      </c>
    </row>
    <row r="15" spans="1:17" s="473" customFormat="1">
      <c r="A15" s="470" t="s">
        <v>573</v>
      </c>
      <c r="B15" s="471">
        <f ca="1">SUM(B4:B14)</f>
        <v>88214.722103315275</v>
      </c>
      <c r="C15" s="471">
        <f t="shared" ref="C15:Q15" ca="1" si="1">SUM(C4:C14)</f>
        <v>0</v>
      </c>
      <c r="D15" s="471">
        <f t="shared" ca="1" si="1"/>
        <v>125323.63680654009</v>
      </c>
      <c r="E15" s="471">
        <f t="shared" si="1"/>
        <v>6488.023570117175</v>
      </c>
      <c r="F15" s="471">
        <f t="shared" ca="1" si="1"/>
        <v>41083.906062205948</v>
      </c>
      <c r="G15" s="471">
        <f t="shared" si="1"/>
        <v>93566.016048497404</v>
      </c>
      <c r="H15" s="471">
        <f t="shared" si="1"/>
        <v>15137.737408533929</v>
      </c>
      <c r="I15" s="471">
        <f t="shared" si="1"/>
        <v>0</v>
      </c>
      <c r="J15" s="471">
        <f t="shared" si="1"/>
        <v>1666.2322815253224</v>
      </c>
      <c r="K15" s="471">
        <f t="shared" si="1"/>
        <v>0</v>
      </c>
      <c r="L15" s="471">
        <f t="shared" ca="1" si="1"/>
        <v>0</v>
      </c>
      <c r="M15" s="471">
        <f t="shared" si="1"/>
        <v>4858.2230846641041</v>
      </c>
      <c r="N15" s="471">
        <f t="shared" ca="1" si="1"/>
        <v>22197.375363569718</v>
      </c>
      <c r="O15" s="471">
        <f t="shared" si="1"/>
        <v>120.37666666666668</v>
      </c>
      <c r="P15" s="471">
        <f t="shared" si="1"/>
        <v>533.86666666666667</v>
      </c>
      <c r="Q15" s="471">
        <f t="shared" ca="1" si="1"/>
        <v>399190.11606230238</v>
      </c>
    </row>
    <row r="17" spans="1:17">
      <c r="A17" s="474" t="s">
        <v>574</v>
      </c>
      <c r="B17" s="778">
        <f ca="1">huishoudens!B10</f>
        <v>0.20846885984443411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8557.1703164686587</v>
      </c>
      <c r="C22" s="461">
        <f t="shared" ref="C22:C32" ca="1" si="3">C4*$C$17</f>
        <v>0</v>
      </c>
      <c r="D22" s="461">
        <f t="shared" ref="D22:D32" si="4">D4*$D$17</f>
        <v>14522.973219656002</v>
      </c>
      <c r="E22" s="461">
        <f t="shared" ref="E22:E32" si="5">E4*$E$17</f>
        <v>1293.1240836524546</v>
      </c>
      <c r="F22" s="461">
        <f t="shared" ref="F22:F32" si="6">F4*$F$17</f>
        <v>5062.8894705829771</v>
      </c>
      <c r="G22" s="461">
        <f t="shared" ref="G22:G32" si="7">G4*$G$17</f>
        <v>0</v>
      </c>
      <c r="H22" s="461">
        <f t="shared" ref="H22:H32" si="8">H4*$H$17</f>
        <v>0</v>
      </c>
      <c r="I22" s="461">
        <f t="shared" ref="I22:I32" si="9">I4*$I$17</f>
        <v>0</v>
      </c>
      <c r="J22" s="461">
        <f t="shared" ref="J22:J32" si="10">J4*$J$17</f>
        <v>417.80230638926469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29853.95939674936</v>
      </c>
    </row>
    <row r="23" spans="1:17">
      <c r="A23" s="460" t="s">
        <v>156</v>
      </c>
      <c r="B23" s="461">
        <f t="shared" ca="1" si="2"/>
        <v>5461.0675554001627</v>
      </c>
      <c r="C23" s="461">
        <f t="shared" ca="1" si="3"/>
        <v>0</v>
      </c>
      <c r="D23" s="461">
        <f t="shared" ca="1" si="4"/>
        <v>6879.481347508</v>
      </c>
      <c r="E23" s="461">
        <f t="shared" si="5"/>
        <v>47.667280713950063</v>
      </c>
      <c r="F23" s="461">
        <f t="shared" ca="1" si="6"/>
        <v>1629.2142687368828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14017.430452358994</v>
      </c>
    </row>
    <row r="24" spans="1:17">
      <c r="A24" s="460" t="s">
        <v>194</v>
      </c>
      <c r="B24" s="461">
        <f t="shared" ca="1" si="2"/>
        <v>291.05400714066656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291.05400714066656</v>
      </c>
    </row>
    <row r="25" spans="1:17">
      <c r="A25" s="460" t="s">
        <v>112</v>
      </c>
      <c r="B25" s="461">
        <f t="shared" ca="1" si="2"/>
        <v>790.37320004969911</v>
      </c>
      <c r="C25" s="461">
        <f t="shared" ca="1" si="3"/>
        <v>0</v>
      </c>
      <c r="D25" s="461">
        <f t="shared" si="4"/>
        <v>2867.3182928280003</v>
      </c>
      <c r="E25" s="461">
        <f t="shared" si="5"/>
        <v>8.1077185420348794</v>
      </c>
      <c r="F25" s="461">
        <f t="shared" si="6"/>
        <v>3303.4179053059188</v>
      </c>
      <c r="G25" s="461">
        <f t="shared" si="7"/>
        <v>0</v>
      </c>
      <c r="H25" s="461">
        <f t="shared" si="8"/>
        <v>0</v>
      </c>
      <c r="I25" s="461">
        <f t="shared" si="9"/>
        <v>0</v>
      </c>
      <c r="J25" s="461">
        <f t="shared" si="10"/>
        <v>166.02789159944518</v>
      </c>
      <c r="K25" s="461">
        <f t="shared" si="11"/>
        <v>0</v>
      </c>
      <c r="L25" s="461">
        <f t="shared" si="12"/>
        <v>0</v>
      </c>
      <c r="M25" s="461">
        <f t="shared" si="13"/>
        <v>0</v>
      </c>
      <c r="N25" s="461">
        <f t="shared" si="14"/>
        <v>0</v>
      </c>
      <c r="O25" s="461">
        <f t="shared" si="15"/>
        <v>0</v>
      </c>
      <c r="P25" s="462">
        <f t="shared" si="16"/>
        <v>0</v>
      </c>
      <c r="Q25" s="460">
        <f t="shared" ca="1" si="17"/>
        <v>7135.2450083250978</v>
      </c>
    </row>
    <row r="26" spans="1:17">
      <c r="A26" s="460" t="s">
        <v>685</v>
      </c>
      <c r="B26" s="461">
        <f t="shared" ca="1" si="2"/>
        <v>3085.7737832704006</v>
      </c>
      <c r="C26" s="461">
        <f t="shared" ca="1" si="3"/>
        <v>0</v>
      </c>
      <c r="D26" s="461">
        <f t="shared" si="4"/>
        <v>526.47608934800007</v>
      </c>
      <c r="E26" s="461">
        <f t="shared" si="5"/>
        <v>32.437946728294015</v>
      </c>
      <c r="F26" s="461">
        <f t="shared" si="6"/>
        <v>973.88127398320921</v>
      </c>
      <c r="G26" s="461">
        <f t="shared" si="7"/>
        <v>0</v>
      </c>
      <c r="H26" s="461">
        <f t="shared" si="8"/>
        <v>0</v>
      </c>
      <c r="I26" s="461">
        <f t="shared" si="9"/>
        <v>0</v>
      </c>
      <c r="J26" s="461">
        <f t="shared" si="10"/>
        <v>6.016029671254282</v>
      </c>
      <c r="K26" s="461">
        <f t="shared" si="11"/>
        <v>0</v>
      </c>
      <c r="L26" s="461">
        <f t="shared" si="12"/>
        <v>0</v>
      </c>
      <c r="M26" s="461">
        <f t="shared" si="13"/>
        <v>0</v>
      </c>
      <c r="N26" s="461">
        <f t="shared" si="14"/>
        <v>0</v>
      </c>
      <c r="O26" s="461">
        <f t="shared" si="15"/>
        <v>0</v>
      </c>
      <c r="P26" s="462">
        <f t="shared" si="16"/>
        <v>0</v>
      </c>
      <c r="Q26" s="460">
        <f t="shared" ca="1" si="17"/>
        <v>4624.5851230011585</v>
      </c>
    </row>
    <row r="27" spans="1:17" s="466" customFormat="1">
      <c r="A27" s="464" t="s">
        <v>579</v>
      </c>
      <c r="B27" s="772">
        <f t="shared" ca="1" si="2"/>
        <v>0.47306618162231157</v>
      </c>
      <c r="C27" s="465">
        <f t="shared" ca="1" si="3"/>
        <v>0</v>
      </c>
      <c r="D27" s="465">
        <f t="shared" si="4"/>
        <v>1.3740315811017281</v>
      </c>
      <c r="E27" s="465">
        <f t="shared" si="5"/>
        <v>91.444320779865137</v>
      </c>
      <c r="F27" s="465">
        <f t="shared" si="6"/>
        <v>0</v>
      </c>
      <c r="G27" s="465">
        <f t="shared" si="7"/>
        <v>24655.25845237431</v>
      </c>
      <c r="H27" s="465">
        <f t="shared" si="8"/>
        <v>3769.2966147249481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28517.84648564185</v>
      </c>
    </row>
    <row r="28" spans="1:17">
      <c r="A28" s="460" t="s">
        <v>569</v>
      </c>
      <c r="B28" s="461">
        <f t="shared" ca="1" si="2"/>
        <v>0</v>
      </c>
      <c r="C28" s="461">
        <f t="shared" ca="1" si="3"/>
        <v>0</v>
      </c>
      <c r="D28" s="461">
        <f t="shared" si="4"/>
        <v>0</v>
      </c>
      <c r="E28" s="461">
        <f t="shared" si="5"/>
        <v>0</v>
      </c>
      <c r="F28" s="461">
        <f t="shared" si="6"/>
        <v>0</v>
      </c>
      <c r="G28" s="461">
        <f t="shared" si="7"/>
        <v>326.86783257449861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326.86783257449861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204.11060986052638</v>
      </c>
      <c r="C32" s="461">
        <f t="shared" ca="1" si="3"/>
        <v>0</v>
      </c>
      <c r="D32" s="461">
        <f t="shared" si="4"/>
        <v>517.75165400000003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721.86226386052635</v>
      </c>
    </row>
    <row r="33" spans="1:17" s="473" customFormat="1">
      <c r="A33" s="470" t="s">
        <v>573</v>
      </c>
      <c r="B33" s="471">
        <f ca="1">SUM(B22:B32)</f>
        <v>18390.022538371737</v>
      </c>
      <c r="C33" s="471">
        <f t="shared" ref="C33:Q33" ca="1" si="18">SUM(C22:C32)</f>
        <v>0</v>
      </c>
      <c r="D33" s="471">
        <f t="shared" ca="1" si="18"/>
        <v>25315.374634921103</v>
      </c>
      <c r="E33" s="471">
        <f t="shared" si="18"/>
        <v>1472.7813504165988</v>
      </c>
      <c r="F33" s="471">
        <f t="shared" ca="1" si="18"/>
        <v>10969.40291860899</v>
      </c>
      <c r="G33" s="471">
        <f t="shared" si="18"/>
        <v>24982.126284948808</v>
      </c>
      <c r="H33" s="471">
        <f t="shared" si="18"/>
        <v>3769.2966147249481</v>
      </c>
      <c r="I33" s="471">
        <f t="shared" si="18"/>
        <v>0</v>
      </c>
      <c r="J33" s="471">
        <f t="shared" si="18"/>
        <v>589.84622765996414</v>
      </c>
      <c r="K33" s="471">
        <f t="shared" si="18"/>
        <v>0</v>
      </c>
      <c r="L33" s="471">
        <f t="shared" ca="1" si="18"/>
        <v>0</v>
      </c>
      <c r="M33" s="471">
        <f t="shared" si="18"/>
        <v>0</v>
      </c>
      <c r="N33" s="471">
        <f t="shared" ca="1" si="18"/>
        <v>0</v>
      </c>
      <c r="O33" s="471">
        <f t="shared" si="18"/>
        <v>0</v>
      </c>
      <c r="P33" s="471">
        <f t="shared" si="18"/>
        <v>0</v>
      </c>
      <c r="Q33" s="471">
        <f t="shared" ca="1" si="18"/>
        <v>85488.850569652161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5001.9504364748391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5001.9504364748391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0.20846885984443411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0.20846885984443411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2019-06-29T16:12:44Z</dcterms:modified>
</cp:coreProperties>
</file>