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B98" l="1"/>
  <c r="F102" s="1"/>
  <c r="B10"/>
  <c r="O18"/>
  <c r="B20"/>
  <c r="B8"/>
  <c r="O19"/>
  <c r="I102"/>
  <c r="H17" s="1"/>
  <c r="H20" s="1"/>
  <c r="E102"/>
  <c r="E17" s="1"/>
  <c r="E20" s="1"/>
  <c r="G102"/>
  <c r="B102"/>
  <c r="C17" s="1"/>
  <c r="I101"/>
  <c r="H8" s="1"/>
  <c r="H10" s="1"/>
  <c r="E101"/>
  <c r="E8" s="1"/>
  <c r="E10" s="1"/>
  <c r="G101"/>
  <c r="C101"/>
  <c r="H101"/>
  <c r="D101"/>
  <c r="F101"/>
  <c r="B101"/>
  <c r="C8" s="1"/>
  <c r="N6" i="17"/>
  <c r="L6"/>
  <c r="F6"/>
  <c r="D6"/>
  <c r="C6"/>
  <c r="N16" i="16"/>
  <c r="L16"/>
  <c r="F16"/>
  <c r="D16"/>
  <c r="C16"/>
  <c r="B16"/>
  <c r="B13" i="15"/>
  <c r="C102" i="18" l="1"/>
  <c r="H102"/>
  <c r="D102"/>
  <c r="C10"/>
  <c r="C20"/>
  <c r="I8"/>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M19"/>
  <c r="M22" s="1"/>
  <c r="L19"/>
  <c r="K19"/>
  <c r="J19"/>
  <c r="I19"/>
  <c r="G19"/>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P26" i="14"/>
  <c r="L26"/>
  <c r="Q22"/>
  <c r="R12"/>
  <c r="F13" i="15"/>
  <c r="D13"/>
  <c r="C13"/>
  <c r="Q88" i="14" l="1"/>
  <c r="P18" i="56" s="1"/>
  <c r="D18"/>
  <c r="I10" i="18"/>
  <c r="I76" i="14"/>
  <c r="I8" i="56" s="1"/>
  <c r="I10" s="1"/>
  <c r="K90" i="14"/>
  <c r="K18" i="56"/>
  <c r="K20" s="1"/>
  <c r="G8"/>
  <c r="G10" s="1"/>
  <c r="G78" i="14"/>
  <c r="C77"/>
  <c r="C9" i="56" s="1"/>
  <c r="D9"/>
  <c r="D10" s="1"/>
  <c r="H17"/>
  <c r="H20" s="1"/>
  <c r="H90" i="14"/>
  <c r="O10" i="56"/>
  <c r="C88" i="14"/>
  <c r="C18" i="56" s="1"/>
  <c r="Q14" i="48"/>
  <c r="Q76" i="14"/>
  <c r="P8" i="56" s="1"/>
  <c r="G22" i="14"/>
  <c r="O22"/>
  <c r="Q11" i="48"/>
  <c r="N78" i="14"/>
  <c r="N8" i="56"/>
  <c r="N10" s="1"/>
  <c r="E8"/>
  <c r="E10" s="1"/>
  <c r="M78" i="14"/>
  <c r="M8" i="56"/>
  <c r="M10" s="1"/>
  <c r="H78" i="14"/>
  <c r="H9" i="56"/>
  <c r="H10" s="1"/>
  <c r="Q87" i="14"/>
  <c r="P17" i="56" s="1"/>
  <c r="D17"/>
  <c r="K78" i="14"/>
  <c r="K8" i="56"/>
  <c r="K10" s="1"/>
  <c r="O78" i="14"/>
  <c r="O9" i="56"/>
  <c r="L90" i="14"/>
  <c r="L17" i="56"/>
  <c r="L20" s="1"/>
  <c r="G90" i="14"/>
  <c r="G18" i="56"/>
  <c r="G20" s="1"/>
  <c r="O90" i="14"/>
  <c r="O18" i="56"/>
  <c r="O20" s="1"/>
  <c r="F90" i="14"/>
  <c r="M20" i="56"/>
  <c r="L78" i="14"/>
  <c r="J76"/>
  <c r="N20" i="56"/>
  <c r="Q89" i="14"/>
  <c r="P19" i="56" s="1"/>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Q90" i="14"/>
  <c r="B17" i="6" s="1"/>
  <c r="C87" i="14"/>
  <c r="C17" i="56" s="1"/>
  <c r="C20" s="1"/>
  <c r="P20"/>
  <c r="D20"/>
  <c r="C76" i="14"/>
  <c r="B87"/>
  <c r="B90" l="1"/>
  <c r="B17" i="56"/>
  <c r="B20" s="1"/>
  <c r="C8"/>
  <c r="C10" s="1"/>
  <c r="C78" i="14"/>
  <c r="C90"/>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28"/>
  <c r="F32"/>
  <c r="F27"/>
  <c r="F30"/>
  <c r="F31"/>
  <c r="F29"/>
  <c r="N30"/>
  <c r="N31"/>
  <c r="N28"/>
  <c r="N27"/>
  <c r="N24"/>
  <c r="N32"/>
  <c r="N29"/>
  <c r="C19" i="14"/>
  <c r="B10" i="48"/>
  <c r="E28"/>
  <c r="E32"/>
  <c r="E29"/>
  <c r="E31"/>
  <c r="E24"/>
  <c r="E30"/>
  <c r="M12" i="13"/>
  <c r="N41" i="14" s="1"/>
  <c r="M17" i="48"/>
  <c r="L10" i="14"/>
  <c r="L16" s="1"/>
  <c r="L27" s="1"/>
  <c r="K5" i="48"/>
  <c r="D30"/>
  <c r="D31"/>
  <c r="D29"/>
  <c r="D28"/>
  <c r="D24"/>
  <c r="D32"/>
  <c r="L32"/>
  <c r="L27"/>
  <c r="L31"/>
  <c r="L28"/>
  <c r="L22"/>
  <c r="L30"/>
  <c r="L29"/>
  <c r="L24"/>
  <c r="Q10" i="14"/>
  <c r="P5" i="48"/>
  <c r="P23" s="1"/>
  <c r="K32"/>
  <c r="K31"/>
  <c r="K29"/>
  <c r="K25"/>
  <c r="K26"/>
  <c r="K24"/>
  <c r="K27"/>
  <c r="K28"/>
  <c r="K22"/>
  <c r="K30"/>
  <c r="J10" i="14"/>
  <c r="J16" s="1"/>
  <c r="J27" s="1"/>
  <c r="I5" i="48"/>
  <c r="J30"/>
  <c r="J24"/>
  <c r="J29"/>
  <c r="J32"/>
  <c r="J31"/>
  <c r="J28"/>
  <c r="J27"/>
  <c r="Q11" i="14"/>
  <c r="P4" i="48"/>
  <c r="B7"/>
  <c r="C24" i="14"/>
  <c r="C26" s="1"/>
  <c r="P11"/>
  <c r="O4" i="48"/>
  <c r="I32"/>
  <c r="I22"/>
  <c r="I25"/>
  <c r="I26"/>
  <c r="I28"/>
  <c r="I24"/>
  <c r="I27"/>
  <c r="I29"/>
  <c r="I31"/>
  <c r="I30"/>
  <c r="E11" i="14"/>
  <c r="D4" i="48"/>
  <c r="D22" s="1"/>
  <c r="H32"/>
  <c r="H26"/>
  <c r="H28"/>
  <c r="H25"/>
  <c r="H24"/>
  <c r="H22"/>
  <c r="H30"/>
  <c r="H29"/>
  <c r="H23"/>
  <c r="D11" i="14"/>
  <c r="C4" i="48"/>
  <c r="G32"/>
  <c r="G30"/>
  <c r="G29"/>
  <c r="G25"/>
  <c r="G24"/>
  <c r="G26"/>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15"/>
  <c r="P22"/>
  <c r="P10" i="14"/>
  <c r="O5" i="48"/>
  <c r="O23" s="1"/>
  <c r="M32"/>
  <c r="M22"/>
  <c r="M25"/>
  <c r="M29"/>
  <c r="M24"/>
  <c r="M26"/>
  <c r="M30"/>
  <c r="M23"/>
  <c r="G11" i="14"/>
  <c r="F4" i="48"/>
  <c r="F22" s="1"/>
  <c r="I18" i="14"/>
  <c r="H13" i="48"/>
  <c r="H31" s="1"/>
  <c r="K23"/>
  <c r="K15"/>
  <c r="Q13" i="14"/>
  <c r="Q16" s="1"/>
  <c r="Q27" s="1"/>
  <c r="P8" i="48"/>
  <c r="P26" s="1"/>
  <c r="O22"/>
  <c r="J63" i="14"/>
  <c r="J46"/>
  <c r="J61" s="1"/>
  <c r="L46"/>
  <c r="L61" s="1"/>
  <c r="I33" i="48"/>
  <c r="L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J4"/>
  <c r="K11" i="14"/>
  <c r="E7" i="48"/>
  <c r="E25" s="1"/>
  <c r="F24" i="14"/>
  <c r="F26" s="1"/>
  <c r="R18"/>
  <c r="E9" i="48"/>
  <c r="E27" s="1"/>
  <c r="F20" i="14"/>
  <c r="F22" s="1"/>
  <c r="G31" i="48"/>
  <c r="Q13"/>
  <c r="P13" i="14"/>
  <c r="O8" i="48"/>
  <c r="O26" s="1"/>
  <c r="M10"/>
  <c r="M28" s="1"/>
  <c r="N19" i="14"/>
  <c r="D9" i="48"/>
  <c r="D27" s="1"/>
  <c r="E20" i="14"/>
  <c r="E22" s="1"/>
  <c r="Q63"/>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M9"/>
  <c r="N20" i="14"/>
  <c r="N22" s="1"/>
  <c r="N27" s="1"/>
  <c r="E22" i="48"/>
  <c r="Q4"/>
  <c r="G28"/>
  <c r="Q10"/>
  <c r="J22"/>
  <c r="G9"/>
  <c r="H20" i="14"/>
  <c r="H22" s="1"/>
  <c r="H27" s="1"/>
  <c r="C22"/>
  <c r="K10"/>
  <c r="J5" i="48"/>
  <c r="J23" s="1"/>
  <c r="I20" i="14"/>
  <c r="I22" s="1"/>
  <c r="I27" s="1"/>
  <c r="H9" i="48"/>
  <c r="H63" i="14"/>
  <c r="R19"/>
  <c r="M18" i="22"/>
  <c r="N50" i="14" s="1"/>
  <c r="N52" s="1"/>
  <c r="N61"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G27" i="48"/>
  <c r="G33" s="1"/>
  <c r="G15"/>
  <c r="F13" i="14"/>
  <c r="E8" i="48"/>
  <c r="K13" i="14"/>
  <c r="K16" s="1"/>
  <c r="K27" s="1"/>
  <c r="K63" s="1"/>
  <c r="J8" i="48"/>
  <c r="J26" s="1"/>
  <c r="J33" s="1"/>
  <c r="H27"/>
  <c r="H33" s="1"/>
  <c r="H15"/>
  <c r="M27"/>
  <c r="M33" s="1"/>
  <c r="M15"/>
  <c r="R20" i="14"/>
  <c r="R22" s="1"/>
  <c r="K46"/>
  <c r="K61" s="1"/>
  <c r="C27"/>
  <c r="B3" i="6" s="1"/>
  <c r="B12" s="1"/>
  <c r="F16" i="14"/>
  <c r="F27"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<sst xmlns="http://schemas.openxmlformats.org/spreadsheetml/2006/main" count="2510" uniqueCount="959">
  <si>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</si>
  <si>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</si>
  <si>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</si>
  <si>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</si>
  <si>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</si>
  <si>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</si>
  <si>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</si>
  <si>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</si>
  <si>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</si>
  <si>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</si>
  <si>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</si>
  <si>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</si>
  <si>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</si>
  <si>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</si>
  <si>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</si>
  <si>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</si>
  <si>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</si>
  <si>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</si>
  <si>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</si>
  <si>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</si>
  <si>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</si>
  <si>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</si>
  <si>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</si>
  <si>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</si>
  <si>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</si>
  <si>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</si>
  <si>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</si>
  <si>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</si>
  <si>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</si>
  <si>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</si>
  <si>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</si>
  <si>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</si>
  <si>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</si>
  <si>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</si>
  <si>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</si>
  <si>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</si>
  <si>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</si>
  <si>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</si>
  <si>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</si>
  <si>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</si>
  <si>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</si>
  <si>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</si>
  <si>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</si>
  <si>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</si>
  <si>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</si>
  <si>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</si>
  <si>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</si>
  <si>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</si>
  <si>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</si>
  <si>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</si>
  <si>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</si>
  <si>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</si>
  <si>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</si>
  <si>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</si>
  <si>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</si>
  <si>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</si>
  <si>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</si>
  <si>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</si>
  <si>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</si>
  <si>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</si>
  <si>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</si>
  <si>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</si>
  <si>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</si>
  <si>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</si>
  <si>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</si>
  <si>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</si>
  <si>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</si>
  <si>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</si>
  <si>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</si>
  <si>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</si>
  <si>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</si>
  <si>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</si>
  <si>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</si>
  <si>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</si>
  <si>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</si>
  <si>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</si>
  <si>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</si>
  <si>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</si>
  <si>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</si>
  <si>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</si>
  <si>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</si>
  <si>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</si>
  <si>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</si>
  <si>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</si>
  <si>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</si>
  <si>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</si>
  <si>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</si>
  <si>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</si>
  <si>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</si>
  <si>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</si>
  <si>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</si>
  <si>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</si>
  <si>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</si>
  <si>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</si>
  <si>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</si>
  <si>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</si>
  <si>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</si>
  <si>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</si>
  <si>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</si>
  <si>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</si>
  <si>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</si>
  <si>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</si>
  <si>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</si>
  <si>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</si>
  <si>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</si>
  <si>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</si>
  <si>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</si>
  <si>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</si>
  <si>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</si>
  <si>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</si>
  <si>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</si>
  <si>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</si>
  <si>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</si>
  <si>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</si>
  <si>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</si>
  <si>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</si>
  <si>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</si>
  <si>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</si>
  <si>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</si>
  <si>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</si>
  <si>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</si>
  <si>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</si>
  <si>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</si>
  <si>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</si>
  <si>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</si>
  <si>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</si>
  <si>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</si>
  <si>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</si>
  <si>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</si>
  <si>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</si>
  <si>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</si>
  <si>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</si>
  <si>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</si>
  <si>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</si>
  <si>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</si>
  <si>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</si>
  <si>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</si>
  <si>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</si>
  <si>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</si>
  <si>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</si>
  <si>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</si>
  <si>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</si>
  <si>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</si>
  <si>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</si>
  <si>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</si>
  <si>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</si>
  <si>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</si>
  <si>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</si>
  <si>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</si>
  <si>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</si>
  <si>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</si>
  <si>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</si>
  <si>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</si>
  <si>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</si>
  <si>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</si>
  <si>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</si>
  <si>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</si>
  <si>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</si>
  <si>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</si>
  <si>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</si>
  <si>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</si>
  <si>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</si>
  <si>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</si>
  <si>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</si>
  <si>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</si>
  <si>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</si>
  <si>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</si>
  <si>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</si>
  <si>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</si>
  <si>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</si>
  <si>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</si>
  <si>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</si>
  <si>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</si>
  <si>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</si>
  <si>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</si>
  <si>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</si>
  <si>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</si>
  <si>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</si>
  <si>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</si>
  <si>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</si>
  <si>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</si>
  <si>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</si>
  <si>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</si>
  <si>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</si>
  <si>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</si>
  <si>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</si>
  <si>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</si>
  <si>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</si>
  <si>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</si>
  <si>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</si>
  <si>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</si>
  <si>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</si>
  <si>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</si>
  <si>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</si>
  <si>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</si>
  <si>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</si>
  <si>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</si>
  <si>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</si>
  <si>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</si>
  <si>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</si>
  <si>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</si>
  <si>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</si>
  <si>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</si>
  <si>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</si>
  <si>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</si>
  <si>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</si>
  <si>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</si>
  <si>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</si>
  <si>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</si>
  <si>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</si>
  <si>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</si>
  <si>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</si>
  <si>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</si>
  <si>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</si>
  <si>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</si>
  <si>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</si>
  <si>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</si>
  <si>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</si>
  <si>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</si>
  <si>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</si>
  <si>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</si>
  <si>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</si>
  <si>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</si>
  <si>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</si>
  <si>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</si>
  <si>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</si>
  <si>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</si>
  <si>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</si>
  <si>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</si>
  <si>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</si>
  <si>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</si>
  <si>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</si>
  <si>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</si>
  <si>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</si>
  <si>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</si>
  <si>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</si>
  <si>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</si>
  <si>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</si>
  <si>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</si>
  <si>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</si>
  <si>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</si>
  <si>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</si>
  <si>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</si>
  <si>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</si>
  <si>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</si>
  <si>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</si>
  <si>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</si>
  <si>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</si>
  <si>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</si>
  <si>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</si>
  <si>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</si>
  <si>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</si>
  <si>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</si>
  <si>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</si>
  <si>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</si>
  <si>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</si>
  <si>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</si>
  <si>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</si>
  <si>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</si>
  <si>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</si>
  <si>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</si>
  <si>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</si>
  <si>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</si>
  <si>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</si>
  <si>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</si>
  <si>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</si>
  <si>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</si>
  <si>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</si>
  <si>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</si>
  <si>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</si>
  <si>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</si>
  <si>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</si>
  <si>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</si>
  <si>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</si>
  <si>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</si>
  <si>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</si>
  <si>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</si>
  <si>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</si>
  <si>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</si>
  <si>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</si>
  <si>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</si>
  <si>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</si>
  <si>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</si>
  <si>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</si>
  <si>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</si>
  <si>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</si>
  <si>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</si>
  <si>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</si>
  <si>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</si>
  <si>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</si>
  <si>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</si>
  <si>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</si>
  <si>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</si>
  <si>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</si>
  <si>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</si>
  <si>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</si>
  <si>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</si>
  <si>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</si>
  <si>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</si>
  <si>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</si>
  <si>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</si>
  <si>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</si>
  <si>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</si>
  <si>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</si>
  <si>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</si>
  <si>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</si>
  <si>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</si>
  <si>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</si>
  <si>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</si>
  <si>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</si>
  <si>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</si>
  <si>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</si>
  <si>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</si>
  <si>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</si>
  <si>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</si>
  <si>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</si>
  <si>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</si>
  <si>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</si>
  <si>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</si>
  <si>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</si>
  <si>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</si>
  <si>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</si>
  <si>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</si>
  <si>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</si>
  <si>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</si>
  <si>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</si>
  <si>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</si>
  <si>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</si>
  <si>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</si>
  <si>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</si>
  <si>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</si>
  <si>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</si>
  <si>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</si>
  <si>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</si>
  <si>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</si>
  <si>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</si>
  <si>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</si>
  <si>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</si>
  <si>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</si>
  <si>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</si>
  <si>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</si>
  <si>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</si>
  <si>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</si>
  <si>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</si>
  <si>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</si>
  <si>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</si>
  <si>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</si>
  <si>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</si>
  <si>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</si>
  <si>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</si>
  <si>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</si>
  <si>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</si>
  <si>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</si>
  <si>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</si>
  <si>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</si>
  <si>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</si>
  <si>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</si>
  <si>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</si>
  <si>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</si>
  <si>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</si>
  <si>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</si>
  <si>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</si>
  <si>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</si>
  <si>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</si>
  <si>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</si>
  <si>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</si>
  <si>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</si>
  <si>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</si>
  <si>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</si>
  <si>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</si>
  <si>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</si>
  <si>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</si>
  <si>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</si>
  <si>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</si>
  <si>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</si>
  <si>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</si>
  <si>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</si>
  <si>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</si>
  <si>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</si>
  <si>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</si>
  <si>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</si>
  <si>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</si>
  <si>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</si>
  <si>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</si>
  <si>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</si>
  <si>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</si>
  <si>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</si>
  <si>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</si>
  <si>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</si>
  <si>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</si>
  <si>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</si>
  <si>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</si>
  <si>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</si>
  <si>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</si>
  <si>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</si>
  <si>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</si>
  <si>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</si>
  <si>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</si>
  <si>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</si>
  <si>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</si>
  <si>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</si>
  <si>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</si>
  <si>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</si>
  <si>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</si>
  <si>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</si>
  <si>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</si>
  <si>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</si>
  <si>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</si>
  <si>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</si>
  <si>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</si>
  <si>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</si>
  <si>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</si>
  <si>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</si>
  <si>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</si>
  <si>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</si>
  <si>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</si>
  <si>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</si>
  <si>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</si>
  <si>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</si>
  <si>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</si>
  <si>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</si>
  <si>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</si>
  <si>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</si>
  <si>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</si>
  <si>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</si>
  <si>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</si>
  <si>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</si>
  <si>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</si>
  <si>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</si>
  <si>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</si>
  <si>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</si>
  <si>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</si>
  <si>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</si>
  <si>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</si>
  <si>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</si>
  <si>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</si>
  <si>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</si>
  <si>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</si>
  <si>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</si>
  <si>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</si>
  <si>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</si>
  <si>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</si>
  <si>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</si>
  <si>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</si>
  <si>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</si>
  <si>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</si>
  <si>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</si>
  <si>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</si>
  <si>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</si>
  <si>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</si>
  <si>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</si>
  <si>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</si>
  <si>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</si>
  <si>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</si>
  <si>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</si>
  <si>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</si>
  <si>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</si>
  <si>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</si>
  <si>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</si>
  <si>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</si>
  <si>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</si>
  <si>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</si>
  <si>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</si>
  <si>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</si>
  <si>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</si>
  <si>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</si>
  <si>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</si>
  <si>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</si>
  <si>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</si>
  <si>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</si>
  <si>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</si>
  <si>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</si>
  <si>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</si>
  <si>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</si>
  <si>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</si>
  <si>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</si>
  <si>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</si>
  <si>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</si>
  <si>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</si>
  <si>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</si>
  <si>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</si>
  <si>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</si>
  <si>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</si>
  <si>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</si>
  <si>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</si>
  <si>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</si>
  <si>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</si>
  <si>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</si>
  <si>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</si>
  <si>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</si>
  <si>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</si>
  <si>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</si>
  <si>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</si>
  <si>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</si>
  <si>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</si>
  <si>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</si>
  <si>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</si>
  <si>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</si>
  <si>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</si>
  <si>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</si>
  <si>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</si>
  <si>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</si>
  <si>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</si>
  <si>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</si>
  <si>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</si>
  <si>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</si>
  <si>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</si>
  <si>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</si>
  <si>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</si>
  <si>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</si>
  <si>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</si>
  <si>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</si>
  <si>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</si>
  <si>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</si>
  <si>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</si>
  <si>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</si>
  <si>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</si>
  <si>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</si>
  <si>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</si>
  <si>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</si>
  <si>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</si>
  <si>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</si>
  <si>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</si>
  <si>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</si>
  <si>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</si>
  <si>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</si>
  <si>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</si>
  <si>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</si>
  <si>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</si>
  <si>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</si>
  <si>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</si>
  <si>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</si>
  <si>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</si>
  <si>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</si>
  <si>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</si>
  <si>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</si>
  <si>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</si>
  <si>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</si>
  <si>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</si>
  <si>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</si>
  <si>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</si>
  <si>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</si>
  <si>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</si>
  <si>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</si>
  <si>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</si>
  <si>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</si>
  <si>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</si>
  <si>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</si>
  <si>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</si>
  <si>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</si>
  <si>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</si>
  <si>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</si>
  <si>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</si>
  <si>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</si>
  <si>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</si>
  <si>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</si>
  <si>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</si>
  <si>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</si>
  <si>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</si>
  <si>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</si>
  <si>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</si>
  <si>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</si>
  <si>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</si>
  <si>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</si>
  <si>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</si>
  <si>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</si>
  <si>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</si>
  <si>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</si>
  <si>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</si>
  <si>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</si>
  <si>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</si>
  <si>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</si>
  <si>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</si>
  <si>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</si>
  <si>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</si>
  <si>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</si>
  <si>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</si>
  <si>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</si>
  <si>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</si>
  <si>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</si>
  <si>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</si>
  <si>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</si>
  <si>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</si>
  <si>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</si>
  <si>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</si>
  <si>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</si>
  <si>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</si>
  <si>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</si>
  <si>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</si>
  <si>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</si>
  <si>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</si>
  <si>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</si>
  <si>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</si>
  <si>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</si>
  <si>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</si>
  <si>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</si>
  <si>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</si>
  <si>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</si>
  <si>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</si>
  <si>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</si>
  <si>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</si>
  <si>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</si>
  <si>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</si>
  <si>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</si>
  <si>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</si>
  <si>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</si>
  <si>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</si>
  <si>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</si>
  <si>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</si>
  <si>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</si>
  <si>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</si>
  <si>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</si>
  <si>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</si>
  <si>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</si>
  <si>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</si>
  <si>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</si>
  <si>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</si>
  <si>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</si>
  <si>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</si>
  <si>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</si>
  <si>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</si>
  <si>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</si>
  <si>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</si>
  <si>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</si>
  <si>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</si>
  <si>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</si>
  <si>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</si>
  <si>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</si>
  <si>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</si>
  <si>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</si>
  <si>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</si>
  <si>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</si>
  <si>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</si>
  <si>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</si>
  <si>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</si>
  <si>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</si>
  <si>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</si>
  <si>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</si>
  <si>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</si>
  <si>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</si>
  <si>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</si>
  <si>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</si>
  <si>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</si>
  <si>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</si>
  <si>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</si>
  <si>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</si>
  <si>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</si>
  <si>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</si>
  <si>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</si>
  <si>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</si>
  <si>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</si>
  <si>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</si>
  <si>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</si>
  <si>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</si>
  <si>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</si>
  <si>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</si>
  <si>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</si>
  <si>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</si>
  <si>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</si>
  <si>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</si>
  <si>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</si>
  <si>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</si>
  <si>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</si>
  <si>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</si>
  <si>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</si>
  <si>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</si>
  <si>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</si>
  <si>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</si>
  <si>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</si>
  <si>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</si>
  <si>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</si>
  <si>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</si>
  <si>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</si>
  <si>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</si>
  <si>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</si>
  <si>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</si>
  <si>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</si>
  <si>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</si>
  <si>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</si>
  <si>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</si>
  <si>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</si>
  <si>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</si>
  <si>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</si>
  <si>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</si>
  <si>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</si>
  <si>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</si>
  <si>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</si>
  <si>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</si>
  <si>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</si>
  <si>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</si>
  <si>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</si>
  <si>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</si>
  <si>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</si>
  <si>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</si>
  <si>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</si>
  <si>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</si>
  <si>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</si>
  <si>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</si>
  <si>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</si>
  <si>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</si>
  <si>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</si>
  <si>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</si>
  <si>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</si>
  <si>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</si>
  <si>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</si>
  <si>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</si>
  <si>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</si>
  <si>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</si>
  <si>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</si>
  <si>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</si>
  <si>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</si>
  <si>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</si>
  <si>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</si>
  <si>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</si>
  <si>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</si>
  <si>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</si>
  <si>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</si>
  <si>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</si>
  <si>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</si>
  <si>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</si>
  <si>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</si>
  <si>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</si>
  <si>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</si>
  <si>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</si>
  <si>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</si>
  <si>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</si>
  <si>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</si>
  <si>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</si>
  <si>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</si>
  <si>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</si>
  <si>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</si>
  <si>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</si>
  <si>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</si>
  <si>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</si>
  <si>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</si>
  <si>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</si>
  <si>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</si>
  <si>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</si>
  <si>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</si>
  <si>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</si>
  <si>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</si>
  <si>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</si>
  <si>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</si>
  <si>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</si>
  <si>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</si>
  <si>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</si>
  <si>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</si>
  <si>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</si>
  <si>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</si>
  <si>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</si>
  <si>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</si>
  <si>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</si>
  <si>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</si>
  <si>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</si>
  <si>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</si>
  <si>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</si>
  <si>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</si>
  <si>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</si>
  <si>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</si>
  <si>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</si>
  <si>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</si>
  <si>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</si>
  <si>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</si>
  <si>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</si>
  <si>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</si>
  <si>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</si>
  <si>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</si>
  <si>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</si>
  <si>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</si>
  <si>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</si>
  <si>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</si>
  <si>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</si>
  <si>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</si>
  <si>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</si>
  <si>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</si>
  <si>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</si>
  <si>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</si>
  <si>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</si>
  <si>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</si>
  <si>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</si>
  <si>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</si>
  <si>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</si>
  <si>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</si>
  <si>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</si>
  <si>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</si>
  <si>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</si>
  <si>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</si>
  <si>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</si>
  <si>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</si>
  <si>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</si>
  <si>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</si>
  <si>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</si>
  <si>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</si>
  <si>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</si>
  <si>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</si>
  <si>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</si>
  <si>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</si>
  <si>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</si>
  <si>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</si>
  <si>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</si>
  <si>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</si>
  <si>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</si>
  <si>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</si>
  <si>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</si>
  <si>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</si>
  <si>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</si>
  <si>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</si>
  <si>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</si>
  <si>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</si>
  <si>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</si>
  <si>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</si>
  <si>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</si>
  <si>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</si>
  <si>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</si>
  <si>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</si>
  <si>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</si>
  <si>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</si>
  <si>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</si>
  <si>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</si>
  <si>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</si>
  <si>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</si>
  <si>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</si>
  <si>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</si>
  <si>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</si>
  <si>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</si>
  <si>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</si>
  <si>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</si>
  <si>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</si>
  <si>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</si>
  <si>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</si>
  <si>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</si>
  <si>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</si>
  <si>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</si>
  <si>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</si>
  <si>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</si>
  <si>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</si>
  <si>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</si>
  <si>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</si>
  <si>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</si>
  <si>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</si>
  <si>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</si>
  <si>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</si>
  <si>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</si>
  <si>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</si>
  <si>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</si>
  <si>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</si>
  <si>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</si>
  <si>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</si>
  <si>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</si>
  <si>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</si>
  <si>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</si>
  <si>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</si>
  <si>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</si>
  <si>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</si>
  <si>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</si>
  <si>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</si>
  <si>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</si>
  <si>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</si>
  <si>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</si>
  <si>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</si>
  <si>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</si>
  <si>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</si>
  <si>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</si>
  <si>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</si>
  <si>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</si>
  <si>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</si>
  <si>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</si>
  <si>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</si>
  <si>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</si>
  <si>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</si>
  <si>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</si>
  <si>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</si>
  <si>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</si>
  <si>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</si>
  <si>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</si>
  <si>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</si>
  <si>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</si>
  <si>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</si>
  <si>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</si>
  <si>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</si>
  <si>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</si>
  <si>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</si>
  <si>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</si>
  <si>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</si>
  <si>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</si>
  <si>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</si>
  <si>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</si>
  <si>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</si>
  <si>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</si>
  <si>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</si>
  <si>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</si>
  <si>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</si>
  <si>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</si>
  <si>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</si>
  <si>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</si>
  <si>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</si>
  <si>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</si>
  <si>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</si>
  <si>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</si>
  <si>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</si>
  <si>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</si>
  <si>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</si>
  <si>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</si>
  <si>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</si>
  <si>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</si>
  <si>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</si>
  <si>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</si>
  <si>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</si>
  <si>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</si>
  <si>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</si>
  <si>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</si>
  <si>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</si>
  <si>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</si>
  <si>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</si>
  <si>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</si>
  <si>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</si>
  <si>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</si>
  <si>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</si>
  <si>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</si>
  <si>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</si>
  <si>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</si>
  <si>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</si>
  <si>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</si>
  <si>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</si>
  <si>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</si>
  <si>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</si>
  <si>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</si>
  <si>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</si>
  <si>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</si>
  <si>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</si>
  <si>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</si>
  <si>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</si>
  <si>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</si>
  <si>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</si>
  <si>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</si>
  <si>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</si>
  <si>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</si>
  <si>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</si>
  <si>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</si>
  <si>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</si>
  <si>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31012</t>
  </si>
  <si>
    <t>JABBEKE</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</si>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</sst>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31012</v>
      </c>
      <c r="B6" s="397"/>
      <c r="C6" s="398"/>
    </row>
    <row r="7" spans="1:7" s="395" customFormat="1" ht="15.75" customHeight="1">
      <c r="A7" s="399" t="str">
        <f>txtMunicipality</f>
        <v>JABBEKE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0.24030329480686702</v>
      </c>
      <c r="C17" s="510">
        <f ca="1">'EF ele_warmte'!B22</f>
        <v>0.23650316418746939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0.24030329480686702</v>
      </c>
      <c r="C29" s="511">
        <f ca="1">'EF ele_warmte'!B22</f>
        <v>0.23650316418746939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31012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5388</v>
      </c>
      <c r="C9" s="338">
        <v>5659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3349</v>
      </c>
    </row>
    <row r="15" spans="1:6">
      <c r="A15" s="1286" t="s">
        <v>184</v>
      </c>
      <c r="B15" s="335">
        <v>35</v>
      </c>
    </row>
    <row r="16" spans="1:6">
      <c r="A16" s="1286" t="s">
        <v>6</v>
      </c>
      <c r="B16" s="335">
        <v>1418</v>
      </c>
    </row>
    <row r="17" spans="1:6">
      <c r="A17" s="1286" t="s">
        <v>7</v>
      </c>
      <c r="B17" s="335">
        <v>1967</v>
      </c>
    </row>
    <row r="18" spans="1:6">
      <c r="A18" s="1286" t="s">
        <v>8</v>
      </c>
      <c r="B18" s="335">
        <v>2546</v>
      </c>
    </row>
    <row r="19" spans="1:6">
      <c r="A19" s="1286" t="s">
        <v>9</v>
      </c>
      <c r="B19" s="335">
        <v>2431</v>
      </c>
    </row>
    <row r="20" spans="1:6">
      <c r="A20" s="1286" t="s">
        <v>10</v>
      </c>
      <c r="B20" s="335">
        <v>1524</v>
      </c>
    </row>
    <row r="21" spans="1:6">
      <c r="A21" s="1286" t="s">
        <v>11</v>
      </c>
      <c r="B21" s="335">
        <v>10982</v>
      </c>
    </row>
    <row r="22" spans="1:6">
      <c r="A22" s="1286" t="s">
        <v>12</v>
      </c>
      <c r="B22" s="335">
        <v>14784</v>
      </c>
    </row>
    <row r="23" spans="1:6">
      <c r="A23" s="1286" t="s">
        <v>13</v>
      </c>
      <c r="B23" s="335">
        <v>723</v>
      </c>
    </row>
    <row r="24" spans="1:6">
      <c r="A24" s="1286" t="s">
        <v>14</v>
      </c>
      <c r="B24" s="335">
        <v>16</v>
      </c>
    </row>
    <row r="25" spans="1:6">
      <c r="A25" s="1286" t="s">
        <v>15</v>
      </c>
      <c r="B25" s="335">
        <v>2472</v>
      </c>
    </row>
    <row r="26" spans="1:6">
      <c r="A26" s="1286" t="s">
        <v>16</v>
      </c>
      <c r="B26" s="335">
        <v>431</v>
      </c>
    </row>
    <row r="27" spans="1:6">
      <c r="A27" s="1286" t="s">
        <v>17</v>
      </c>
      <c r="B27" s="335">
        <v>3</v>
      </c>
    </row>
    <row r="28" spans="1:6" s="341" customFormat="1">
      <c r="A28" s="1287" t="s">
        <v>18</v>
      </c>
      <c r="B28" s="1287">
        <v>11732</v>
      </c>
    </row>
    <row r="29" spans="1:6">
      <c r="A29" s="1287" t="s">
        <v>942</v>
      </c>
      <c r="B29" s="1287">
        <v>147</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14784</v>
      </c>
    </row>
    <row r="39" spans="1:6">
      <c r="A39" s="1286" t="s">
        <v>30</v>
      </c>
      <c r="B39" s="1286" t="s">
        <v>31</v>
      </c>
      <c r="C39" s="335">
        <v>3229</v>
      </c>
      <c r="D39" s="335">
        <v>63500014.465316102</v>
      </c>
      <c r="E39" s="335">
        <v>5189</v>
      </c>
      <c r="F39" s="335">
        <v>25776207.432185881</v>
      </c>
    </row>
    <row r="40" spans="1:6">
      <c r="A40" s="1286" t="s">
        <v>30</v>
      </c>
      <c r="B40" s="1286" t="s">
        <v>29</v>
      </c>
      <c r="C40" s="335">
        <v>1</v>
      </c>
      <c r="D40" s="335">
        <v>19685</v>
      </c>
      <c r="E40" s="335">
        <v>0</v>
      </c>
      <c r="F40" s="335">
        <v>0</v>
      </c>
    </row>
    <row r="41" spans="1:6">
      <c r="A41" s="1286" t="s">
        <v>32</v>
      </c>
      <c r="B41" s="1286" t="s">
        <v>33</v>
      </c>
      <c r="C41" s="335">
        <v>45</v>
      </c>
      <c r="D41" s="335">
        <v>1252178.5739309499</v>
      </c>
      <c r="E41" s="335">
        <v>131</v>
      </c>
      <c r="F41" s="335">
        <v>2129121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205057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15938312.120731501</v>
      </c>
      <c r="E47" s="335">
        <v>3</v>
      </c>
      <c r="F47" s="335">
        <v>13507977</v>
      </c>
    </row>
    <row r="48" spans="1:6">
      <c r="A48" s="1286" t="s">
        <v>32</v>
      </c>
      <c r="B48" s="1286" t="s">
        <v>29</v>
      </c>
      <c r="C48" s="335">
        <v>28</v>
      </c>
      <c r="D48" s="335">
        <v>1053964.5982844499</v>
      </c>
      <c r="E48" s="335">
        <v>4</v>
      </c>
      <c r="F48" s="335">
        <v>172526</v>
      </c>
    </row>
    <row r="49" spans="1:6">
      <c r="A49" s="1286" t="s">
        <v>32</v>
      </c>
      <c r="B49" s="1286" t="s">
        <v>40</v>
      </c>
      <c r="C49" s="335">
        <v>0</v>
      </c>
      <c r="D49" s="335">
        <v>0</v>
      </c>
      <c r="E49" s="335">
        <v>4</v>
      </c>
      <c r="F49" s="335">
        <v>11355</v>
      </c>
    </row>
    <row r="50" spans="1:6">
      <c r="A50" s="1286" t="s">
        <v>32</v>
      </c>
      <c r="B50" s="1286" t="s">
        <v>41</v>
      </c>
      <c r="C50" s="335">
        <v>8</v>
      </c>
      <c r="D50" s="335">
        <v>588636.66880554904</v>
      </c>
      <c r="E50" s="335">
        <v>19</v>
      </c>
      <c r="F50" s="335">
        <v>693309</v>
      </c>
    </row>
    <row r="51" spans="1:6">
      <c r="A51" s="1286" t="s">
        <v>42</v>
      </c>
      <c r="B51" s="1286" t="s">
        <v>43</v>
      </c>
      <c r="C51" s="335">
        <v>23</v>
      </c>
      <c r="D51" s="335">
        <v>37201634.942864403</v>
      </c>
      <c r="E51" s="335">
        <v>153</v>
      </c>
      <c r="F51" s="335">
        <v>2563211</v>
      </c>
    </row>
    <row r="52" spans="1:6">
      <c r="A52" s="1286" t="s">
        <v>42</v>
      </c>
      <c r="B52" s="1286" t="s">
        <v>29</v>
      </c>
      <c r="C52" s="335">
        <v>3</v>
      </c>
      <c r="D52" s="335">
        <v>63378.161483653297</v>
      </c>
      <c r="E52" s="335">
        <v>0</v>
      </c>
      <c r="F52" s="335">
        <v>0</v>
      </c>
    </row>
    <row r="53" spans="1:6">
      <c r="A53" s="1286" t="s">
        <v>44</v>
      </c>
      <c r="B53" s="1286" t="s">
        <v>45</v>
      </c>
      <c r="C53" s="335">
        <v>106</v>
      </c>
      <c r="D53" s="335">
        <v>2536117.30973511</v>
      </c>
      <c r="E53" s="335">
        <v>0</v>
      </c>
      <c r="F53" s="335">
        <v>0</v>
      </c>
    </row>
    <row r="54" spans="1:6">
      <c r="A54" s="1286" t="s">
        <v>46</v>
      </c>
      <c r="B54" s="1286" t="s">
        <v>47</v>
      </c>
      <c r="C54" s="335">
        <v>0</v>
      </c>
      <c r="D54" s="335">
        <v>0</v>
      </c>
      <c r="E54" s="335">
        <v>71</v>
      </c>
      <c r="F54" s="335">
        <v>1060724</v>
      </c>
    </row>
    <row r="55" spans="1:6">
      <c r="A55" s="1286" t="s">
        <v>46</v>
      </c>
      <c r="B55" s="1286" t="s">
        <v>29</v>
      </c>
      <c r="C55" s="335">
        <v>0</v>
      </c>
      <c r="D55" s="335">
        <v>0</v>
      </c>
      <c r="E55" s="335">
        <v>0</v>
      </c>
      <c r="F55" s="335">
        <v>0</v>
      </c>
    </row>
    <row r="56" spans="1:6">
      <c r="A56" s="1286" t="s">
        <v>48</v>
      </c>
      <c r="B56" s="1286" t="s">
        <v>29</v>
      </c>
      <c r="C56" s="335">
        <v>0</v>
      </c>
      <c r="D56" s="335">
        <v>0</v>
      </c>
      <c r="E56" s="335">
        <v>92</v>
      </c>
      <c r="F56" s="335">
        <v>535947</v>
      </c>
    </row>
    <row r="57" spans="1:6">
      <c r="A57" s="1286" t="s">
        <v>49</v>
      </c>
      <c r="B57" s="1286" t="s">
        <v>50</v>
      </c>
      <c r="C57" s="335">
        <v>27</v>
      </c>
      <c r="D57" s="335">
        <v>906570.24591292604</v>
      </c>
      <c r="E57" s="335">
        <v>61</v>
      </c>
      <c r="F57" s="335">
        <v>1493154</v>
      </c>
    </row>
    <row r="58" spans="1:6">
      <c r="A58" s="1286" t="s">
        <v>49</v>
      </c>
      <c r="B58" s="1286" t="s">
        <v>51</v>
      </c>
      <c r="C58" s="335">
        <v>25</v>
      </c>
      <c r="D58" s="335">
        <v>932923.27513126004</v>
      </c>
      <c r="E58" s="335">
        <v>50</v>
      </c>
      <c r="F58" s="335">
        <v>1316961</v>
      </c>
    </row>
    <row r="59" spans="1:6">
      <c r="A59" s="1286" t="s">
        <v>49</v>
      </c>
      <c r="B59" s="1286" t="s">
        <v>52</v>
      </c>
      <c r="C59" s="335">
        <v>55</v>
      </c>
      <c r="D59" s="335">
        <v>2041569.8972473601</v>
      </c>
      <c r="E59" s="335">
        <v>181</v>
      </c>
      <c r="F59" s="335">
        <v>4903134</v>
      </c>
    </row>
    <row r="60" spans="1:6">
      <c r="A60" s="1286" t="s">
        <v>49</v>
      </c>
      <c r="B60" s="1286" t="s">
        <v>53</v>
      </c>
      <c r="C60" s="335">
        <v>60</v>
      </c>
      <c r="D60" s="335">
        <v>5270279.93589951</v>
      </c>
      <c r="E60" s="335">
        <v>60</v>
      </c>
      <c r="F60" s="335">
        <v>2373456</v>
      </c>
    </row>
    <row r="61" spans="1:6">
      <c r="A61" s="1286" t="s">
        <v>49</v>
      </c>
      <c r="B61" s="1286" t="s">
        <v>54</v>
      </c>
      <c r="C61" s="335">
        <v>84</v>
      </c>
      <c r="D61" s="335">
        <v>4145151.3846487999</v>
      </c>
      <c r="E61" s="335">
        <v>315</v>
      </c>
      <c r="F61" s="335">
        <v>5003728</v>
      </c>
    </row>
    <row r="62" spans="1:6">
      <c r="A62" s="1286" t="s">
        <v>49</v>
      </c>
      <c r="B62" s="1286" t="s">
        <v>55</v>
      </c>
      <c r="C62" s="335">
        <v>4</v>
      </c>
      <c r="D62" s="335">
        <v>740857.90650939196</v>
      </c>
      <c r="E62" s="335">
        <v>7</v>
      </c>
      <c r="F62" s="335">
        <v>34977</v>
      </c>
    </row>
    <row r="63" spans="1:6">
      <c r="A63" s="1286" t="s">
        <v>49</v>
      </c>
      <c r="B63" s="1286" t="s">
        <v>29</v>
      </c>
      <c r="C63" s="335">
        <v>84</v>
      </c>
      <c r="D63" s="335">
        <v>2905336.5446160398</v>
      </c>
      <c r="E63" s="335">
        <v>0</v>
      </c>
      <c r="F63" s="335">
        <v>0</v>
      </c>
    </row>
    <row r="64" spans="1:6">
      <c r="A64" s="1286" t="s">
        <v>56</v>
      </c>
      <c r="B64" s="1286" t="s">
        <v>57</v>
      </c>
      <c r="C64" s="335">
        <v>0</v>
      </c>
      <c r="D64" s="335">
        <v>0</v>
      </c>
      <c r="E64" s="335">
        <v>0</v>
      </c>
      <c r="F64" s="335">
        <v>0</v>
      </c>
    </row>
    <row r="65" spans="1:6">
      <c r="A65" s="1286" t="s">
        <v>56</v>
      </c>
      <c r="B65" s="1286" t="s">
        <v>29</v>
      </c>
      <c r="C65" s="335">
        <v>1</v>
      </c>
      <c r="D65" s="335">
        <v>33975.607825139399</v>
      </c>
      <c r="E65" s="335">
        <v>2</v>
      </c>
      <c r="F65" s="335">
        <v>21999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104926.54905272899</v>
      </c>
      <c r="E68" s="335">
        <v>3</v>
      </c>
      <c r="F68" s="335">
        <v>66085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70590356</v>
      </c>
      <c r="E73" s="335">
        <v>69844111.98476781</v>
      </c>
    </row>
    <row r="74" spans="1:6">
      <c r="A74" s="1286" t="s">
        <v>64</v>
      </c>
      <c r="B74" s="1286" t="s">
        <v>772</v>
      </c>
      <c r="C74" s="1297" t="s">
        <v>766</v>
      </c>
      <c r="D74" s="335">
        <v>3549765.5416492866</v>
      </c>
      <c r="E74" s="335">
        <v>3513595.2774128243</v>
      </c>
    </row>
    <row r="75" spans="1:6">
      <c r="A75" s="1286" t="s">
        <v>65</v>
      </c>
      <c r="B75" s="1286" t="s">
        <v>771</v>
      </c>
      <c r="C75" s="1297" t="s">
        <v>767</v>
      </c>
      <c r="D75" s="335">
        <v>26287763</v>
      </c>
      <c r="E75" s="335">
        <v>25195887.818654768</v>
      </c>
    </row>
    <row r="76" spans="1:6">
      <c r="A76" s="1286" t="s">
        <v>65</v>
      </c>
      <c r="B76" s="1286" t="s">
        <v>772</v>
      </c>
      <c r="C76" s="1297" t="s">
        <v>768</v>
      </c>
      <c r="D76" s="335">
        <v>852324.5416492864</v>
      </c>
      <c r="E76" s="335">
        <v>859959.29962743598</v>
      </c>
    </row>
    <row r="77" spans="1:6">
      <c r="A77" s="1286" t="s">
        <v>66</v>
      </c>
      <c r="B77" s="1286" t="s">
        <v>771</v>
      </c>
      <c r="C77" s="1297" t="s">
        <v>769</v>
      </c>
      <c r="D77" s="335">
        <v>158499946</v>
      </c>
      <c r="E77" s="335">
        <v>180662212.14021271</v>
      </c>
    </row>
    <row r="78" spans="1:6">
      <c r="A78" s="1282" t="s">
        <v>66</v>
      </c>
      <c r="B78" s="1282" t="s">
        <v>772</v>
      </c>
      <c r="C78" s="1282" t="s">
        <v>770</v>
      </c>
      <c r="D78" s="1282">
        <v>22890045</v>
      </c>
      <c r="E78" s="1282">
        <v>28718792.437466864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402820.91670142714</v>
      </c>
      <c r="C83" s="335">
        <v>380201.85197901743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2695.8891762391345</v>
      </c>
    </row>
    <row r="92" spans="1:6">
      <c r="A92" s="1282" t="s">
        <v>69</v>
      </c>
      <c r="B92" s="338">
        <v>1330.6437233874601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2245</v>
      </c>
    </row>
    <row r="98" spans="1:6">
      <c r="A98" s="1286" t="s">
        <v>72</v>
      </c>
      <c r="B98" s="335">
        <v>1</v>
      </c>
    </row>
    <row r="99" spans="1:6">
      <c r="A99" s="1286" t="s">
        <v>73</v>
      </c>
      <c r="B99" s="335">
        <v>93</v>
      </c>
    </row>
    <row r="100" spans="1:6">
      <c r="A100" s="1286" t="s">
        <v>74</v>
      </c>
      <c r="B100" s="335">
        <v>500</v>
      </c>
    </row>
    <row r="101" spans="1:6">
      <c r="A101" s="1286" t="s">
        <v>75</v>
      </c>
      <c r="B101" s="335">
        <v>118</v>
      </c>
    </row>
    <row r="102" spans="1:6">
      <c r="A102" s="1286" t="s">
        <v>76</v>
      </c>
      <c r="B102" s="335">
        <v>82</v>
      </c>
    </row>
    <row r="103" spans="1:6">
      <c r="A103" s="1286" t="s">
        <v>77</v>
      </c>
      <c r="B103" s="335">
        <v>110</v>
      </c>
    </row>
    <row r="104" spans="1:6">
      <c r="A104" s="1286" t="s">
        <v>78</v>
      </c>
      <c r="B104" s="335">
        <v>1792</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64506.856770233855</v>
      </c>
      <c r="C3" s="44" t="s">
        <v>170</v>
      </c>
      <c r="D3" s="44"/>
      <c r="E3" s="157"/>
      <c r="F3" s="44"/>
      <c r="G3" s="44"/>
      <c r="H3" s="44"/>
      <c r="I3" s="44"/>
      <c r="J3" s="44"/>
      <c r="K3" s="97"/>
    </row>
    <row r="4" spans="1:11">
      <c r="A4" s="365" t="s">
        <v>171</v>
      </c>
      <c r="B4" s="50">
        <f>IF(ISERROR('SEAP template'!B78),0,'SEAP template'!B78)</f>
        <v>4070.1828996265945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2144.7052941176476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0.24030329480686702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3063.8647058823535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12954.857142857143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0.23650316418746939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1060.7239999999999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1060.7239999999999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0.24030329480686702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254.8954720807192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25776.207432185882</v>
      </c>
      <c r="C5" s="18">
        <f>IF(ISERROR('Eigen informatie GS &amp; warmtenet'!B57),0,'Eigen informatie GS &amp; warmtenet'!B57)</f>
        <v>0</v>
      </c>
      <c r="D5" s="31">
        <f>(SUM(HH_hh_gas_kWh,HH_rest_gas_kWh)/1000)*0.902</f>
        <v>57294.768917715126</v>
      </c>
      <c r="E5" s="18">
        <f>B46*B57</f>
        <v>3530.9427404221865</v>
      </c>
      <c r="F5" s="18">
        <f>B51*B62</f>
        <v>17874.46522426638</v>
      </c>
      <c r="G5" s="19"/>
      <c r="H5" s="18"/>
      <c r="I5" s="18"/>
      <c r="J5" s="18">
        <f>B50*B61+C50*C61</f>
        <v>362.90571644736599</v>
      </c>
      <c r="K5" s="18"/>
      <c r="L5" s="18"/>
      <c r="M5" s="18"/>
      <c r="N5" s="18">
        <f>B48*B59+C48*C59</f>
        <v>14549.382721130656</v>
      </c>
      <c r="O5" s="18">
        <f>B69*B70*B71</f>
        <v>65.660000000000011</v>
      </c>
      <c r="P5" s="18">
        <f>B77*B78*B79/1000-B77*B78*B79/1000/B80</f>
        <v>305.06666666666666</v>
      </c>
    </row>
    <row r="6" spans="1:16">
      <c r="A6" s="17" t="s">
        <v>639</v>
      </c>
      <c r="B6" s="780">
        <f>kWh_PV_kleiner_dan_10kW</f>
        <v>2695.8891762391345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28472.096608425018</v>
      </c>
      <c r="C8" s="22">
        <f>C5</f>
        <v>0</v>
      </c>
      <c r="D8" s="22">
        <f>D5</f>
        <v>57294.768917715126</v>
      </c>
      <c r="E8" s="22">
        <f>E5</f>
        <v>3530.9427404221865</v>
      </c>
      <c r="F8" s="22">
        <f>F5</f>
        <v>17874.46522426638</v>
      </c>
      <c r="G8" s="22"/>
      <c r="H8" s="22"/>
      <c r="I8" s="22"/>
      <c r="J8" s="22">
        <f>J5</f>
        <v>362.90571644736599</v>
      </c>
      <c r="K8" s="22"/>
      <c r="L8" s="22">
        <f>L5</f>
        <v>0</v>
      </c>
      <c r="M8" s="22">
        <f>M5</f>
        <v>0</v>
      </c>
      <c r="N8" s="22">
        <f>N5</f>
        <v>14549.382721130656</v>
      </c>
      <c r="O8" s="22">
        <f>O5</f>
        <v>65.660000000000011</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0.24030329480686702</v>
      </c>
      <c r="C10" s="26">
        <f ca="1">'EF ele_warmte'!B22</f>
        <v>0.23650316418746939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6841.9386250639554</v>
      </c>
      <c r="C12" s="24">
        <f ca="1">C10*C8</f>
        <v>0</v>
      </c>
      <c r="D12" s="24">
        <f>D8*D10</f>
        <v>11573.543321378456</v>
      </c>
      <c r="E12" s="24">
        <f>E10*E8</f>
        <v>801.52400207583639</v>
      </c>
      <c r="F12" s="24">
        <f>F10*F8</f>
        <v>4772.4822148791236</v>
      </c>
      <c r="G12" s="24"/>
      <c r="H12" s="24"/>
      <c r="I12" s="24"/>
      <c r="J12" s="24">
        <f>J10*J8</f>
        <v>128.46862362236755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2245</v>
      </c>
      <c r="C18" s="169" t="s">
        <v>111</v>
      </c>
      <c r="D18" s="231"/>
      <c r="E18" s="16"/>
    </row>
    <row r="19" spans="1:7">
      <c r="A19" s="174" t="s">
        <v>72</v>
      </c>
      <c r="B19" s="38">
        <f>aantalw2001_ander</f>
        <v>1</v>
      </c>
      <c r="C19" s="169" t="s">
        <v>111</v>
      </c>
      <c r="D19" s="232"/>
      <c r="E19" s="16"/>
    </row>
    <row r="20" spans="1:7">
      <c r="A20" s="174" t="s">
        <v>73</v>
      </c>
      <c r="B20" s="38">
        <f>aantalw2001_propaan</f>
        <v>93</v>
      </c>
      <c r="C20" s="170">
        <f>IF(ISERROR(B20/SUM($B$20,$B$21,$B$22)*100),0,B20/SUM($B$20,$B$21,$B$22)*100)</f>
        <v>13.080168776371309</v>
      </c>
      <c r="D20" s="232"/>
      <c r="E20" s="16"/>
    </row>
    <row r="21" spans="1:7">
      <c r="A21" s="174" t="s">
        <v>74</v>
      </c>
      <c r="B21" s="38">
        <f>aantalw2001_elektriciteit</f>
        <v>500</v>
      </c>
      <c r="C21" s="170">
        <f>IF(ISERROR(B21/SUM($B$20,$B$21,$B$22)*100),0,B21/SUM($B$20,$B$21,$B$22)*100)</f>
        <v>70.323488045007025</v>
      </c>
      <c r="D21" s="232"/>
      <c r="E21" s="16"/>
    </row>
    <row r="22" spans="1:7">
      <c r="A22" s="174" t="s">
        <v>75</v>
      </c>
      <c r="B22" s="38">
        <f>aantalw2001_hout</f>
        <v>118</v>
      </c>
      <c r="C22" s="170">
        <f>IF(ISERROR(B22/SUM($B$20,$B$21,$B$22)*100),0,B22/SUM($B$20,$B$21,$B$22)*100)</f>
        <v>16.596343178621659</v>
      </c>
      <c r="D22" s="232"/>
      <c r="E22" s="16"/>
    </row>
    <row r="23" spans="1:7">
      <c r="A23" s="174" t="s">
        <v>76</v>
      </c>
      <c r="B23" s="38">
        <f>aantalw2001_niet_gespec</f>
        <v>82</v>
      </c>
      <c r="C23" s="169" t="s">
        <v>111</v>
      </c>
      <c r="D23" s="231"/>
      <c r="E23" s="16"/>
    </row>
    <row r="24" spans="1:7">
      <c r="A24" s="174" t="s">
        <v>77</v>
      </c>
      <c r="B24" s="38">
        <f>aantalw2001_steenkool</f>
        <v>110</v>
      </c>
      <c r="C24" s="169" t="s">
        <v>111</v>
      </c>
      <c r="D24" s="232"/>
      <c r="E24" s="16"/>
    </row>
    <row r="25" spans="1:7">
      <c r="A25" s="174" t="s">
        <v>78</v>
      </c>
      <c r="B25" s="38">
        <f>aantalw2001_stookolie</f>
        <v>1792</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5388</v>
      </c>
      <c r="C28" s="37"/>
      <c r="D28" s="231"/>
    </row>
    <row r="29" spans="1:7" s="16" customFormat="1">
      <c r="A29" s="233" t="s">
        <v>666</v>
      </c>
      <c r="B29" s="38">
        <f>SUM(HH_hh_gas_aantal,HH_rest_gas_aantal)</f>
        <v>3230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3230</v>
      </c>
      <c r="C32" s="170">
        <f>IF(ISERROR(B32/SUM($B$32,$B$34,$B$35,$B$36,$B$38,$B$39)*100),0,B32/SUM($B$32,$B$34,$B$35,$B$36,$B$38,$B$39)*100)</f>
        <v>60.12658227848101</v>
      </c>
      <c r="D32" s="236"/>
      <c r="G32" s="16"/>
    </row>
    <row r="33" spans="1:7">
      <c r="A33" s="174" t="s">
        <v>72</v>
      </c>
      <c r="B33" s="35" t="s">
        <v>111</v>
      </c>
      <c r="C33" s="170"/>
      <c r="D33" s="236"/>
      <c r="G33" s="16"/>
    </row>
    <row r="34" spans="1:7">
      <c r="A34" s="174" t="s">
        <v>73</v>
      </c>
      <c r="B34" s="34">
        <f>IF((($B$28-$B$32-$B$39-$B$77-$B$38)*C20/100)&lt;0,0,($B$28-$B$32-$B$39-$B$77-$B$38)*C20/100)</f>
        <v>160.23206751054852</v>
      </c>
      <c r="C34" s="170">
        <f>IF(ISERROR(B34/SUM($B$32,$B$34,$B$35,$B$36,$B$38,$B$39)*100),0,B34/SUM($B$32,$B$34,$B$35,$B$36,$B$38,$B$39)*100)</f>
        <v>2.9827264987071578</v>
      </c>
      <c r="D34" s="236"/>
      <c r="G34" s="16"/>
    </row>
    <row r="35" spans="1:7">
      <c r="A35" s="174" t="s">
        <v>74</v>
      </c>
      <c r="B35" s="34">
        <f>IF((($B$28-$B$32-$B$39-$B$77-$B$38)*C21/100)&lt;0,0,($B$28-$B$32-$B$39-$B$77-$B$38)*C21/100)</f>
        <v>861.462728551336</v>
      </c>
      <c r="C35" s="170">
        <f>IF(ISERROR(B35/SUM($B$32,$B$34,$B$35,$B$36,$B$38,$B$39)*100),0,B35/SUM($B$32,$B$34,$B$35,$B$36,$B$38,$B$39)*100)</f>
        <v>16.036163971543857</v>
      </c>
      <c r="D35" s="236"/>
      <c r="G35" s="16"/>
    </row>
    <row r="36" spans="1:7">
      <c r="A36" s="174" t="s">
        <v>75</v>
      </c>
      <c r="B36" s="34">
        <f>IF((($B$28-$B$32-$B$39-$B$77-$B$38)*C22/100)&lt;0,0,($B$28-$B$32-$B$39-$B$77-$B$38)*C22/100)</f>
        <v>203.30520393811534</v>
      </c>
      <c r="C36" s="170">
        <f>IF(ISERROR(B36/SUM($B$32,$B$34,$B$35,$B$36,$B$38,$B$39)*100),0,B36/SUM($B$32,$B$34,$B$35,$B$36,$B$38,$B$39)*100)</f>
        <v>3.784534697284351</v>
      </c>
      <c r="D36" s="236"/>
      <c r="G36" s="16"/>
    </row>
    <row r="37" spans="1:7">
      <c r="A37" s="174" t="s">
        <v>76</v>
      </c>
      <c r="B37" s="35" t="s">
        <v>111</v>
      </c>
      <c r="C37" s="170"/>
      <c r="D37" s="176"/>
      <c r="G37" s="16"/>
    </row>
    <row r="38" spans="1:7">
      <c r="A38" s="174" t="s">
        <v>77</v>
      </c>
      <c r="B38" s="34">
        <f>IF((B24-(B29-B18)*0.1)&lt;0,0,B24-(B29-B18)*0.1)</f>
        <v>11.5</v>
      </c>
      <c r="C38" s="170">
        <f>IF(ISERROR(B38/SUM($B$32,$B$34,$B$35,$B$36,$B$38,$B$39)*100),0,B38/SUM($B$32,$B$34,$B$35,$B$36,$B$38,$B$39)*100)</f>
        <v>0.2140729709605361</v>
      </c>
      <c r="D38" s="237"/>
      <c r="G38" s="16"/>
    </row>
    <row r="39" spans="1:7">
      <c r="A39" s="174" t="s">
        <v>78</v>
      </c>
      <c r="B39" s="34">
        <f>IF((B25-(B29-B18))&lt;0,0,B25-(B29-B18)*0.9)</f>
        <v>905.5</v>
      </c>
      <c r="C39" s="170">
        <f>IF(ISERROR(B39/SUM($B$32,$B$34,$B$35,$B$36,$B$38,$B$39)*100),0,B39/SUM($B$32,$B$34,$B$35,$B$36,$B$38,$B$39)*100)</f>
        <v>16.855919583023081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3230</v>
      </c>
      <c r="C44" s="35" t="s">
        <v>111</v>
      </c>
      <c r="D44" s="177"/>
    </row>
    <row r="45" spans="1:7">
      <c r="A45" s="174" t="s">
        <v>72</v>
      </c>
      <c r="B45" s="34" t="str">
        <f t="shared" si="0"/>
        <v>-</v>
      </c>
      <c r="C45" s="35" t="s">
        <v>111</v>
      </c>
      <c r="D45" s="177"/>
    </row>
    <row r="46" spans="1:7">
      <c r="A46" s="174" t="s">
        <v>73</v>
      </c>
      <c r="B46" s="34">
        <f t="shared" si="0"/>
        <v>160.23206751054852</v>
      </c>
      <c r="C46" s="35" t="s">
        <v>111</v>
      </c>
      <c r="D46" s="177"/>
    </row>
    <row r="47" spans="1:7">
      <c r="A47" s="174" t="s">
        <v>74</v>
      </c>
      <c r="B47" s="34">
        <f t="shared" si="0"/>
        <v>861.462728551336</v>
      </c>
      <c r="C47" s="35" t="s">
        <v>111</v>
      </c>
      <c r="D47" s="177"/>
    </row>
    <row r="48" spans="1:7">
      <c r="A48" s="174" t="s">
        <v>75</v>
      </c>
      <c r="B48" s="34">
        <f t="shared" si="0"/>
        <v>203.30520393811534</v>
      </c>
      <c r="C48" s="34">
        <f>B48*10</f>
        <v>2033.0520393811535</v>
      </c>
      <c r="D48" s="237"/>
    </row>
    <row r="49" spans="1:6">
      <c r="A49" s="174" t="s">
        <v>76</v>
      </c>
      <c r="B49" s="34" t="str">
        <f t="shared" si="0"/>
        <v>-</v>
      </c>
      <c r="C49" s="35" t="s">
        <v>111</v>
      </c>
      <c r="D49" s="237"/>
    </row>
    <row r="50" spans="1:6">
      <c r="A50" s="174" t="s">
        <v>77</v>
      </c>
      <c r="B50" s="34">
        <f t="shared" si="0"/>
        <v>11.5</v>
      </c>
      <c r="C50" s="34">
        <f>B50*2</f>
        <v>23</v>
      </c>
      <c r="D50" s="237"/>
    </row>
    <row r="51" spans="1:6">
      <c r="A51" s="174" t="s">
        <v>78</v>
      </c>
      <c r="B51" s="34">
        <f t="shared" si="0"/>
        <v>905.5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15125.41</v>
      </c>
      <c r="C5" s="18">
        <f>IF(ISERROR('Eigen informatie GS &amp; warmtenet'!B58),0,'Eigen informatie GS &amp; warmtenet'!B58)</f>
        <v>0</v>
      </c>
      <c r="D5" s="31">
        <f>SUM(D6:D12)</f>
        <v>15282.305649348689</v>
      </c>
      <c r="E5" s="18">
        <f>SUM(E6:E12)</f>
        <v>171.32347628830442</v>
      </c>
      <c r="F5" s="18">
        <f>SUM(F6:F12)</f>
        <v>3038.3485343601778</v>
      </c>
      <c r="G5" s="19"/>
      <c r="H5" s="18"/>
      <c r="I5" s="18"/>
      <c r="J5" s="18">
        <f>SUM(J6:J12)</f>
        <v>0</v>
      </c>
      <c r="K5" s="18"/>
      <c r="L5" s="18"/>
      <c r="M5" s="18"/>
      <c r="N5" s="18">
        <f>SUM(N6:N12)</f>
        <v>898.45816270083776</v>
      </c>
      <c r="O5" s="18">
        <f>B38*B39*B40</f>
        <v>0</v>
      </c>
      <c r="P5" s="18">
        <f>B46*B47*B48/1000-B46*B47*B48/1000/B49</f>
        <v>0</v>
      </c>
      <c r="R5" s="33"/>
    </row>
    <row r="6" spans="1:18">
      <c r="A6" s="33" t="s">
        <v>54</v>
      </c>
      <c r="B6" s="38">
        <f>B26</f>
        <v>5003.7280000000001</v>
      </c>
      <c r="C6" s="34"/>
      <c r="D6" s="38">
        <f>IF(ISERROR(TER_kantoor_gas_kWh/1000),0,TER_kantoor_gas_kWh/1000)*0.902</f>
        <v>3738.9265489532172</v>
      </c>
      <c r="E6" s="34">
        <f>$C$26*'E Balans VL '!I12/100/3.6*1000000</f>
        <v>8.2121317828204621</v>
      </c>
      <c r="F6" s="34">
        <f>$C$26*('E Balans VL '!L12+'E Balans VL '!N12)/100/3.6*1000000</f>
        <v>589.82179987350605</v>
      </c>
      <c r="G6" s="35"/>
      <c r="H6" s="34"/>
      <c r="I6" s="34"/>
      <c r="J6" s="34">
        <f>$C$26*('E Balans VL '!D12+'E Balans VL '!E12)/100/3.6*1000000</f>
        <v>0</v>
      </c>
      <c r="K6" s="34"/>
      <c r="L6" s="34"/>
      <c r="M6" s="34"/>
      <c r="N6" s="34">
        <f>$C$26*'E Balans VL '!Y12/100/3.6*1000000</f>
        <v>1.0109795478081054</v>
      </c>
      <c r="O6" s="34"/>
      <c r="P6" s="34"/>
      <c r="R6" s="33"/>
    </row>
    <row r="7" spans="1:18">
      <c r="A7" s="33" t="s">
        <v>53</v>
      </c>
      <c r="B7" s="38">
        <f t="shared" ref="B7:B12" si="0">B27</f>
        <v>2373.4560000000001</v>
      </c>
      <c r="C7" s="34"/>
      <c r="D7" s="38">
        <f>IF(ISERROR(TER_horeca_gas_kWh/1000),0,TER_horeca_gas_kWh/1000)*0.902</f>
        <v>4753.792502181358</v>
      </c>
      <c r="E7" s="34">
        <f>$C$27*'E Balans VL '!I9/100/3.6*1000000</f>
        <v>123.16519170485921</v>
      </c>
      <c r="F7" s="34">
        <f>$C$27*('E Balans VL '!L9+'E Balans VL '!N9)/100/3.6*1000000</f>
        <v>541.62438138820914</v>
      </c>
      <c r="G7" s="35"/>
      <c r="H7" s="34"/>
      <c r="I7" s="34"/>
      <c r="J7" s="34">
        <f>$C$27*('E Balans VL '!D9+'E Balans VL '!E9)/100/3.6*1000000</f>
        <v>0</v>
      </c>
      <c r="K7" s="34"/>
      <c r="L7" s="34"/>
      <c r="M7" s="34"/>
      <c r="N7" s="34">
        <f>$C$27*'E Balans VL '!Y9/100/3.6*1000000</f>
        <v>0.25063586591633519</v>
      </c>
      <c r="O7" s="34"/>
      <c r="P7" s="34"/>
      <c r="R7" s="33"/>
    </row>
    <row r="8" spans="1:18">
      <c r="A8" s="6" t="s">
        <v>52</v>
      </c>
      <c r="B8" s="38">
        <f t="shared" si="0"/>
        <v>4903.134</v>
      </c>
      <c r="C8" s="34"/>
      <c r="D8" s="38">
        <f>IF(ISERROR(TER_handel_gas_kWh/1000),0,TER_handel_gas_kWh/1000)*0.902</f>
        <v>1841.4960473171188</v>
      </c>
      <c r="E8" s="34">
        <f>$C$28*'E Balans VL '!I13/100/3.6*1000000</f>
        <v>26.40397910508787</v>
      </c>
      <c r="F8" s="34">
        <f>$C$28*('E Balans VL '!L13+'E Balans VL '!N13)/100/3.6*1000000</f>
        <v>999.89473061903038</v>
      </c>
      <c r="G8" s="35"/>
      <c r="H8" s="34"/>
      <c r="I8" s="34"/>
      <c r="J8" s="34">
        <f>$C$28*('E Balans VL '!D13+'E Balans VL '!E13)/100/3.6*1000000</f>
        <v>0</v>
      </c>
      <c r="K8" s="34"/>
      <c r="L8" s="34"/>
      <c r="M8" s="34"/>
      <c r="N8" s="34">
        <f>$C$28*'E Balans VL '!Y13/100/3.6*1000000</f>
        <v>24.380696111118713</v>
      </c>
      <c r="O8" s="34"/>
      <c r="P8" s="34"/>
      <c r="R8" s="33"/>
    </row>
    <row r="9" spans="1:18">
      <c r="A9" s="33" t="s">
        <v>51</v>
      </c>
      <c r="B9" s="38">
        <f t="shared" si="0"/>
        <v>1316.961</v>
      </c>
      <c r="C9" s="34"/>
      <c r="D9" s="38">
        <f>IF(ISERROR(TER_gezond_gas_kWh/1000),0,TER_gezond_gas_kWh/1000)*0.902</f>
        <v>841.4967941683966</v>
      </c>
      <c r="E9" s="34">
        <f>$C$29*'E Balans VL '!I10/100/3.6*1000000</f>
        <v>1.3051233274185106</v>
      </c>
      <c r="F9" s="34">
        <f>$C$29*('E Balans VL '!L10+'E Balans VL '!N10)/100/3.6*1000000</f>
        <v>456.94750705548381</v>
      </c>
      <c r="G9" s="35"/>
      <c r="H9" s="34"/>
      <c r="I9" s="34"/>
      <c r="J9" s="34">
        <f>$C$29*('E Balans VL '!D10+'E Balans VL '!E10)/100/3.6*1000000</f>
        <v>0</v>
      </c>
      <c r="K9" s="34"/>
      <c r="L9" s="34"/>
      <c r="M9" s="34"/>
      <c r="N9" s="34">
        <f>$C$29*'E Balans VL '!Y10/100/3.6*1000000</f>
        <v>11.348138849215545</v>
      </c>
      <c r="O9" s="34"/>
      <c r="P9" s="34"/>
      <c r="R9" s="33"/>
    </row>
    <row r="10" spans="1:18">
      <c r="A10" s="33" t="s">
        <v>50</v>
      </c>
      <c r="B10" s="38">
        <f t="shared" si="0"/>
        <v>1493.154</v>
      </c>
      <c r="C10" s="34"/>
      <c r="D10" s="38">
        <f>IF(ISERROR(TER_ander_gas_kWh/1000),0,TER_ander_gas_kWh/1000)*0.902</f>
        <v>817.72636181345922</v>
      </c>
      <c r="E10" s="34">
        <f>$C$30*'E Balans VL '!I14/100/3.6*1000000</f>
        <v>12.21549202114454</v>
      </c>
      <c r="F10" s="34">
        <f>$C$30*('E Balans VL '!L14+'E Balans VL '!N14)/100/3.6*1000000</f>
        <v>436.53744078300002</v>
      </c>
      <c r="G10" s="35"/>
      <c r="H10" s="34"/>
      <c r="I10" s="34"/>
      <c r="J10" s="34">
        <f>$C$30*('E Balans VL '!D14+'E Balans VL '!E14)/100/3.6*1000000</f>
        <v>0</v>
      </c>
      <c r="K10" s="34"/>
      <c r="L10" s="34"/>
      <c r="M10" s="34"/>
      <c r="N10" s="34">
        <f>$C$30*'E Balans VL '!Y14/100/3.6*1000000</f>
        <v>861.3539396411901</v>
      </c>
      <c r="O10" s="34"/>
      <c r="P10" s="34"/>
      <c r="R10" s="33"/>
    </row>
    <row r="11" spans="1:18">
      <c r="A11" s="33" t="s">
        <v>55</v>
      </c>
      <c r="B11" s="38">
        <f t="shared" si="0"/>
        <v>34.976999999999997</v>
      </c>
      <c r="C11" s="34"/>
      <c r="D11" s="38">
        <f>IF(ISERROR(TER_onderwijs_gas_kWh/1000),0,TER_onderwijs_gas_kWh/1000)*0.902</f>
        <v>668.25383167147152</v>
      </c>
      <c r="E11" s="34">
        <f>$C$31*'E Balans VL '!I11/100/3.6*1000000</f>
        <v>2.1558346973847294E-2</v>
      </c>
      <c r="F11" s="34">
        <f>$C$31*('E Balans VL '!L11+'E Balans VL '!N11)/100/3.6*1000000</f>
        <v>13.522674640948621</v>
      </c>
      <c r="G11" s="35"/>
      <c r="H11" s="34"/>
      <c r="I11" s="34"/>
      <c r="J11" s="34">
        <f>$C$31*('E Balans VL '!D11+'E Balans VL '!E11)/100/3.6*1000000</f>
        <v>0</v>
      </c>
      <c r="K11" s="34"/>
      <c r="L11" s="34"/>
      <c r="M11" s="34"/>
      <c r="N11" s="34">
        <f>$C$31*'E Balans VL '!Y11/100/3.6*1000000</f>
        <v>0.11377268558893783</v>
      </c>
      <c r="O11" s="34"/>
      <c r="P11" s="34"/>
      <c r="R11" s="33"/>
    </row>
    <row r="12" spans="1:18">
      <c r="A12" s="33" t="s">
        <v>260</v>
      </c>
      <c r="B12" s="38">
        <f t="shared" si="0"/>
        <v>0</v>
      </c>
      <c r="C12" s="34"/>
      <c r="D12" s="38">
        <f>IF(ISERROR(TER_rest_gas_kWh/1000),0,TER_rest_gas_kWh/1000)*0.902</f>
        <v>2620.6135632436676</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15150.16</v>
      </c>
      <c r="C16" s="22">
        <f t="shared" ca="1" si="1"/>
        <v>35.357142857142861</v>
      </c>
      <c r="D16" s="22">
        <f t="shared" ca="1" si="1"/>
        <v>15211.591363634403</v>
      </c>
      <c r="E16" s="22">
        <f t="shared" si="1"/>
        <v>171.32347628830442</v>
      </c>
      <c r="F16" s="22">
        <f t="shared" ca="1" si="1"/>
        <v>3038.3485343601778</v>
      </c>
      <c r="G16" s="22">
        <f t="shared" si="1"/>
        <v>0</v>
      </c>
      <c r="H16" s="22">
        <f t="shared" si="1"/>
        <v>0</v>
      </c>
      <c r="I16" s="22">
        <f t="shared" si="1"/>
        <v>0</v>
      </c>
      <c r="J16" s="22">
        <f t="shared" si="1"/>
        <v>0</v>
      </c>
      <c r="K16" s="22">
        <f t="shared" si="1"/>
        <v>0</v>
      </c>
      <c r="L16" s="22">
        <f t="shared" ca="1" si="1"/>
        <v>0</v>
      </c>
      <c r="M16" s="22">
        <f t="shared" si="1"/>
        <v>0</v>
      </c>
      <c r="N16" s="22">
        <f t="shared" ca="1" si="1"/>
        <v>898.45816270083776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0.24030329480686702</v>
      </c>
      <c r="C18" s="26">
        <f ca="1">'EF ele_warmte'!B22</f>
        <v>0.23650316418746939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3640.6333648512045</v>
      </c>
      <c r="C20" s="24">
        <f t="shared" ref="C20:P20" ca="1" si="2">C16*C18</f>
        <v>8.3620761623426692</v>
      </c>
      <c r="D20" s="24">
        <f t="shared" ca="1" si="2"/>
        <v>3072.7414554541497</v>
      </c>
      <c r="E20" s="24">
        <f t="shared" si="2"/>
        <v>38.890429117445102</v>
      </c>
      <c r="F20" s="24">
        <f t="shared" ca="1" si="2"/>
        <v>811.2390586741675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5003.7280000000001</v>
      </c>
      <c r="C26" s="40">
        <f>IF(ISERROR(B26*3.6/1000000/'E Balans VL '!Z12*100),0,B26*3.6/1000000/'E Balans VL '!Z12*100)</f>
        <v>0.10632563167131696</v>
      </c>
      <c r="D26" s="240" t="s">
        <v>707</v>
      </c>
      <c r="F26" s="6"/>
    </row>
    <row r="27" spans="1:18">
      <c r="A27" s="234" t="s">
        <v>53</v>
      </c>
      <c r="B27" s="34">
        <f>IF(ISERROR(TER_horeca_ele_kWh/1000),0,TER_horeca_ele_kWh/1000)</f>
        <v>2373.4560000000001</v>
      </c>
      <c r="C27" s="40">
        <f>IF(ISERROR(B27*3.6/1000000/'E Balans VL '!Z9*100),0,B27*3.6/1000000/'E Balans VL '!Z9*100)</f>
        <v>0.18680934105565358</v>
      </c>
      <c r="D27" s="240" t="s">
        <v>707</v>
      </c>
      <c r="F27" s="6"/>
    </row>
    <row r="28" spans="1:18">
      <c r="A28" s="174" t="s">
        <v>52</v>
      </c>
      <c r="B28" s="34">
        <f>IF(ISERROR(TER_handel_ele_kWh/1000),0,TER_handel_ele_kWh/1000)</f>
        <v>4903.134</v>
      </c>
      <c r="C28" s="40">
        <f>IF(ISERROR(B28*3.6/1000000/'E Balans VL '!Z13*100),0,B28*3.6/1000000/'E Balans VL '!Z13*100)</f>
        <v>0.13733940739371991</v>
      </c>
      <c r="D28" s="240" t="s">
        <v>707</v>
      </c>
      <c r="F28" s="6"/>
    </row>
    <row r="29" spans="1:18">
      <c r="A29" s="234" t="s">
        <v>51</v>
      </c>
      <c r="B29" s="34">
        <f>IF(ISERROR(TER_gezond_ele_kWh/1000),0,TER_gezond_ele_kWh/1000)</f>
        <v>1316.961</v>
      </c>
      <c r="C29" s="40">
        <f>IF(ISERROR(B29*3.6/1000000/'E Balans VL '!Z10*100),0,B29*3.6/1000000/'E Balans VL '!Z10*100)</f>
        <v>0.16847913519678095</v>
      </c>
      <c r="D29" s="240" t="s">
        <v>707</v>
      </c>
      <c r="F29" s="6"/>
    </row>
    <row r="30" spans="1:18">
      <c r="A30" s="234" t="s">
        <v>50</v>
      </c>
      <c r="B30" s="34">
        <f>IF(ISERROR(TER_ander_ele_kWh/1000),0,TER_ander_ele_kWh/1000)</f>
        <v>1493.154</v>
      </c>
      <c r="C30" s="40">
        <f>IF(ISERROR(B30*3.6/1000000/'E Balans VL '!Z14*100),0,B30*3.6/1000000/'E Balans VL '!Z14*100)</f>
        <v>0.11167533766461041</v>
      </c>
      <c r="D30" s="240" t="s">
        <v>707</v>
      </c>
      <c r="F30" s="6"/>
    </row>
    <row r="31" spans="1:18">
      <c r="A31" s="234" t="s">
        <v>55</v>
      </c>
      <c r="B31" s="34">
        <f>IF(ISERROR(TER_onderwijs_ele_kWh/1000),0,TER_onderwijs_ele_kWh/1000)</f>
        <v>34.976999999999997</v>
      </c>
      <c r="C31" s="40">
        <f>IF(ISERROR(B31*3.6/1000000/'E Balans VL '!Z11*100),0,B31*3.6/1000000/'E Balans VL '!Z11*100)</f>
        <v>7.3854388567957041E-3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16719.345000000001</v>
      </c>
      <c r="C5" s="18">
        <f>IF(ISERROR('Eigen informatie GS &amp; warmtenet'!B59),0,'Eigen informatie GS &amp; warmtenet'!B59)</f>
        <v>0</v>
      </c>
      <c r="D5" s="31">
        <f>SUM(D6:D15)</f>
        <v>16987.448949500711</v>
      </c>
      <c r="E5" s="18">
        <f>SUM(E6:E15)</f>
        <v>482.66475402549213</v>
      </c>
      <c r="F5" s="18">
        <f>SUM(F6:F15)</f>
        <v>4063.4138810333407</v>
      </c>
      <c r="G5" s="19"/>
      <c r="H5" s="18"/>
      <c r="I5" s="18"/>
      <c r="J5" s="18">
        <f>SUM(J6:J15)</f>
        <v>4.4343545530295048</v>
      </c>
      <c r="K5" s="18"/>
      <c r="L5" s="18"/>
      <c r="M5" s="18"/>
      <c r="N5" s="18">
        <f>SUM(N6:N15)</f>
        <v>5148.2712663393804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205.05699999999999</v>
      </c>
      <c r="C8" s="34"/>
      <c r="D8" s="38">
        <f>IF( ISERROR(IND_metaal_Gas_kWH/1000),0,IND_metaal_Gas_kWH/1000)*0.902</f>
        <v>0</v>
      </c>
      <c r="E8" s="34">
        <f>C30*'E Balans VL '!I18/100/3.6*1000000</f>
        <v>1.8674171451952368</v>
      </c>
      <c r="F8" s="34">
        <f>C30*'E Balans VL '!L18/100/3.6*1000000+C30*'E Balans VL '!N18/100/3.6*1000000</f>
        <v>27.045461070395742</v>
      </c>
      <c r="G8" s="35"/>
      <c r="H8" s="34"/>
      <c r="I8" s="34"/>
      <c r="J8" s="41">
        <f>C30*'E Balans VL '!D18/100/3.6*1000000+C30*'E Balans VL '!E18/100/3.6*1000000</f>
        <v>3.3626370679570097</v>
      </c>
      <c r="K8" s="34"/>
      <c r="L8" s="34"/>
      <c r="M8" s="34"/>
      <c r="N8" s="34">
        <f>C30*'E Balans VL '!Y18/100/3.6*1000000</f>
        <v>0.70469945031570735</v>
      </c>
      <c r="O8" s="34"/>
      <c r="P8" s="34"/>
      <c r="R8" s="33"/>
    </row>
    <row r="9" spans="1:18">
      <c r="A9" s="6" t="s">
        <v>33</v>
      </c>
      <c r="B9" s="38">
        <f t="shared" si="0"/>
        <v>2129.1210000000001</v>
      </c>
      <c r="C9" s="34"/>
      <c r="D9" s="38">
        <f>IF( ISERROR(IND_andere_gas_kWh/1000),0,IND_andere_gas_kWh/1000)*0.902</f>
        <v>1129.4650736857168</v>
      </c>
      <c r="E9" s="34">
        <f>C31*'E Balans VL '!I19/100/3.6*1000000</f>
        <v>12.306637550816594</v>
      </c>
      <c r="F9" s="34">
        <f>C31*'E Balans VL '!L19/100/3.6*1000000+C31*'E Balans VL '!N19/100/3.6*1000000</f>
        <v>1693.8182047484545</v>
      </c>
      <c r="G9" s="35"/>
      <c r="H9" s="34"/>
      <c r="I9" s="34"/>
      <c r="J9" s="41">
        <f>C31*'E Balans VL '!D19/100/3.6*1000000+C31*'E Balans VL '!E19/100/3.6*1000000</f>
        <v>0.20139119699377869</v>
      </c>
      <c r="K9" s="34"/>
      <c r="L9" s="34"/>
      <c r="M9" s="34"/>
      <c r="N9" s="34">
        <f>C31*'E Balans VL '!Y19/100/3.6*1000000</f>
        <v>161.31313639226647</v>
      </c>
      <c r="O9" s="34"/>
      <c r="P9" s="34"/>
      <c r="R9" s="33"/>
    </row>
    <row r="10" spans="1:18">
      <c r="A10" s="6" t="s">
        <v>41</v>
      </c>
      <c r="B10" s="38">
        <f t="shared" si="0"/>
        <v>693.30899999999997</v>
      </c>
      <c r="C10" s="34"/>
      <c r="D10" s="38">
        <f>IF( ISERROR(IND_voed_gas_kWh/1000),0,IND_voed_gas_kWh/1000)*0.902</f>
        <v>530.95027526260526</v>
      </c>
      <c r="E10" s="34">
        <f>C32*'E Balans VL '!I20/100/3.6*1000000</f>
        <v>6.81704127125185</v>
      </c>
      <c r="F10" s="34">
        <f>C32*'E Balans VL '!L20/100/3.6*1000000+C32*'E Balans VL '!N20/100/3.6*1000000</f>
        <v>77.001013965830467</v>
      </c>
      <c r="G10" s="35"/>
      <c r="H10" s="34"/>
      <c r="I10" s="34"/>
      <c r="J10" s="41">
        <f>C32*'E Balans VL '!D20/100/3.6*1000000+C32*'E Balans VL '!E20/100/3.6*1000000</f>
        <v>2.7326455123471674E-3</v>
      </c>
      <c r="K10" s="34"/>
      <c r="L10" s="34"/>
      <c r="M10" s="34"/>
      <c r="N10" s="34">
        <f>C32*'E Balans VL '!Y20/100/3.6*1000000</f>
        <v>10.266275455329424</v>
      </c>
      <c r="O10" s="34"/>
      <c r="P10" s="34"/>
      <c r="R10" s="33"/>
    </row>
    <row r="11" spans="1:18">
      <c r="A11" s="6" t="s">
        <v>40</v>
      </c>
      <c r="B11" s="38">
        <f t="shared" si="0"/>
        <v>11.355</v>
      </c>
      <c r="C11" s="34"/>
      <c r="D11" s="38">
        <f>IF( ISERROR(IND_textiel_gas_kWh/1000),0,IND_textiel_gas_kWh/1000)*0.902</f>
        <v>0</v>
      </c>
      <c r="E11" s="34">
        <f>C33*'E Balans VL '!I21/100/3.6*1000000</f>
        <v>2.2110821708736735E-2</v>
      </c>
      <c r="F11" s="34">
        <f>C33*'E Balans VL '!L21/100/3.6*1000000+C33*'E Balans VL '!N21/100/3.6*1000000</f>
        <v>0.37452516147317727</v>
      </c>
      <c r="G11" s="35"/>
      <c r="H11" s="34"/>
      <c r="I11" s="34"/>
      <c r="J11" s="41">
        <f>C33*'E Balans VL '!D21/100/3.6*1000000+C33*'E Balans VL '!E21/100/3.6*1000000</f>
        <v>0</v>
      </c>
      <c r="K11" s="34"/>
      <c r="L11" s="34"/>
      <c r="M11" s="34"/>
      <c r="N11" s="34">
        <f>C33*'E Balans VL '!Y21/100/3.6*1000000</f>
        <v>0.11778121566317039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13507.977000000001</v>
      </c>
      <c r="C13" s="34"/>
      <c r="D13" s="38">
        <f>IF( ISERROR(IND_papier_gas_kWh/1000),0,IND_papier_gas_kWh/1000)*0.902</f>
        <v>14376.357532899814</v>
      </c>
      <c r="E13" s="34">
        <f>C35*'E Balans VL '!I23/100/3.6*1000000</f>
        <v>460.10128192041134</v>
      </c>
      <c r="F13" s="34">
        <f>C35*'E Balans VL '!L23/100/3.6*1000000+C35*'E Balans VL '!N23/100/3.6*1000000</f>
        <v>2231.200775003962</v>
      </c>
      <c r="G13" s="35"/>
      <c r="H13" s="34"/>
      <c r="I13" s="34"/>
      <c r="J13" s="41">
        <f>C35*'E Balans VL '!D23/100/3.6*1000000+C35*'E Balans VL '!E23/100/3.6*1000000</f>
        <v>0</v>
      </c>
      <c r="K13" s="34"/>
      <c r="L13" s="34"/>
      <c r="M13" s="34"/>
      <c r="N13" s="34">
        <f>C35*'E Balans VL '!Y23/100/3.6*1000000</f>
        <v>4970.5732801389531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172.52600000000001</v>
      </c>
      <c r="C15" s="34"/>
      <c r="D15" s="38">
        <f>IF( ISERROR(IND_rest_gas_kWh/1000),0,IND_rest_gas_kWh/1000)*0.902</f>
        <v>950.67606765257392</v>
      </c>
      <c r="E15" s="34">
        <f>C37*'E Balans VL '!I15/100/3.6*1000000</f>
        <v>1.5502653161083679</v>
      </c>
      <c r="F15" s="34">
        <f>C37*'E Balans VL '!L15/100/3.6*1000000+C37*'E Balans VL '!N15/100/3.6*1000000</f>
        <v>33.973901083224426</v>
      </c>
      <c r="G15" s="35"/>
      <c r="H15" s="34"/>
      <c r="I15" s="34"/>
      <c r="J15" s="41">
        <f>C37*'E Balans VL '!D15/100/3.6*1000000+C37*'E Balans VL '!E15/100/3.6*1000000</f>
        <v>0.86759364256636939</v>
      </c>
      <c r="K15" s="34"/>
      <c r="L15" s="34"/>
      <c r="M15" s="34"/>
      <c r="N15" s="34">
        <f>C37*'E Balans VL '!Y15/100/3.6*1000000</f>
        <v>5.2960936868521955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16719.345000000001</v>
      </c>
      <c r="C18" s="22">
        <f>C5+C16</f>
        <v>0</v>
      </c>
      <c r="D18" s="22">
        <f>MAX((D5+D16),0)</f>
        <v>16987.448949500711</v>
      </c>
      <c r="E18" s="22">
        <f>MAX((E5+E16),0)</f>
        <v>482.66475402549213</v>
      </c>
      <c r="F18" s="22">
        <f>MAX((F5+F16),0)</f>
        <v>4063.4138810333407</v>
      </c>
      <c r="G18" s="22"/>
      <c r="H18" s="22"/>
      <c r="I18" s="22"/>
      <c r="J18" s="22">
        <f>MAX((J5+J16),0)</f>
        <v>4.4343545530295048</v>
      </c>
      <c r="K18" s="22"/>
      <c r="L18" s="22">
        <f>MAX((L5+L16),0)</f>
        <v>0</v>
      </c>
      <c r="M18" s="22"/>
      <c r="N18" s="22">
        <f>MAX((N5+N16),0)</f>
        <v>5148.2712663393804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0.24030329480686702</v>
      </c>
      <c r="C20" s="26">
        <f ca="1">'EF ele_warmte'!B22</f>
        <v>0.23650316418746939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4017.7136905127181</v>
      </c>
      <c r="C22" s="24">
        <f ca="1">C18*C20</f>
        <v>0</v>
      </c>
      <c r="D22" s="24">
        <f>D18*D20</f>
        <v>3431.464687799144</v>
      </c>
      <c r="E22" s="24">
        <f>E18*E20</f>
        <v>109.56489916378672</v>
      </c>
      <c r="F22" s="24">
        <f>F18*F20</f>
        <v>1084.9315062359019</v>
      </c>
      <c r="G22" s="24"/>
      <c r="H22" s="24"/>
      <c r="I22" s="24"/>
      <c r="J22" s="24">
        <f>J18*J20</f>
        <v>1.5697615117724446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205.05699999999999</v>
      </c>
      <c r="C30" s="40">
        <f>IF(ISERROR(B30*3.6/1000000/'E Balans VL '!Z18*100),0,B30*3.6/1000000/'E Balans VL '!Z18*100)</f>
        <v>1.1410050845605577E-2</v>
      </c>
      <c r="D30" s="240" t="s">
        <v>707</v>
      </c>
    </row>
    <row r="31" spans="1:18">
      <c r="A31" s="6" t="s">
        <v>33</v>
      </c>
      <c r="B31" s="38">
        <f>IF( ISERROR(IND_ander_ele_kWh/1000),0,IND_ander_ele_kWh/1000)</f>
        <v>2129.1210000000001</v>
      </c>
      <c r="C31" s="40">
        <f>IF(ISERROR(B31*3.6/1000000/'E Balans VL '!Z19*100),0,B31*3.6/1000000/'E Balans VL '!Z19*100)</f>
        <v>9.8977243573734233E-2</v>
      </c>
      <c r="D31" s="240" t="s">
        <v>707</v>
      </c>
    </row>
    <row r="32" spans="1:18">
      <c r="A32" s="174" t="s">
        <v>41</v>
      </c>
      <c r="B32" s="38">
        <f>IF( ISERROR(IND_voed_ele_kWh/1000),0,IND_voed_ele_kWh/1000)</f>
        <v>693.30899999999997</v>
      </c>
      <c r="C32" s="40">
        <f>IF(ISERROR(B32*3.6/1000000/'E Balans VL '!Z20*100),0,B32*3.6/1000000/'E Balans VL '!Z20*100)</f>
        <v>2.450707295317555E-2</v>
      </c>
      <c r="D32" s="240" t="s">
        <v>707</v>
      </c>
    </row>
    <row r="33" spans="1:5">
      <c r="A33" s="174" t="s">
        <v>40</v>
      </c>
      <c r="B33" s="38">
        <f>IF( ISERROR(IND_textiel_ele_kWh/1000),0,IND_textiel_ele_kWh/1000)</f>
        <v>11.355</v>
      </c>
      <c r="C33" s="40">
        <f>IF(ISERROR(B33*3.6/1000000/'E Balans VL '!Z21*100),0,B33*3.6/1000000/'E Balans VL '!Z21*100)</f>
        <v>1.5336650500503252E-3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13507.977000000001</v>
      </c>
      <c r="C35" s="40">
        <f>IF(ISERROR(B35*3.6/1000000/'E Balans VL '!Z22*100),0,B35*3.6/1000000/'E Balans VL '!Z22*100)</f>
        <v>2.7147224649173722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172.52600000000001</v>
      </c>
      <c r="C37" s="40">
        <f>IF(ISERROR(B37*3.6/1000000/'E Balans VL '!Z15*100),0,B37*3.6/1000000/'E Balans VL '!Z15*100)</f>
        <v>1.3028261594405621E-3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2563.2109999999998</v>
      </c>
      <c r="C5" s="18">
        <f>'Eigen informatie GS &amp; warmtenet'!B60</f>
        <v>0</v>
      </c>
      <c r="D5" s="31">
        <f>IF(ISERROR(SUM(LB_lb_gas_kWh,LB_rest_gas_kWh)/1000),0,SUM(LB_lb_gas_kWh,LB_rest_gas_kWh)/1000)*0.902</f>
        <v>33613.041820121951</v>
      </c>
      <c r="E5" s="18">
        <f>B17*'E Balans VL '!I25/3.6*1000000/100</f>
        <v>24.147165027706286</v>
      </c>
      <c r="F5" s="18">
        <f>B17*('E Balans VL '!L25/3.6*1000000+'E Balans VL '!N25/3.6*1000000)/100</f>
        <v>8364.6081480236007</v>
      </c>
      <c r="G5" s="19"/>
      <c r="H5" s="18"/>
      <c r="I5" s="18"/>
      <c r="J5" s="18">
        <f>('E Balans VL '!D25+'E Balans VL '!E25)/3.6*1000000*landbouw!B17/100</f>
        <v>317.08166815590909</v>
      </c>
      <c r="K5" s="18"/>
      <c r="L5" s="18">
        <f>L6*(-1)</f>
        <v>0</v>
      </c>
      <c r="M5" s="18"/>
      <c r="N5" s="18">
        <f>N6*(-1)</f>
        <v>124.71428571428569</v>
      </c>
      <c r="O5" s="18"/>
      <c r="P5" s="18"/>
      <c r="R5" s="33"/>
    </row>
    <row r="6" spans="1:18">
      <c r="A6" s="17" t="s">
        <v>502</v>
      </c>
      <c r="B6" s="18" t="s">
        <v>211</v>
      </c>
      <c r="C6" s="18">
        <f>'lokale energieproductie'!O92+'lokale energieproductie'!O61</f>
        <v>12919.5</v>
      </c>
      <c r="D6" s="312">
        <f>('lokale energieproductie'!P61+'lokale energieproductie'!P92)*(-1)</f>
        <v>-25714.285714285717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2563.2109999999998</v>
      </c>
      <c r="C8" s="22">
        <f>C5+C6</f>
        <v>12919.5</v>
      </c>
      <c r="D8" s="22">
        <f>MAX((D5+D6),0)</f>
        <v>7898.7561058362335</v>
      </c>
      <c r="E8" s="22">
        <f>MAX((E5+E6),0)</f>
        <v>24.147165027706286</v>
      </c>
      <c r="F8" s="22">
        <f>MAX((F5+F6),0)</f>
        <v>8364.6081480236007</v>
      </c>
      <c r="G8" s="22"/>
      <c r="H8" s="22"/>
      <c r="I8" s="22"/>
      <c r="J8" s="22">
        <f>MAX((J5+J6),0)</f>
        <v>317.08166815590909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0.24030329480686702</v>
      </c>
      <c r="C10" s="32">
        <f ca="1">'EF ele_warmte'!B22</f>
        <v>0.23650316418746939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615.94804858520433</v>
      </c>
      <c r="C12" s="24">
        <f ca="1">C8*C10</f>
        <v>3055.5026297200106</v>
      </c>
      <c r="D12" s="24">
        <f>D8*D10</f>
        <v>1595.5487333789192</v>
      </c>
      <c r="E12" s="24">
        <f>E8*E10</f>
        <v>5.4814064612893274</v>
      </c>
      <c r="F12" s="24">
        <f>F8*F10</f>
        <v>2233.3503755223014</v>
      </c>
      <c r="G12" s="24"/>
      <c r="H12" s="24"/>
      <c r="I12" s="24"/>
      <c r="J12" s="24">
        <f>J8*J10</f>
        <v>112.24691052719182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0.34701781059754877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703.89471504113294</v>
      </c>
      <c r="C26" s="250">
        <f>B26*'GWP N2O_CH4'!B5</f>
        <v>14781.789015863791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214.14328930896906</v>
      </c>
      <c r="C27" s="250">
        <f>B27*'GWP N2O_CH4'!B5</f>
        <v>4497.0090754883504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10.063426564414684</v>
      </c>
      <c r="C28" s="250">
        <f>B28*'GWP N2O_CH4'!B4</f>
        <v>3119.6622349685517</v>
      </c>
      <c r="D28" s="51"/>
    </row>
    <row r="29" spans="1:4">
      <c r="A29" s="42" t="s">
        <v>277</v>
      </c>
      <c r="B29" s="250">
        <f>B34*'ha_N2O bodem landbouw'!B4</f>
        <v>18.470956896516423</v>
      </c>
      <c r="C29" s="250">
        <f>B29*'GWP N2O_CH4'!B4</f>
        <v>5725.9966379200914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4.9865768914075723E-3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1.9343382511793908E-5</v>
      </c>
      <c r="C5" s="447" t="s">
        <v>211</v>
      </c>
      <c r="D5" s="432">
        <f>SUM(D6:D11)</f>
        <v>5.2122573583142097E-5</v>
      </c>
      <c r="E5" s="432">
        <f>SUM(E6:E11)</f>
        <v>3.4987379131558114E-3</v>
      </c>
      <c r="F5" s="445" t="s">
        <v>211</v>
      </c>
      <c r="G5" s="432">
        <f>SUM(G6:G11)</f>
        <v>0.72358557920488442</v>
      </c>
      <c r="H5" s="432">
        <f>SUM(H6:H11)</f>
        <v>0.12016942125221461</v>
      </c>
      <c r="I5" s="447" t="s">
        <v>211</v>
      </c>
      <c r="J5" s="447" t="s">
        <v>211</v>
      </c>
      <c r="K5" s="447" t="s">
        <v>211</v>
      </c>
      <c r="L5" s="447" t="s">
        <v>211</v>
      </c>
      <c r="M5" s="432">
        <f>SUM(M6:M11)</f>
        <v>3.7718480456798341E-2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5.3468032101805855E-6</v>
      </c>
      <c r="C6" s="433"/>
      <c r="D6" s="433">
        <f>vkm_2011_GW_PW*SUMIFS(TableVerdeelsleutelVkm[CNG],TableVerdeelsleutelVkm[Voertuigtype],"Lichte voertuigen")*SUMIFS(TableECFTransport[EnergieConsumptieFactor (PJ per km)],TableECFTransport[Index],CONCATENATE($A6,"_CNG_CNG"))</f>
        <v>1.3056982982743507E-5</v>
      </c>
      <c r="E6" s="435">
        <f>vkm_2011_GW_PW*SUMIFS(TableVerdeelsleutelVkm[LPG],TableVerdeelsleutelVkm[Voertuigtype],"Lichte voertuigen")*SUMIFS(TableECFTransport[EnergieConsumptieFactor (PJ per km)],TableECFTransport[Index],CONCATENATE($A6,"_LPG_LPG"))</f>
        <v>7.7395047454361212E-4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0.11188364544341156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2.9321489113127201E-2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6.3234259706467094E-3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3.3004088727013534E-2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1.3315863080084749E-5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1.4703219413949007E-3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1.9911430337150648E-6</v>
      </c>
      <c r="C8" s="433"/>
      <c r="D8" s="435">
        <f>vkm_2011_NGW_PW*SUMIFS(TableVerdeelsleutelVkm[CNG],TableVerdeelsleutelVkm[Voertuigtype],"Lichte voertuigen")*SUMIFS(TableECFTransport[EnergieConsumptieFactor (PJ per km)],TableECFTransport[Index],CONCATENATE($A8,"_CNG_CNG"))</f>
        <v>8.7239800416545309E-6</v>
      </c>
      <c r="E8" s="435">
        <f>vkm_2011_NGW_PW*SUMIFS(TableVerdeelsleutelVkm[LPG],TableVerdeelsleutelVkm[Voertuigtype],"Lichte voertuigen")*SUMIFS(TableECFTransport[EnergieConsumptieFactor (PJ per km)],TableECFTransport[Index],CONCATENATE($A8,"_LPG_LPG"))</f>
        <v>4.7439881898719551E-4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6.4786428170077501E-2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1.8760339674623663E-2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3.7430818470852354E-3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1.0986459195264491E-2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3.8594522357089104E-6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4.8941714291578741E-4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1.200543626789826E-5</v>
      </c>
      <c r="C10" s="433"/>
      <c r="D10" s="435">
        <f>vkm_2011_SW_PW*SUMIFS(TableVerdeelsleutelVkm[CNG],TableVerdeelsleutelVkm[Voertuigtype],"Lichte voertuigen")*SUMIFS(TableECFTransport[EnergieConsumptieFactor (PJ per km)],TableECFTransport[Index],CONCATENATE($A10,"_CNG_CNG"))</f>
        <v>3.0341610558744055E-5</v>
      </c>
      <c r="E10" s="435">
        <f>vkm_2011_SW_PW*SUMIFS(TableVerdeelsleutelVkm[LPG],TableVerdeelsleutelVkm[Voertuigtype],"Lichte voertuigen")*SUMIFS(TableECFTransport[EnergieConsumptieFactor (PJ per km)],TableECFTransport[Index],CONCATENATE($A10,"_LPG_LPG"))</f>
        <v>2.2503886196250035E-3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0.29647611413688879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7.1982046433749933E-2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1.6494769253693392E-2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0.20644884353222848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8.8370715398017446E-5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9.1974643010623181E-3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5.3731618088316413</v>
      </c>
      <c r="C14" s="22"/>
      <c r="D14" s="22">
        <f t="shared" ref="D14:M14" si="0">((D5)*10^9/3600)+D12</f>
        <v>14.478492661983916</v>
      </c>
      <c r="E14" s="22">
        <f t="shared" si="0"/>
        <v>971.87164254328093</v>
      </c>
      <c r="F14" s="22"/>
      <c r="G14" s="22">
        <f t="shared" si="0"/>
        <v>200995.99422357901</v>
      </c>
      <c r="H14" s="22">
        <f t="shared" si="0"/>
        <v>33380.394792281833</v>
      </c>
      <c r="I14" s="22"/>
      <c r="J14" s="22"/>
      <c r="K14" s="22"/>
      <c r="L14" s="22"/>
      <c r="M14" s="22">
        <f t="shared" si="0"/>
        <v>10477.355682443982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0.24030329480686702</v>
      </c>
      <c r="C16" s="57">
        <f ca="1">'EF ele_warmte'!B22</f>
        <v>0.23650316418746939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1.2911884861926688</v>
      </c>
      <c r="C18" s="24"/>
      <c r="D18" s="24">
        <f t="shared" ref="D18:M18" si="1">D14*D16</f>
        <v>2.9246555177207512</v>
      </c>
      <c r="E18" s="24">
        <f t="shared" si="1"/>
        <v>220.61486285732477</v>
      </c>
      <c r="F18" s="24"/>
      <c r="G18" s="24">
        <f t="shared" si="1"/>
        <v>53665.930457695598</v>
      </c>
      <c r="H18" s="24">
        <f t="shared" si="1"/>
        <v>8311.7183032781759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5.2798818684893466E-3</v>
      </c>
      <c r="H50" s="323">
        <f t="shared" si="2"/>
        <v>0</v>
      </c>
      <c r="I50" s="323">
        <f t="shared" si="2"/>
        <v>0</v>
      </c>
      <c r="J50" s="323">
        <f t="shared" si="2"/>
        <v>0</v>
      </c>
      <c r="K50" s="323">
        <f t="shared" si="2"/>
        <v>0</v>
      </c>
      <c r="L50" s="323">
        <f t="shared" si="2"/>
        <v>0</v>
      </c>
      <c r="M50" s="323">
        <f t="shared" si="2"/>
        <v>2.3184832255531115E-4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5.2798818684893466E-3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2.3184832255531115E-4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1466.6338523581519</v>
      </c>
      <c r="H54" s="22">
        <f t="shared" si="3"/>
        <v>0</v>
      </c>
      <c r="I54" s="22">
        <f t="shared" si="3"/>
        <v>0</v>
      </c>
      <c r="J54" s="22">
        <f t="shared" si="3"/>
        <v>0</v>
      </c>
      <c r="K54" s="22">
        <f t="shared" si="3"/>
        <v>0</v>
      </c>
      <c r="L54" s="22">
        <f t="shared" si="3"/>
        <v>0</v>
      </c>
      <c r="M54" s="22">
        <f t="shared" si="3"/>
        <v>64.402311820919763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0.24030329480686702</v>
      </c>
      <c r="C56" s="57">
        <f ca="1">'EF ele_warmte'!B22</f>
        <v>0.23650316418746939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391.59123857962658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16210.884</v>
      </c>
      <c r="D10" s="688">
        <f ca="1">tertiair!C16</f>
        <v>35.357142857142861</v>
      </c>
      <c r="E10" s="688">
        <f ca="1">tertiair!D16</f>
        <v>15211.591363634403</v>
      </c>
      <c r="F10" s="688">
        <f>tertiair!E16</f>
        <v>171.32347628830442</v>
      </c>
      <c r="G10" s="688">
        <f ca="1">tertiair!F16</f>
        <v>3038.3485343601778</v>
      </c>
      <c r="H10" s="688">
        <f>tertiair!G16</f>
        <v>0</v>
      </c>
      <c r="I10" s="688">
        <f>tertiair!H16</f>
        <v>0</v>
      </c>
      <c r="J10" s="688">
        <f>tertiair!I16</f>
        <v>0</v>
      </c>
      <c r="K10" s="688">
        <f>tertiair!J16</f>
        <v>0</v>
      </c>
      <c r="L10" s="688">
        <f>tertiair!K16</f>
        <v>0</v>
      </c>
      <c r="M10" s="688">
        <f ca="1">tertiair!L16</f>
        <v>0</v>
      </c>
      <c r="N10" s="688">
        <f>tertiair!M16</f>
        <v>0</v>
      </c>
      <c r="O10" s="688">
        <f ca="1">tertiair!N16</f>
        <v>898.45816270083776</v>
      </c>
      <c r="P10" s="688">
        <f>tertiair!O16</f>
        <v>0</v>
      </c>
      <c r="Q10" s="689">
        <f>tertiair!P16</f>
        <v>0</v>
      </c>
      <c r="R10" s="691">
        <f ca="1">SUM(C10:Q10)</f>
        <v>35565.962679840864</v>
      </c>
      <c r="S10" s="68"/>
    </row>
    <row r="11" spans="1:19" s="457" customFormat="1">
      <c r="A11" s="803" t="s">
        <v>225</v>
      </c>
      <c r="B11" s="808"/>
      <c r="C11" s="688">
        <f>huishoudens!B8</f>
        <v>28472.096608425018</v>
      </c>
      <c r="D11" s="688">
        <f>huishoudens!C8</f>
        <v>0</v>
      </c>
      <c r="E11" s="688">
        <f>huishoudens!D8</f>
        <v>57294.768917715126</v>
      </c>
      <c r="F11" s="688">
        <f>huishoudens!E8</f>
        <v>3530.9427404221865</v>
      </c>
      <c r="G11" s="688">
        <f>huishoudens!F8</f>
        <v>17874.46522426638</v>
      </c>
      <c r="H11" s="688">
        <f>huishoudens!G8</f>
        <v>0</v>
      </c>
      <c r="I11" s="688">
        <f>huishoudens!H8</f>
        <v>0</v>
      </c>
      <c r="J11" s="688">
        <f>huishoudens!I8</f>
        <v>0</v>
      </c>
      <c r="K11" s="688">
        <f>huishoudens!J8</f>
        <v>362.90571644736599</v>
      </c>
      <c r="L11" s="688">
        <f>huishoudens!K8</f>
        <v>0</v>
      </c>
      <c r="M11" s="688">
        <f>huishoudens!L8</f>
        <v>0</v>
      </c>
      <c r="N11" s="688">
        <f>huishoudens!M8</f>
        <v>0</v>
      </c>
      <c r="O11" s="688">
        <f>huishoudens!N8</f>
        <v>14549.382721130656</v>
      </c>
      <c r="P11" s="688">
        <f>huishoudens!O8</f>
        <v>65.660000000000011</v>
      </c>
      <c r="Q11" s="689">
        <f>huishoudens!P8</f>
        <v>305.06666666666666</v>
      </c>
      <c r="R11" s="691">
        <f>SUM(C11:Q11)</f>
        <v>122455.28859507341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16719.345000000001</v>
      </c>
      <c r="D13" s="688">
        <f>industrie!C18</f>
        <v>0</v>
      </c>
      <c r="E13" s="688">
        <f>industrie!D18</f>
        <v>16987.448949500711</v>
      </c>
      <c r="F13" s="688">
        <f>industrie!E18</f>
        <v>482.66475402549213</v>
      </c>
      <c r="G13" s="688">
        <f>industrie!F18</f>
        <v>4063.4138810333407</v>
      </c>
      <c r="H13" s="688">
        <f>industrie!G18</f>
        <v>0</v>
      </c>
      <c r="I13" s="688">
        <f>industrie!H18</f>
        <v>0</v>
      </c>
      <c r="J13" s="688">
        <f>industrie!I18</f>
        <v>0</v>
      </c>
      <c r="K13" s="688">
        <f>industrie!J18</f>
        <v>4.4343545530295048</v>
      </c>
      <c r="L13" s="688">
        <f>industrie!K18</f>
        <v>0</v>
      </c>
      <c r="M13" s="688">
        <f>industrie!L18</f>
        <v>0</v>
      </c>
      <c r="N13" s="688">
        <f>industrie!M18</f>
        <v>0</v>
      </c>
      <c r="O13" s="688">
        <f>industrie!N18</f>
        <v>5148.2712663393804</v>
      </c>
      <c r="P13" s="688">
        <f>industrie!O18</f>
        <v>0</v>
      </c>
      <c r="Q13" s="689">
        <f>industrie!P18</f>
        <v>0</v>
      </c>
      <c r="R13" s="691">
        <f>SUM(C13:Q13)</f>
        <v>43405.578205451959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61402.325608425017</v>
      </c>
      <c r="D16" s="721">
        <f t="shared" ref="D16:R16" ca="1" si="0">SUM(D9:D15)</f>
        <v>35.357142857142861</v>
      </c>
      <c r="E16" s="721">
        <f t="shared" ca="1" si="0"/>
        <v>89493.809230850238</v>
      </c>
      <c r="F16" s="721">
        <f t="shared" si="0"/>
        <v>4184.9309707359826</v>
      </c>
      <c r="G16" s="721">
        <f t="shared" ca="1" si="0"/>
        <v>24976.227639659897</v>
      </c>
      <c r="H16" s="721">
        <f t="shared" si="0"/>
        <v>0</v>
      </c>
      <c r="I16" s="721">
        <f t="shared" si="0"/>
        <v>0</v>
      </c>
      <c r="J16" s="721">
        <f t="shared" si="0"/>
        <v>0</v>
      </c>
      <c r="K16" s="721">
        <f t="shared" si="0"/>
        <v>367.34007100039548</v>
      </c>
      <c r="L16" s="721">
        <f t="shared" si="0"/>
        <v>0</v>
      </c>
      <c r="M16" s="721">
        <f t="shared" ca="1" si="0"/>
        <v>0</v>
      </c>
      <c r="N16" s="721">
        <f t="shared" si="0"/>
        <v>0</v>
      </c>
      <c r="O16" s="721">
        <f t="shared" ca="1" si="0"/>
        <v>20596.112150170873</v>
      </c>
      <c r="P16" s="721">
        <f t="shared" si="0"/>
        <v>65.660000000000011</v>
      </c>
      <c r="Q16" s="721">
        <f t="shared" si="0"/>
        <v>305.06666666666666</v>
      </c>
      <c r="R16" s="721">
        <f t="shared" ca="1" si="0"/>
        <v>201426.82948036623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1466.6338523581519</v>
      </c>
      <c r="I19" s="688">
        <f>transport!H54</f>
        <v>0</v>
      </c>
      <c r="J19" s="688">
        <f>transport!I54</f>
        <v>0</v>
      </c>
      <c r="K19" s="688">
        <f>transport!J54</f>
        <v>0</v>
      </c>
      <c r="L19" s="688">
        <f>transport!K54</f>
        <v>0</v>
      </c>
      <c r="M19" s="688">
        <f>transport!L54</f>
        <v>0</v>
      </c>
      <c r="N19" s="688">
        <f>transport!M54</f>
        <v>64.402311820919763</v>
      </c>
      <c r="O19" s="688">
        <f>transport!N54</f>
        <v>0</v>
      </c>
      <c r="P19" s="688">
        <f>transport!O54</f>
        <v>0</v>
      </c>
      <c r="Q19" s="689">
        <f>transport!P54</f>
        <v>0</v>
      </c>
      <c r="R19" s="691">
        <f>SUM(C19:Q19)</f>
        <v>1531.0361641790716</v>
      </c>
      <c r="S19" s="68"/>
    </row>
    <row r="20" spans="1:19" s="457" customFormat="1">
      <c r="A20" s="803" t="s">
        <v>307</v>
      </c>
      <c r="B20" s="808"/>
      <c r="C20" s="688">
        <f>transport!B14</f>
        <v>5.3731618088316413</v>
      </c>
      <c r="D20" s="688">
        <f>transport!C14</f>
        <v>0</v>
      </c>
      <c r="E20" s="688">
        <f>transport!D14</f>
        <v>14.478492661983916</v>
      </c>
      <c r="F20" s="688">
        <f>transport!E14</f>
        <v>971.87164254328093</v>
      </c>
      <c r="G20" s="688">
        <f>transport!F14</f>
        <v>0</v>
      </c>
      <c r="H20" s="688">
        <f>transport!G14</f>
        <v>200995.99422357901</v>
      </c>
      <c r="I20" s="688">
        <f>transport!H14</f>
        <v>33380.394792281833</v>
      </c>
      <c r="J20" s="688">
        <f>transport!I14</f>
        <v>0</v>
      </c>
      <c r="K20" s="688">
        <f>transport!J14</f>
        <v>0</v>
      </c>
      <c r="L20" s="688">
        <f>transport!K14</f>
        <v>0</v>
      </c>
      <c r="M20" s="688">
        <f>transport!L14</f>
        <v>0</v>
      </c>
      <c r="N20" s="688">
        <f>transport!M14</f>
        <v>10477.355682443982</v>
      </c>
      <c r="O20" s="688">
        <f>transport!N14</f>
        <v>0</v>
      </c>
      <c r="P20" s="688">
        <f>transport!O14</f>
        <v>0</v>
      </c>
      <c r="Q20" s="689">
        <f>transport!P14</f>
        <v>0</v>
      </c>
      <c r="R20" s="691">
        <f>SUM(C20:Q20)</f>
        <v>245845.4679953189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5.3731618088316413</v>
      </c>
      <c r="D22" s="806">
        <f t="shared" ref="D22:R22" si="1">SUM(D18:D21)</f>
        <v>0</v>
      </c>
      <c r="E22" s="806">
        <f t="shared" si="1"/>
        <v>14.478492661983916</v>
      </c>
      <c r="F22" s="806">
        <f t="shared" si="1"/>
        <v>971.87164254328093</v>
      </c>
      <c r="G22" s="806">
        <f t="shared" si="1"/>
        <v>0</v>
      </c>
      <c r="H22" s="806">
        <f t="shared" si="1"/>
        <v>202462.62807593716</v>
      </c>
      <c r="I22" s="806">
        <f t="shared" si="1"/>
        <v>33380.394792281833</v>
      </c>
      <c r="J22" s="806">
        <f t="shared" si="1"/>
        <v>0</v>
      </c>
      <c r="K22" s="806">
        <f t="shared" si="1"/>
        <v>0</v>
      </c>
      <c r="L22" s="806">
        <f t="shared" si="1"/>
        <v>0</v>
      </c>
      <c r="M22" s="806">
        <f t="shared" si="1"/>
        <v>0</v>
      </c>
      <c r="N22" s="806">
        <f t="shared" si="1"/>
        <v>10541.757994264903</v>
      </c>
      <c r="O22" s="806">
        <f t="shared" si="1"/>
        <v>0</v>
      </c>
      <c r="P22" s="806">
        <f t="shared" si="1"/>
        <v>0</v>
      </c>
      <c r="Q22" s="806">
        <f t="shared" si="1"/>
        <v>0</v>
      </c>
      <c r="R22" s="806">
        <f t="shared" si="1"/>
        <v>247376.50415949797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2563.2109999999998</v>
      </c>
      <c r="D24" s="688">
        <f>+landbouw!C8</f>
        <v>12919.5</v>
      </c>
      <c r="E24" s="688">
        <f>+landbouw!D8</f>
        <v>7898.7561058362335</v>
      </c>
      <c r="F24" s="688">
        <f>+landbouw!E8</f>
        <v>24.147165027706286</v>
      </c>
      <c r="G24" s="688">
        <f>+landbouw!F8</f>
        <v>8364.6081480236007</v>
      </c>
      <c r="H24" s="688">
        <f>+landbouw!G8</f>
        <v>0</v>
      </c>
      <c r="I24" s="688">
        <f>+landbouw!H8</f>
        <v>0</v>
      </c>
      <c r="J24" s="688">
        <f>+landbouw!I8</f>
        <v>0</v>
      </c>
      <c r="K24" s="688">
        <f>+landbouw!J8</f>
        <v>317.08166815590909</v>
      </c>
      <c r="L24" s="688">
        <f>+landbouw!K8</f>
        <v>0</v>
      </c>
      <c r="M24" s="688">
        <f>+landbouw!L8</f>
        <v>0</v>
      </c>
      <c r="N24" s="688">
        <f>+landbouw!M8</f>
        <v>0</v>
      </c>
      <c r="O24" s="688">
        <f>+landbouw!N8</f>
        <v>0</v>
      </c>
      <c r="P24" s="688">
        <f>+landbouw!O8</f>
        <v>0</v>
      </c>
      <c r="Q24" s="689">
        <f>+landbouw!P8</f>
        <v>0</v>
      </c>
      <c r="R24" s="691">
        <f>SUM(C24:Q24)</f>
        <v>32087.304087043449</v>
      </c>
      <c r="S24" s="68"/>
    </row>
    <row r="25" spans="1:19" s="457" customFormat="1" ht="15" thickBot="1">
      <c r="A25" s="825" t="s">
        <v>912</v>
      </c>
      <c r="B25" s="1001"/>
      <c r="C25" s="1002">
        <f>IF(Onbekend_ele_kWh="---",0,Onbekend_ele_kWh)/1000+IF(REST_rest_ele_kWh="---",0,REST_rest_ele_kWh)/1000</f>
        <v>535.947</v>
      </c>
      <c r="D25" s="1002"/>
      <c r="E25" s="1002">
        <f>IF(onbekend_gas_kWh="---",0,onbekend_gas_kWh)/1000+IF(REST_rest_gas_kWh="---",0,REST_rest_gas_kWh)/1000</f>
        <v>2536.1173097351102</v>
      </c>
      <c r="F25" s="1002"/>
      <c r="G25" s="1002"/>
      <c r="H25" s="1002"/>
      <c r="I25" s="1002"/>
      <c r="J25" s="1002"/>
      <c r="K25" s="1002"/>
      <c r="L25" s="1002"/>
      <c r="M25" s="1002"/>
      <c r="N25" s="1002"/>
      <c r="O25" s="1002"/>
      <c r="P25" s="1002"/>
      <c r="Q25" s="1003"/>
      <c r="R25" s="691">
        <f>SUM(C25:Q25)</f>
        <v>3072.0643097351103</v>
      </c>
      <c r="S25" s="68"/>
    </row>
    <row r="26" spans="1:19" s="457" customFormat="1" ht="15.75" thickBot="1">
      <c r="A26" s="694" t="s">
        <v>913</v>
      </c>
      <c r="B26" s="811"/>
      <c r="C26" s="806">
        <f>SUM(C24:C25)</f>
        <v>3099.1579999999999</v>
      </c>
      <c r="D26" s="806">
        <f t="shared" ref="D26:R26" si="2">SUM(D24:D25)</f>
        <v>12919.5</v>
      </c>
      <c r="E26" s="806">
        <f t="shared" si="2"/>
        <v>10434.873415571343</v>
      </c>
      <c r="F26" s="806">
        <f t="shared" si="2"/>
        <v>24.147165027706286</v>
      </c>
      <c r="G26" s="806">
        <f t="shared" si="2"/>
        <v>8364.6081480236007</v>
      </c>
      <c r="H26" s="806">
        <f t="shared" si="2"/>
        <v>0</v>
      </c>
      <c r="I26" s="806">
        <f t="shared" si="2"/>
        <v>0</v>
      </c>
      <c r="J26" s="806">
        <f t="shared" si="2"/>
        <v>0</v>
      </c>
      <c r="K26" s="806">
        <f t="shared" si="2"/>
        <v>317.08166815590909</v>
      </c>
      <c r="L26" s="806">
        <f t="shared" si="2"/>
        <v>0</v>
      </c>
      <c r="M26" s="806">
        <f t="shared" si="2"/>
        <v>0</v>
      </c>
      <c r="N26" s="806">
        <f t="shared" si="2"/>
        <v>0</v>
      </c>
      <c r="O26" s="806">
        <f t="shared" si="2"/>
        <v>0</v>
      </c>
      <c r="P26" s="806">
        <f t="shared" si="2"/>
        <v>0</v>
      </c>
      <c r="Q26" s="806">
        <f t="shared" si="2"/>
        <v>0</v>
      </c>
      <c r="R26" s="806">
        <f t="shared" si="2"/>
        <v>35159.368396778562</v>
      </c>
      <c r="S26" s="68"/>
    </row>
    <row r="27" spans="1:19" s="457" customFormat="1" ht="17.25" thickTop="1" thickBot="1">
      <c r="A27" s="695" t="s">
        <v>116</v>
      </c>
      <c r="B27" s="798"/>
      <c r="C27" s="696">
        <f ca="1">C22+C16+C26</f>
        <v>64506.856770233855</v>
      </c>
      <c r="D27" s="696">
        <f t="shared" ref="D27:R27" ca="1" si="3">D22+D16+D26</f>
        <v>12954.857142857143</v>
      </c>
      <c r="E27" s="696">
        <f t="shared" ca="1" si="3"/>
        <v>99943.161139083575</v>
      </c>
      <c r="F27" s="696">
        <f t="shared" si="3"/>
        <v>5180.9497783069701</v>
      </c>
      <c r="G27" s="696">
        <f t="shared" ca="1" si="3"/>
        <v>33340.8357876835</v>
      </c>
      <c r="H27" s="696">
        <f t="shared" si="3"/>
        <v>202462.62807593716</v>
      </c>
      <c r="I27" s="696">
        <f t="shared" si="3"/>
        <v>33380.394792281833</v>
      </c>
      <c r="J27" s="696">
        <f t="shared" si="3"/>
        <v>0</v>
      </c>
      <c r="K27" s="696">
        <f t="shared" si="3"/>
        <v>684.42173915630451</v>
      </c>
      <c r="L27" s="696">
        <f t="shared" si="3"/>
        <v>0</v>
      </c>
      <c r="M27" s="696">
        <f t="shared" ca="1" si="3"/>
        <v>0</v>
      </c>
      <c r="N27" s="696">
        <f t="shared" si="3"/>
        <v>10541.757994264903</v>
      </c>
      <c r="O27" s="696">
        <f t="shared" ca="1" si="3"/>
        <v>20596.112150170873</v>
      </c>
      <c r="P27" s="696">
        <f t="shared" si="3"/>
        <v>65.660000000000011</v>
      </c>
      <c r="Q27" s="696">
        <f t="shared" si="3"/>
        <v>305.06666666666666</v>
      </c>
      <c r="R27" s="696">
        <f t="shared" ca="1" si="3"/>
        <v>483962.70203664282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3895.5288369319237</v>
      </c>
      <c r="D40" s="688">
        <f ca="1">tertiair!C20</f>
        <v>8.3620761623426692</v>
      </c>
      <c r="E40" s="688">
        <f ca="1">tertiair!D20</f>
        <v>3072.7414554541497</v>
      </c>
      <c r="F40" s="688">
        <f>tertiair!E20</f>
        <v>38.890429117445102</v>
      </c>
      <c r="G40" s="688">
        <f ca="1">tertiair!F20</f>
        <v>811.2390586741675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7826.7618563400292</v>
      </c>
    </row>
    <row r="41" spans="1:18">
      <c r="A41" s="816" t="s">
        <v>225</v>
      </c>
      <c r="B41" s="823"/>
      <c r="C41" s="688">
        <f ca="1">huishoudens!B12</f>
        <v>6841.9386250639554</v>
      </c>
      <c r="D41" s="688">
        <f ca="1">huishoudens!C12</f>
        <v>0</v>
      </c>
      <c r="E41" s="688">
        <f>huishoudens!D12</f>
        <v>11573.543321378456</v>
      </c>
      <c r="F41" s="688">
        <f>huishoudens!E12</f>
        <v>801.52400207583639</v>
      </c>
      <c r="G41" s="688">
        <f>huishoudens!F12</f>
        <v>4772.4822148791236</v>
      </c>
      <c r="H41" s="688">
        <f>huishoudens!G12</f>
        <v>0</v>
      </c>
      <c r="I41" s="688">
        <f>huishoudens!H12</f>
        <v>0</v>
      </c>
      <c r="J41" s="688">
        <f>huishoudens!I12</f>
        <v>0</v>
      </c>
      <c r="K41" s="688">
        <f>huishoudens!J12</f>
        <v>128.46862362236755</v>
      </c>
      <c r="L41" s="688">
        <f>huishoudens!K12</f>
        <v>0</v>
      </c>
      <c r="M41" s="688">
        <f>huishoudens!L12</f>
        <v>0</v>
      </c>
      <c r="N41" s="688">
        <f>huishoudens!M12</f>
        <v>0</v>
      </c>
      <c r="O41" s="688">
        <f>huishoudens!N12</f>
        <v>0</v>
      </c>
      <c r="P41" s="688">
        <f>huishoudens!O12</f>
        <v>0</v>
      </c>
      <c r="Q41" s="763">
        <f>huishoudens!P12</f>
        <v>0</v>
      </c>
      <c r="R41" s="844">
        <f t="shared" ca="1" si="4"/>
        <v>24117.956787019739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4017.7136905127181</v>
      </c>
      <c r="D43" s="688">
        <f ca="1">industrie!C22</f>
        <v>0</v>
      </c>
      <c r="E43" s="688">
        <f>industrie!D22</f>
        <v>3431.464687799144</v>
      </c>
      <c r="F43" s="688">
        <f>industrie!E22</f>
        <v>109.56489916378672</v>
      </c>
      <c r="G43" s="688">
        <f>industrie!F22</f>
        <v>1084.9315062359019</v>
      </c>
      <c r="H43" s="688">
        <f>industrie!G22</f>
        <v>0</v>
      </c>
      <c r="I43" s="688">
        <f>industrie!H22</f>
        <v>0</v>
      </c>
      <c r="J43" s="688">
        <f>industrie!I22</f>
        <v>0</v>
      </c>
      <c r="K43" s="688">
        <f>industrie!J22</f>
        <v>1.5697615117724446</v>
      </c>
      <c r="L43" s="688">
        <f>industrie!K22</f>
        <v>0</v>
      </c>
      <c r="M43" s="688">
        <f>industrie!L22</f>
        <v>0</v>
      </c>
      <c r="N43" s="688">
        <f>industrie!M22</f>
        <v>0</v>
      </c>
      <c r="O43" s="688">
        <f>industrie!N22</f>
        <v>0</v>
      </c>
      <c r="P43" s="688">
        <f>industrie!O22</f>
        <v>0</v>
      </c>
      <c r="Q43" s="763">
        <f>industrie!P22</f>
        <v>0</v>
      </c>
      <c r="R43" s="843">
        <f t="shared" ca="1" si="4"/>
        <v>8645.2445452233242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14755.181152508598</v>
      </c>
      <c r="D46" s="721">
        <f t="shared" ref="D46:Q46" ca="1" si="5">SUM(D39:D45)</f>
        <v>8.3620761623426692</v>
      </c>
      <c r="E46" s="721">
        <f t="shared" ca="1" si="5"/>
        <v>18077.74946463175</v>
      </c>
      <c r="F46" s="721">
        <f t="shared" si="5"/>
        <v>949.97933035706819</v>
      </c>
      <c r="G46" s="721">
        <f t="shared" ca="1" si="5"/>
        <v>6668.6527797891931</v>
      </c>
      <c r="H46" s="721">
        <f t="shared" si="5"/>
        <v>0</v>
      </c>
      <c r="I46" s="721">
        <f t="shared" si="5"/>
        <v>0</v>
      </c>
      <c r="J46" s="721">
        <f t="shared" si="5"/>
        <v>0</v>
      </c>
      <c r="K46" s="721">
        <f t="shared" si="5"/>
        <v>130.03838513413999</v>
      </c>
      <c r="L46" s="721">
        <f t="shared" si="5"/>
        <v>0</v>
      </c>
      <c r="M46" s="721">
        <f t="shared" ca="1" si="5"/>
        <v>0</v>
      </c>
      <c r="N46" s="721">
        <f t="shared" si="5"/>
        <v>0</v>
      </c>
      <c r="O46" s="721">
        <f t="shared" ca="1" si="5"/>
        <v>0</v>
      </c>
      <c r="P46" s="721">
        <f t="shared" si="5"/>
        <v>0</v>
      </c>
      <c r="Q46" s="721">
        <f t="shared" si="5"/>
        <v>0</v>
      </c>
      <c r="R46" s="721">
        <f ca="1">SUM(R39:R45)</f>
        <v>40589.96318858309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391.59123857962658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391.59123857962658</v>
      </c>
    </row>
    <row r="50" spans="1:18">
      <c r="A50" s="819" t="s">
        <v>307</v>
      </c>
      <c r="B50" s="829"/>
      <c r="C50" s="1008">
        <f ca="1">transport!B18</f>
        <v>1.2911884861926688</v>
      </c>
      <c r="D50" s="1008">
        <f>transport!C18</f>
        <v>0</v>
      </c>
      <c r="E50" s="1008">
        <f>transport!D18</f>
        <v>2.9246555177207512</v>
      </c>
      <c r="F50" s="1008">
        <f>transport!E18</f>
        <v>220.61486285732477</v>
      </c>
      <c r="G50" s="1008">
        <f>transport!F18</f>
        <v>0</v>
      </c>
      <c r="H50" s="1008">
        <f>transport!G18</f>
        <v>53665.930457695598</v>
      </c>
      <c r="I50" s="1008">
        <f>transport!H18</f>
        <v>8311.7183032781759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62202.479467835015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1.2911884861926688</v>
      </c>
      <c r="D52" s="721">
        <f t="shared" ref="D52:Q52" ca="1" si="6">SUM(D48:D51)</f>
        <v>0</v>
      </c>
      <c r="E52" s="721">
        <f t="shared" si="6"/>
        <v>2.9246555177207512</v>
      </c>
      <c r="F52" s="721">
        <f t="shared" si="6"/>
        <v>220.61486285732477</v>
      </c>
      <c r="G52" s="721">
        <f t="shared" si="6"/>
        <v>0</v>
      </c>
      <c r="H52" s="721">
        <f t="shared" si="6"/>
        <v>54057.521696275224</v>
      </c>
      <c r="I52" s="721">
        <f t="shared" si="6"/>
        <v>8311.7183032781759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62594.070706414641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615.94804858520433</v>
      </c>
      <c r="D54" s="1008">
        <f ca="1">+landbouw!C12</f>
        <v>3055.5026297200106</v>
      </c>
      <c r="E54" s="1008">
        <f>+landbouw!D12</f>
        <v>1595.5487333789192</v>
      </c>
      <c r="F54" s="1008">
        <f>+landbouw!E12</f>
        <v>5.4814064612893274</v>
      </c>
      <c r="G54" s="1008">
        <f>+landbouw!F12</f>
        <v>2233.3503755223014</v>
      </c>
      <c r="H54" s="1008">
        <f>+landbouw!G12</f>
        <v>0</v>
      </c>
      <c r="I54" s="1008">
        <f>+landbouw!H12</f>
        <v>0</v>
      </c>
      <c r="J54" s="1008">
        <f>+landbouw!I12</f>
        <v>0</v>
      </c>
      <c r="K54" s="1008">
        <f>+landbouw!J12</f>
        <v>112.24691052719182</v>
      </c>
      <c r="L54" s="1008">
        <f>+landbouw!K12</f>
        <v>0</v>
      </c>
      <c r="M54" s="1008">
        <f>+landbouw!L12</f>
        <v>0</v>
      </c>
      <c r="N54" s="1008">
        <f>+landbouw!M12</f>
        <v>0</v>
      </c>
      <c r="O54" s="1008">
        <f>+landbouw!N12</f>
        <v>0</v>
      </c>
      <c r="P54" s="1008">
        <f>+landbouw!O12</f>
        <v>0</v>
      </c>
      <c r="Q54" s="1009">
        <f>+landbouw!P12</f>
        <v>0</v>
      </c>
      <c r="R54" s="720">
        <f ca="1">SUM(C54:Q54)</f>
        <v>7618.0781041949158</v>
      </c>
    </row>
    <row r="55" spans="1:18" ht="15" thickBot="1">
      <c r="A55" s="819" t="s">
        <v>912</v>
      </c>
      <c r="B55" s="829"/>
      <c r="C55" s="1008">
        <f ca="1">C25*'EF ele_warmte'!B12</f>
        <v>128.78982994185597</v>
      </c>
      <c r="D55" s="1008"/>
      <c r="E55" s="1008">
        <f>E25*EF_CO2_aardgas</f>
        <v>512.29569656649232</v>
      </c>
      <c r="F55" s="1008"/>
      <c r="G55" s="1008"/>
      <c r="H55" s="1008"/>
      <c r="I55" s="1008"/>
      <c r="J55" s="1008"/>
      <c r="K55" s="1008"/>
      <c r="L55" s="1008"/>
      <c r="M55" s="1008"/>
      <c r="N55" s="1008"/>
      <c r="O55" s="1008"/>
      <c r="P55" s="1008"/>
      <c r="Q55" s="1009"/>
      <c r="R55" s="720">
        <f ca="1">SUM(C55:Q55)</f>
        <v>641.08552650834827</v>
      </c>
    </row>
    <row r="56" spans="1:18" ht="15.75" thickBot="1">
      <c r="A56" s="817" t="s">
        <v>913</v>
      </c>
      <c r="B56" s="830"/>
      <c r="C56" s="721">
        <f ca="1">SUM(C54:C55)</f>
        <v>744.73787852706027</v>
      </c>
      <c r="D56" s="721">
        <f t="shared" ref="D56:Q56" ca="1" si="7">SUM(D54:D55)</f>
        <v>3055.5026297200106</v>
      </c>
      <c r="E56" s="721">
        <f t="shared" si="7"/>
        <v>2107.8444299454113</v>
      </c>
      <c r="F56" s="721">
        <f t="shared" si="7"/>
        <v>5.4814064612893274</v>
      </c>
      <c r="G56" s="721">
        <f t="shared" si="7"/>
        <v>2233.3503755223014</v>
      </c>
      <c r="H56" s="721">
        <f t="shared" si="7"/>
        <v>0</v>
      </c>
      <c r="I56" s="721">
        <f t="shared" si="7"/>
        <v>0</v>
      </c>
      <c r="J56" s="721">
        <f t="shared" si="7"/>
        <v>0</v>
      </c>
      <c r="K56" s="721">
        <f t="shared" si="7"/>
        <v>112.24691052719182</v>
      </c>
      <c r="L56" s="721">
        <f t="shared" si="7"/>
        <v>0</v>
      </c>
      <c r="M56" s="721">
        <f t="shared" si="7"/>
        <v>0</v>
      </c>
      <c r="N56" s="721">
        <f t="shared" si="7"/>
        <v>0</v>
      </c>
      <c r="O56" s="721">
        <f t="shared" si="7"/>
        <v>0</v>
      </c>
      <c r="P56" s="721">
        <f t="shared" si="7"/>
        <v>0</v>
      </c>
      <c r="Q56" s="722">
        <f t="shared" si="7"/>
        <v>0</v>
      </c>
      <c r="R56" s="723">
        <f ca="1">SUM(R54:R55)</f>
        <v>8259.1636307032641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15501.21021952185</v>
      </c>
      <c r="D61" s="729">
        <f t="shared" ref="D61:Q61" ca="1" si="8">D46+D52+D56</f>
        <v>3063.8647058823535</v>
      </c>
      <c r="E61" s="729">
        <f t="shared" ca="1" si="8"/>
        <v>20188.518550094879</v>
      </c>
      <c r="F61" s="729">
        <f t="shared" si="8"/>
        <v>1176.0755996756823</v>
      </c>
      <c r="G61" s="729">
        <f t="shared" ca="1" si="8"/>
        <v>8902.003155311495</v>
      </c>
      <c r="H61" s="729">
        <f t="shared" si="8"/>
        <v>54057.521696275224</v>
      </c>
      <c r="I61" s="729">
        <f t="shared" si="8"/>
        <v>8311.7183032781759</v>
      </c>
      <c r="J61" s="729">
        <f t="shared" si="8"/>
        <v>0</v>
      </c>
      <c r="K61" s="729">
        <f t="shared" si="8"/>
        <v>242.28529566133182</v>
      </c>
      <c r="L61" s="729">
        <f t="shared" si="8"/>
        <v>0</v>
      </c>
      <c r="M61" s="729">
        <f t="shared" ca="1" si="8"/>
        <v>0</v>
      </c>
      <c r="N61" s="729">
        <f t="shared" si="8"/>
        <v>0</v>
      </c>
      <c r="O61" s="729">
        <f t="shared" ca="1" si="8"/>
        <v>0</v>
      </c>
      <c r="P61" s="729">
        <f t="shared" si="8"/>
        <v>0</v>
      </c>
      <c r="Q61" s="729">
        <f t="shared" si="8"/>
        <v>0</v>
      </c>
      <c r="R61" s="729">
        <f ca="1">R46+R52+R56</f>
        <v>111443.19752570099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0.24030329480686699</v>
      </c>
      <c r="D63" s="773">
        <f t="shared" ca="1" si="9"/>
        <v>0.23650316418746939</v>
      </c>
      <c r="E63" s="1010">
        <f t="shared" ca="1" si="9"/>
        <v>0.20199999999999996</v>
      </c>
      <c r="F63" s="773">
        <f t="shared" si="9"/>
        <v>0.22700000000000001</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4026.5328996265944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43.649999999999991</v>
      </c>
      <c r="C76" s="739">
        <f>'lokale energieproductie'!B8*IFERROR(SUM(D76:H76)/SUM(D76:O76),0)</f>
        <v>9024.75</v>
      </c>
      <c r="D76" s="1020">
        <f>'lokale energieproductie'!C8</f>
        <v>10617.352941176472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2144.7052941176476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4070.1828996265945</v>
      </c>
      <c r="C78" s="744">
        <f>SUM(C72:C77)</f>
        <v>9024.75</v>
      </c>
      <c r="D78" s="745">
        <f t="shared" ref="D78:H78" si="10">SUM(D76:D77)</f>
        <v>10617.352941176472</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2144.7052941176476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62.357142857142833</v>
      </c>
      <c r="C87" s="755">
        <f>'lokale energieproductie'!B17*IFERROR(SUM(D87:H87)/SUM(D87:O87),0)</f>
        <v>12892.5</v>
      </c>
      <c r="D87" s="766">
        <f>'lokale energieproductie'!C17</f>
        <v>15167.647058823532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3063.8647058823535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62.357142857142833</v>
      </c>
      <c r="C90" s="744">
        <f>SUM(C87:C89)</f>
        <v>12892.5</v>
      </c>
      <c r="D90" s="744">
        <f t="shared" ref="D90:H90" si="12">SUM(D87:D89)</f>
        <v>15167.647058823532</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3063.8647058823535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4026.5328996265944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9068.4</v>
      </c>
      <c r="C8" s="558">
        <f>B101</f>
        <v>10617.352941176472</v>
      </c>
      <c r="D8" s="991"/>
      <c r="E8" s="991">
        <f>E101</f>
        <v>0</v>
      </c>
      <c r="F8" s="992"/>
      <c r="G8" s="559"/>
      <c r="H8" s="991">
        <f>I101</f>
        <v>0</v>
      </c>
      <c r="I8" s="991">
        <f>G101+F101</f>
        <v>0</v>
      </c>
      <c r="J8" s="991">
        <f>H101+D101+C101</f>
        <v>51.35294117647058</v>
      </c>
      <c r="K8" s="991"/>
      <c r="L8" s="991"/>
      <c r="M8" s="991"/>
      <c r="N8" s="560"/>
      <c r="O8" s="561">
        <f>C8*$C$12+D8*$D$12+E8*$E$12+F8*$F$12+G8*$G$12+H8*$H$12+I8*$I$12+J8*$J$12</f>
        <v>2144.7052941176476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13094.932899626594</v>
      </c>
      <c r="C10" s="570">
        <f t="shared" ref="C10:L10" si="0">SUM(C8:C9)</f>
        <v>10617.352941176472</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2144.7052941176476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12954.857142857143</v>
      </c>
      <c r="C17" s="582">
        <f>B102</f>
        <v>15167.647058823532</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3063.8647058823535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12954.857142857143</v>
      </c>
      <c r="C20" s="569">
        <f>SUM(C17:C19)</f>
        <v>15167.647058823532</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3063.8647058823535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31012</v>
      </c>
      <c r="C28" s="789">
        <v>8490</v>
      </c>
      <c r="D28" s="642" t="s">
        <v>946</v>
      </c>
      <c r="E28" s="641" t="s">
        <v>947</v>
      </c>
      <c r="F28" s="641" t="s">
        <v>948</v>
      </c>
      <c r="G28" s="641" t="s">
        <v>949</v>
      </c>
      <c r="H28" s="641" t="s">
        <v>950</v>
      </c>
      <c r="I28" s="641" t="s">
        <v>947</v>
      </c>
      <c r="J28" s="788">
        <v>39995</v>
      </c>
      <c r="K28" s="788">
        <v>39995</v>
      </c>
      <c r="L28" s="641" t="s">
        <v>951</v>
      </c>
      <c r="M28" s="641">
        <v>2000</v>
      </c>
      <c r="N28" s="641">
        <v>9000</v>
      </c>
      <c r="O28" s="641">
        <v>12857.142857142857</v>
      </c>
      <c r="P28" s="641">
        <v>25714.285714285717</v>
      </c>
      <c r="Q28" s="641">
        <v>0</v>
      </c>
      <c r="R28" s="641">
        <v>0</v>
      </c>
      <c r="S28" s="641">
        <v>0</v>
      </c>
      <c r="T28" s="641">
        <v>0</v>
      </c>
      <c r="U28" s="641">
        <v>0</v>
      </c>
      <c r="V28" s="641">
        <v>0</v>
      </c>
      <c r="W28" s="641"/>
      <c r="X28" s="641">
        <v>10</v>
      </c>
      <c r="Y28" s="641" t="s">
        <v>112</v>
      </c>
      <c r="Z28" s="643" t="s">
        <v>112</v>
      </c>
    </row>
    <row r="29" spans="1:26" s="595" customFormat="1" ht="63.75">
      <c r="A29" s="594"/>
      <c r="B29" s="789">
        <v>31012</v>
      </c>
      <c r="C29" s="789">
        <v>8490</v>
      </c>
      <c r="D29" s="642" t="s">
        <v>952</v>
      </c>
      <c r="E29" s="641" t="s">
        <v>953</v>
      </c>
      <c r="F29" s="641" t="s">
        <v>954</v>
      </c>
      <c r="G29" s="641" t="s">
        <v>949</v>
      </c>
      <c r="H29" s="641" t="s">
        <v>950</v>
      </c>
      <c r="I29" s="641" t="s">
        <v>953</v>
      </c>
      <c r="J29" s="788">
        <v>40477</v>
      </c>
      <c r="K29" s="788">
        <v>40513</v>
      </c>
      <c r="L29" s="641" t="s">
        <v>951</v>
      </c>
      <c r="M29" s="641">
        <v>5.5</v>
      </c>
      <c r="N29" s="641">
        <v>24.75</v>
      </c>
      <c r="O29" s="641">
        <v>35.357142857142861</v>
      </c>
      <c r="P29" s="641">
        <v>70.714285714285722</v>
      </c>
      <c r="Q29" s="641">
        <v>0</v>
      </c>
      <c r="R29" s="641">
        <v>0</v>
      </c>
      <c r="S29" s="641">
        <v>0</v>
      </c>
      <c r="T29" s="641">
        <v>0</v>
      </c>
      <c r="U29" s="641">
        <v>0</v>
      </c>
      <c r="V29" s="641">
        <v>0</v>
      </c>
      <c r="W29" s="641"/>
      <c r="X29" s="641">
        <v>1600</v>
      </c>
      <c r="Y29" s="641" t="s">
        <v>50</v>
      </c>
      <c r="Z29" s="643" t="s">
        <v>156</v>
      </c>
    </row>
    <row r="30" spans="1:26" s="595" customFormat="1" ht="25.5">
      <c r="A30" s="594"/>
      <c r="B30" s="789">
        <v>31012</v>
      </c>
      <c r="C30" s="789">
        <v>8490</v>
      </c>
      <c r="D30" s="642" t="s">
        <v>955</v>
      </c>
      <c r="E30" s="641" t="s">
        <v>956</v>
      </c>
      <c r="F30" s="641" t="s">
        <v>957</v>
      </c>
      <c r="G30" s="641" t="s">
        <v>949</v>
      </c>
      <c r="H30" s="641" t="s">
        <v>950</v>
      </c>
      <c r="I30" s="641" t="s">
        <v>958</v>
      </c>
      <c r="J30" s="788">
        <v>41257</v>
      </c>
      <c r="K30" s="788">
        <v>41275</v>
      </c>
      <c r="L30" s="641" t="s">
        <v>951</v>
      </c>
      <c r="M30" s="641">
        <v>9.6999999999999993</v>
      </c>
      <c r="N30" s="641">
        <v>43.649999999999991</v>
      </c>
      <c r="O30" s="641">
        <v>62.357142857142847</v>
      </c>
      <c r="P30" s="641">
        <v>0</v>
      </c>
      <c r="Q30" s="641">
        <v>124.71428571428569</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2015.2</v>
      </c>
      <c r="N58" s="599">
        <f>SUM(N28:N57)</f>
        <v>9068.4</v>
      </c>
      <c r="O58" s="599">
        <f t="shared" ref="O58:W58" si="2">SUM(O28:O57)</f>
        <v>12954.857142857143</v>
      </c>
      <c r="P58" s="599">
        <f t="shared" si="2"/>
        <v>25785.000000000004</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2009.7</v>
      </c>
      <c r="N61" s="604">
        <f t="shared" si="4"/>
        <v>9043.65</v>
      </c>
      <c r="O61" s="604">
        <f t="shared" si="4"/>
        <v>12919.5</v>
      </c>
      <c r="P61" s="604">
        <f t="shared" si="4"/>
        <v>25714.285714285717</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10617.352941176472</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15167.647058823532</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28472.096608425018</v>
      </c>
      <c r="C4" s="461">
        <f>huishoudens!C8</f>
        <v>0</v>
      </c>
      <c r="D4" s="461">
        <f>huishoudens!D8</f>
        <v>57294.768917715126</v>
      </c>
      <c r="E4" s="461">
        <f>huishoudens!E8</f>
        <v>3530.9427404221865</v>
      </c>
      <c r="F4" s="461">
        <f>huishoudens!F8</f>
        <v>17874.46522426638</v>
      </c>
      <c r="G4" s="461">
        <f>huishoudens!G8</f>
        <v>0</v>
      </c>
      <c r="H4" s="461">
        <f>huishoudens!H8</f>
        <v>0</v>
      </c>
      <c r="I4" s="461">
        <f>huishoudens!I8</f>
        <v>0</v>
      </c>
      <c r="J4" s="461">
        <f>huishoudens!J8</f>
        <v>362.90571644736599</v>
      </c>
      <c r="K4" s="461">
        <f>huishoudens!K8</f>
        <v>0</v>
      </c>
      <c r="L4" s="461">
        <f>huishoudens!L8</f>
        <v>0</v>
      </c>
      <c r="M4" s="461">
        <f>huishoudens!M8</f>
        <v>0</v>
      </c>
      <c r="N4" s="461">
        <f>huishoudens!N8</f>
        <v>14549.382721130656</v>
      </c>
      <c r="O4" s="461">
        <f>huishoudens!O8</f>
        <v>65.660000000000011</v>
      </c>
      <c r="P4" s="462">
        <f>huishoudens!P8</f>
        <v>305.06666666666666</v>
      </c>
      <c r="Q4" s="463">
        <f>SUM(B4:P4)</f>
        <v>122455.28859507341</v>
      </c>
    </row>
    <row r="5" spans="1:17">
      <c r="A5" s="460" t="s">
        <v>156</v>
      </c>
      <c r="B5" s="461">
        <f ca="1">tertiair!B16</f>
        <v>15150.16</v>
      </c>
      <c r="C5" s="461">
        <f ca="1">tertiair!C16</f>
        <v>35.357142857142861</v>
      </c>
      <c r="D5" s="461">
        <f ca="1">tertiair!D16</f>
        <v>15211.591363634403</v>
      </c>
      <c r="E5" s="461">
        <f>tertiair!E16</f>
        <v>171.32347628830442</v>
      </c>
      <c r="F5" s="461">
        <f ca="1">tertiair!F16</f>
        <v>3038.3485343601778</v>
      </c>
      <c r="G5" s="461">
        <f>tertiair!G16</f>
        <v>0</v>
      </c>
      <c r="H5" s="461">
        <f>tertiair!H16</f>
        <v>0</v>
      </c>
      <c r="I5" s="461">
        <f>tertiair!I16</f>
        <v>0</v>
      </c>
      <c r="J5" s="461">
        <f>tertiair!J16</f>
        <v>0</v>
      </c>
      <c r="K5" s="461">
        <f>tertiair!K16</f>
        <v>0</v>
      </c>
      <c r="L5" s="461">
        <f ca="1">tertiair!L16</f>
        <v>0</v>
      </c>
      <c r="M5" s="461">
        <f>tertiair!M16</f>
        <v>0</v>
      </c>
      <c r="N5" s="461">
        <f ca="1">tertiair!N16</f>
        <v>898.45816270083776</v>
      </c>
      <c r="O5" s="461">
        <f>tertiair!O16</f>
        <v>0</v>
      </c>
      <c r="P5" s="462">
        <f>tertiair!P16</f>
        <v>0</v>
      </c>
      <c r="Q5" s="460">
        <f t="shared" ref="Q5:Q14" ca="1" si="0">SUM(B5:P5)</f>
        <v>34505.238679840862</v>
      </c>
    </row>
    <row r="6" spans="1:17">
      <c r="A6" s="460" t="s">
        <v>194</v>
      </c>
      <c r="B6" s="461">
        <f>'openbare verlichting'!B8</f>
        <v>1060.7239999999999</v>
      </c>
      <c r="C6" s="461"/>
      <c r="D6" s="461"/>
      <c r="E6" s="461"/>
      <c r="F6" s="461"/>
      <c r="G6" s="461"/>
      <c r="H6" s="461"/>
      <c r="I6" s="461"/>
      <c r="J6" s="461"/>
      <c r="K6" s="461"/>
      <c r="L6" s="461"/>
      <c r="M6" s="461"/>
      <c r="N6" s="461"/>
      <c r="O6" s="461"/>
      <c r="P6" s="462"/>
      <c r="Q6" s="460">
        <f t="shared" si="0"/>
        <v>1060.7239999999999</v>
      </c>
    </row>
    <row r="7" spans="1:17">
      <c r="A7" s="460" t="s">
        <v>112</v>
      </c>
      <c r="B7" s="461">
        <f>landbouw!B8</f>
        <v>2563.2109999999998</v>
      </c>
      <c r="C7" s="461">
        <f>landbouw!C8</f>
        <v>12919.5</v>
      </c>
      <c r="D7" s="461">
        <f>landbouw!D8</f>
        <v>7898.7561058362335</v>
      </c>
      <c r="E7" s="461">
        <f>landbouw!E8</f>
        <v>24.147165027706286</v>
      </c>
      <c r="F7" s="461">
        <f>landbouw!F8</f>
        <v>8364.6081480236007</v>
      </c>
      <c r="G7" s="461">
        <f>landbouw!G8</f>
        <v>0</v>
      </c>
      <c r="H7" s="461">
        <f>landbouw!H8</f>
        <v>0</v>
      </c>
      <c r="I7" s="461">
        <f>landbouw!I8</f>
        <v>0</v>
      </c>
      <c r="J7" s="461">
        <f>landbouw!J8</f>
        <v>317.08166815590909</v>
      </c>
      <c r="K7" s="461">
        <f>landbouw!K8</f>
        <v>0</v>
      </c>
      <c r="L7" s="461">
        <f>landbouw!L8</f>
        <v>0</v>
      </c>
      <c r="M7" s="461">
        <f>landbouw!M8</f>
        <v>0</v>
      </c>
      <c r="N7" s="461">
        <f>landbouw!N8</f>
        <v>0</v>
      </c>
      <c r="O7" s="461">
        <f>landbouw!O8</f>
        <v>0</v>
      </c>
      <c r="P7" s="462">
        <f>landbouw!P8</f>
        <v>0</v>
      </c>
      <c r="Q7" s="460">
        <f t="shared" si="0"/>
        <v>32087.304087043449</v>
      </c>
    </row>
    <row r="8" spans="1:17">
      <c r="A8" s="460" t="s">
        <v>685</v>
      </c>
      <c r="B8" s="461">
        <f>industrie!B18</f>
        <v>16719.345000000001</v>
      </c>
      <c r="C8" s="461">
        <f>industrie!C18</f>
        <v>0</v>
      </c>
      <c r="D8" s="461">
        <f>industrie!D18</f>
        <v>16987.448949500711</v>
      </c>
      <c r="E8" s="461">
        <f>industrie!E18</f>
        <v>482.66475402549213</v>
      </c>
      <c r="F8" s="461">
        <f>industrie!F18</f>
        <v>4063.4138810333407</v>
      </c>
      <c r="G8" s="461">
        <f>industrie!G18</f>
        <v>0</v>
      </c>
      <c r="H8" s="461">
        <f>industrie!H18</f>
        <v>0</v>
      </c>
      <c r="I8" s="461">
        <f>industrie!I18</f>
        <v>0</v>
      </c>
      <c r="J8" s="461">
        <f>industrie!J18</f>
        <v>4.4343545530295048</v>
      </c>
      <c r="K8" s="461">
        <f>industrie!K18</f>
        <v>0</v>
      </c>
      <c r="L8" s="461">
        <f>industrie!L18</f>
        <v>0</v>
      </c>
      <c r="M8" s="461">
        <f>industrie!M18</f>
        <v>0</v>
      </c>
      <c r="N8" s="461">
        <f>industrie!N18</f>
        <v>5148.2712663393804</v>
      </c>
      <c r="O8" s="461">
        <f>industrie!O18</f>
        <v>0</v>
      </c>
      <c r="P8" s="462">
        <f>industrie!P18</f>
        <v>0</v>
      </c>
      <c r="Q8" s="460">
        <f t="shared" si="0"/>
        <v>43405.578205451959</v>
      </c>
    </row>
    <row r="9" spans="1:17" s="466" customFormat="1">
      <c r="A9" s="464" t="s">
        <v>579</v>
      </c>
      <c r="B9" s="465">
        <f>transport!B14</f>
        <v>5.3731618088316413</v>
      </c>
      <c r="C9" s="465">
        <f>transport!C14</f>
        <v>0</v>
      </c>
      <c r="D9" s="465">
        <f>transport!D14</f>
        <v>14.478492661983916</v>
      </c>
      <c r="E9" s="465">
        <f>transport!E14</f>
        <v>971.87164254328093</v>
      </c>
      <c r="F9" s="465">
        <f>transport!F14</f>
        <v>0</v>
      </c>
      <c r="G9" s="465">
        <f>transport!G14</f>
        <v>200995.99422357901</v>
      </c>
      <c r="H9" s="465">
        <f>transport!H14</f>
        <v>33380.394792281833</v>
      </c>
      <c r="I9" s="465">
        <f>transport!I14</f>
        <v>0</v>
      </c>
      <c r="J9" s="465">
        <f>transport!J14</f>
        <v>0</v>
      </c>
      <c r="K9" s="465">
        <f>transport!K14</f>
        <v>0</v>
      </c>
      <c r="L9" s="465">
        <f>transport!L14</f>
        <v>0</v>
      </c>
      <c r="M9" s="465">
        <f>transport!M14</f>
        <v>10477.355682443982</v>
      </c>
      <c r="N9" s="465">
        <f>transport!N14</f>
        <v>0</v>
      </c>
      <c r="O9" s="465">
        <f>transport!O14</f>
        <v>0</v>
      </c>
      <c r="P9" s="465">
        <f>transport!P14</f>
        <v>0</v>
      </c>
      <c r="Q9" s="464">
        <f>SUM(B9:P9)</f>
        <v>245845.4679953189</v>
      </c>
    </row>
    <row r="10" spans="1:17">
      <c r="A10" s="460" t="s">
        <v>569</v>
      </c>
      <c r="B10" s="461">
        <f>transport!B54</f>
        <v>0</v>
      </c>
      <c r="C10" s="461">
        <f>transport!C54</f>
        <v>0</v>
      </c>
      <c r="D10" s="461">
        <f>transport!D54</f>
        <v>0</v>
      </c>
      <c r="E10" s="461">
        <f>transport!E54</f>
        <v>0</v>
      </c>
      <c r="F10" s="461">
        <f>transport!F54</f>
        <v>0</v>
      </c>
      <c r="G10" s="461">
        <f>transport!G54</f>
        <v>1466.6338523581519</v>
      </c>
      <c r="H10" s="461">
        <f>transport!H54</f>
        <v>0</v>
      </c>
      <c r="I10" s="461">
        <f>transport!I54</f>
        <v>0</v>
      </c>
      <c r="J10" s="461">
        <f>transport!J54</f>
        <v>0</v>
      </c>
      <c r="K10" s="461">
        <f>transport!K54</f>
        <v>0</v>
      </c>
      <c r="L10" s="461">
        <f>transport!L54</f>
        <v>0</v>
      </c>
      <c r="M10" s="461">
        <f>transport!M54</f>
        <v>64.402311820919763</v>
      </c>
      <c r="N10" s="461">
        <f>transport!N54</f>
        <v>0</v>
      </c>
      <c r="O10" s="461">
        <f>transport!O54</f>
        <v>0</v>
      </c>
      <c r="P10" s="462">
        <f>transport!P54</f>
        <v>0</v>
      </c>
      <c r="Q10" s="460">
        <f t="shared" si="0"/>
        <v>1531.0361641790716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535.947</v>
      </c>
      <c r="C14" s="468"/>
      <c r="D14" s="468">
        <f>'SEAP template'!E25</f>
        <v>2536.1173097351102</v>
      </c>
      <c r="E14" s="468"/>
      <c r="F14" s="468"/>
      <c r="G14" s="468"/>
      <c r="H14" s="468"/>
      <c r="I14" s="468"/>
      <c r="J14" s="468"/>
      <c r="K14" s="468"/>
      <c r="L14" s="468"/>
      <c r="M14" s="468"/>
      <c r="N14" s="468"/>
      <c r="O14" s="468"/>
      <c r="P14" s="469"/>
      <c r="Q14" s="460">
        <f t="shared" si="0"/>
        <v>3072.0643097351103</v>
      </c>
    </row>
    <row r="15" spans="1:17" s="473" customFormat="1">
      <c r="A15" s="470" t="s">
        <v>573</v>
      </c>
      <c r="B15" s="471">
        <f ca="1">SUM(B4:B14)</f>
        <v>64506.856770233855</v>
      </c>
      <c r="C15" s="471">
        <f t="shared" ref="C15:Q15" ca="1" si="1">SUM(C4:C14)</f>
        <v>12954.857142857143</v>
      </c>
      <c r="D15" s="471">
        <f t="shared" ca="1" si="1"/>
        <v>99943.161139083575</v>
      </c>
      <c r="E15" s="471">
        <f t="shared" si="1"/>
        <v>5180.949778306971</v>
      </c>
      <c r="F15" s="471">
        <f t="shared" ca="1" si="1"/>
        <v>33340.8357876835</v>
      </c>
      <c r="G15" s="471">
        <f t="shared" si="1"/>
        <v>202462.62807593716</v>
      </c>
      <c r="H15" s="471">
        <f t="shared" si="1"/>
        <v>33380.394792281833</v>
      </c>
      <c r="I15" s="471">
        <f t="shared" si="1"/>
        <v>0</v>
      </c>
      <c r="J15" s="471">
        <f t="shared" si="1"/>
        <v>684.42173915630462</v>
      </c>
      <c r="K15" s="471">
        <f t="shared" si="1"/>
        <v>0</v>
      </c>
      <c r="L15" s="471">
        <f t="shared" ca="1" si="1"/>
        <v>0</v>
      </c>
      <c r="M15" s="471">
        <f t="shared" si="1"/>
        <v>10541.757994264903</v>
      </c>
      <c r="N15" s="471">
        <f t="shared" ca="1" si="1"/>
        <v>20596.112150170873</v>
      </c>
      <c r="O15" s="471">
        <f t="shared" si="1"/>
        <v>65.660000000000011</v>
      </c>
      <c r="P15" s="471">
        <f t="shared" si="1"/>
        <v>305.06666666666666</v>
      </c>
      <c r="Q15" s="471">
        <f t="shared" ca="1" si="1"/>
        <v>483962.7020366427</v>
      </c>
    </row>
    <row r="17" spans="1:17">
      <c r="A17" s="474" t="s">
        <v>574</v>
      </c>
      <c r="B17" s="778">
        <f ca="1">huishoudens!B10</f>
        <v>0.24030329480686702</v>
      </c>
      <c r="C17" s="778">
        <f ca="1">huishoudens!C10</f>
        <v>0.23650316418746939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6841.9386250639554</v>
      </c>
      <c r="C22" s="461">
        <f t="shared" ref="C22:C32" ca="1" si="3">C4*$C$17</f>
        <v>0</v>
      </c>
      <c r="D22" s="461">
        <f t="shared" ref="D22:D32" si="4">D4*$D$17</f>
        <v>11573.543321378456</v>
      </c>
      <c r="E22" s="461">
        <f t="shared" ref="E22:E32" si="5">E4*$E$17</f>
        <v>801.52400207583639</v>
      </c>
      <c r="F22" s="461">
        <f t="shared" ref="F22:F32" si="6">F4*$F$17</f>
        <v>4772.4822148791236</v>
      </c>
      <c r="G22" s="461">
        <f t="shared" ref="G22:G32" si="7">G4*$G$17</f>
        <v>0</v>
      </c>
      <c r="H22" s="461">
        <f t="shared" ref="H22:H32" si="8">H4*$H$17</f>
        <v>0</v>
      </c>
      <c r="I22" s="461">
        <f t="shared" ref="I22:I32" si="9">I4*$I$17</f>
        <v>0</v>
      </c>
      <c r="J22" s="461">
        <f t="shared" ref="J22:J32" si="10">J4*$J$17</f>
        <v>128.46862362236755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24117.956787019739</v>
      </c>
    </row>
    <row r="23" spans="1:17">
      <c r="A23" s="460" t="s">
        <v>156</v>
      </c>
      <c r="B23" s="461">
        <f t="shared" ca="1" si="2"/>
        <v>3640.6333648512045</v>
      </c>
      <c r="C23" s="461">
        <f t="shared" ca="1" si="3"/>
        <v>8.3620761623426692</v>
      </c>
      <c r="D23" s="461">
        <f t="shared" ca="1" si="4"/>
        <v>3072.7414554541497</v>
      </c>
      <c r="E23" s="461">
        <f t="shared" si="5"/>
        <v>38.890429117445102</v>
      </c>
      <c r="F23" s="461">
        <f t="shared" ca="1" si="6"/>
        <v>811.2390586741675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7571.8663842593096</v>
      </c>
    </row>
    <row r="24" spans="1:17">
      <c r="A24" s="460" t="s">
        <v>194</v>
      </c>
      <c r="B24" s="461">
        <f t="shared" ca="1" si="2"/>
        <v>254.8954720807192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254.8954720807192</v>
      </c>
    </row>
    <row r="25" spans="1:17">
      <c r="A25" s="460" t="s">
        <v>112</v>
      </c>
      <c r="B25" s="461">
        <f t="shared" ca="1" si="2"/>
        <v>615.94804858520433</v>
      </c>
      <c r="C25" s="461">
        <f t="shared" ca="1" si="3"/>
        <v>3055.5026297200106</v>
      </c>
      <c r="D25" s="461">
        <f t="shared" si="4"/>
        <v>1595.5487333789192</v>
      </c>
      <c r="E25" s="461">
        <f t="shared" si="5"/>
        <v>5.4814064612893274</v>
      </c>
      <c r="F25" s="461">
        <f t="shared" si="6"/>
        <v>2233.3503755223014</v>
      </c>
      <c r="G25" s="461">
        <f t="shared" si="7"/>
        <v>0</v>
      </c>
      <c r="H25" s="461">
        <f t="shared" si="8"/>
        <v>0</v>
      </c>
      <c r="I25" s="461">
        <f t="shared" si="9"/>
        <v>0</v>
      </c>
      <c r="J25" s="461">
        <f t="shared" si="10"/>
        <v>112.24691052719182</v>
      </c>
      <c r="K25" s="461">
        <f t="shared" si="11"/>
        <v>0</v>
      </c>
      <c r="L25" s="461">
        <f t="shared" si="12"/>
        <v>0</v>
      </c>
      <c r="M25" s="461">
        <f t="shared" si="13"/>
        <v>0</v>
      </c>
      <c r="N25" s="461">
        <f t="shared" si="14"/>
        <v>0</v>
      </c>
      <c r="O25" s="461">
        <f t="shared" si="15"/>
        <v>0</v>
      </c>
      <c r="P25" s="462">
        <f t="shared" si="16"/>
        <v>0</v>
      </c>
      <c r="Q25" s="460">
        <f t="shared" ca="1" si="17"/>
        <v>7618.0781041949158</v>
      </c>
    </row>
    <row r="26" spans="1:17">
      <c r="A26" s="460" t="s">
        <v>685</v>
      </c>
      <c r="B26" s="461">
        <f t="shared" ca="1" si="2"/>
        <v>4017.7136905127181</v>
      </c>
      <c r="C26" s="461">
        <f t="shared" ca="1" si="3"/>
        <v>0</v>
      </c>
      <c r="D26" s="461">
        <f t="shared" si="4"/>
        <v>3431.464687799144</v>
      </c>
      <c r="E26" s="461">
        <f t="shared" si="5"/>
        <v>109.56489916378672</v>
      </c>
      <c r="F26" s="461">
        <f t="shared" si="6"/>
        <v>1084.9315062359019</v>
      </c>
      <c r="G26" s="461">
        <f t="shared" si="7"/>
        <v>0</v>
      </c>
      <c r="H26" s="461">
        <f t="shared" si="8"/>
        <v>0</v>
      </c>
      <c r="I26" s="461">
        <f t="shared" si="9"/>
        <v>0</v>
      </c>
      <c r="J26" s="461">
        <f t="shared" si="10"/>
        <v>1.5697615117724446</v>
      </c>
      <c r="K26" s="461">
        <f t="shared" si="11"/>
        <v>0</v>
      </c>
      <c r="L26" s="461">
        <f t="shared" si="12"/>
        <v>0</v>
      </c>
      <c r="M26" s="461">
        <f t="shared" si="13"/>
        <v>0</v>
      </c>
      <c r="N26" s="461">
        <f t="shared" si="14"/>
        <v>0</v>
      </c>
      <c r="O26" s="461">
        <f t="shared" si="15"/>
        <v>0</v>
      </c>
      <c r="P26" s="462">
        <f t="shared" si="16"/>
        <v>0</v>
      </c>
      <c r="Q26" s="460">
        <f t="shared" ca="1" si="17"/>
        <v>8645.2445452233242</v>
      </c>
    </row>
    <row r="27" spans="1:17" s="466" customFormat="1">
      <c r="A27" s="464" t="s">
        <v>579</v>
      </c>
      <c r="B27" s="772">
        <f t="shared" ca="1" si="2"/>
        <v>1.2911884861926688</v>
      </c>
      <c r="C27" s="465">
        <f t="shared" ca="1" si="3"/>
        <v>0</v>
      </c>
      <c r="D27" s="465">
        <f t="shared" si="4"/>
        <v>2.9246555177207512</v>
      </c>
      <c r="E27" s="465">
        <f t="shared" si="5"/>
        <v>220.61486285732477</v>
      </c>
      <c r="F27" s="465">
        <f t="shared" si="6"/>
        <v>0</v>
      </c>
      <c r="G27" s="465">
        <f t="shared" si="7"/>
        <v>53665.930457695598</v>
      </c>
      <c r="H27" s="465">
        <f t="shared" si="8"/>
        <v>8311.7183032781759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62202.479467835015</v>
      </c>
    </row>
    <row r="28" spans="1:17">
      <c r="A28" s="460" t="s">
        <v>569</v>
      </c>
      <c r="B28" s="461">
        <f t="shared" ca="1" si="2"/>
        <v>0</v>
      </c>
      <c r="C28" s="461">
        <f t="shared" ca="1" si="3"/>
        <v>0</v>
      </c>
      <c r="D28" s="461">
        <f t="shared" si="4"/>
        <v>0</v>
      </c>
      <c r="E28" s="461">
        <f t="shared" si="5"/>
        <v>0</v>
      </c>
      <c r="F28" s="461">
        <f t="shared" si="6"/>
        <v>0</v>
      </c>
      <c r="G28" s="461">
        <f t="shared" si="7"/>
        <v>391.59123857962658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391.59123857962658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128.78982994185597</v>
      </c>
      <c r="C32" s="461">
        <f t="shared" ca="1" si="3"/>
        <v>0</v>
      </c>
      <c r="D32" s="461">
        <f t="shared" si="4"/>
        <v>512.29569656649232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641.08552650834827</v>
      </c>
    </row>
    <row r="33" spans="1:17" s="473" customFormat="1">
      <c r="A33" s="470" t="s">
        <v>573</v>
      </c>
      <c r="B33" s="471">
        <f ca="1">SUM(B22:B32)</f>
        <v>15501.21021952185</v>
      </c>
      <c r="C33" s="471">
        <f t="shared" ref="C33:Q33" ca="1" si="18">SUM(C22:C32)</f>
        <v>3063.8647058823535</v>
      </c>
      <c r="D33" s="471">
        <f t="shared" ca="1" si="18"/>
        <v>20188.518550094883</v>
      </c>
      <c r="E33" s="471">
        <f t="shared" si="18"/>
        <v>1176.0755996756825</v>
      </c>
      <c r="F33" s="471">
        <f t="shared" ca="1" si="18"/>
        <v>8902.003155311495</v>
      </c>
      <c r="G33" s="471">
        <f t="shared" si="18"/>
        <v>54057.521696275224</v>
      </c>
      <c r="H33" s="471">
        <f t="shared" si="18"/>
        <v>8311.7183032781759</v>
      </c>
      <c r="I33" s="471">
        <f t="shared" si="18"/>
        <v>0</v>
      </c>
      <c r="J33" s="471">
        <f t="shared" si="18"/>
        <v>242.28529566133179</v>
      </c>
      <c r="K33" s="471">
        <f t="shared" si="18"/>
        <v>0</v>
      </c>
      <c r="L33" s="471">
        <f t="shared" ca="1" si="18"/>
        <v>0</v>
      </c>
      <c r="M33" s="471">
        <f t="shared" si="18"/>
        <v>0</v>
      </c>
      <c r="N33" s="471">
        <f t="shared" ca="1" si="18"/>
        <v>0</v>
      </c>
      <c r="O33" s="471">
        <f t="shared" si="18"/>
        <v>0</v>
      </c>
      <c r="P33" s="471">
        <f t="shared" si="18"/>
        <v>0</v>
      </c>
      <c r="Q33" s="471">
        <f t="shared" ca="1" si="18"/>
        <v>111443.19752570101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4026.5328996265944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9024.75</v>
      </c>
      <c r="D8" s="1037">
        <f>'SEAP template'!D76</f>
        <v>10617.352941176472</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2144.7052941176476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4070.1828996265945</v>
      </c>
      <c r="C10" s="1041">
        <f>SUM(C4:C9)</f>
        <v>9024.75</v>
      </c>
      <c r="D10" s="1041">
        <f t="shared" ref="D10:H10" si="0">SUM(D8:D9)</f>
        <v>10617.352941176472</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2144.7052941176476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0.24030329480686702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62.357142857142833</v>
      </c>
      <c r="C17" s="1044">
        <f>'SEAP template'!C87</f>
        <v>12892.5</v>
      </c>
      <c r="D17" s="1038">
        <f>'SEAP template'!D87</f>
        <v>15167.647058823532</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3063.8647058823535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62.357142857142833</v>
      </c>
      <c r="C20" s="1041">
        <f>SUM(C17:C19)</f>
        <v>12892.5</v>
      </c>
      <c r="D20" s="1041">
        <f t="shared" ref="D20:H20" si="2">SUM(D17:D19)</f>
        <v>15167.647058823532</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3063.8647058823535</v>
      </c>
    </row>
    <row r="22" spans="1:16">
      <c r="A22" s="474" t="s">
        <v>933</v>
      </c>
      <c r="B22" s="778" t="s">
        <v>927</v>
      </c>
      <c r="C22" s="778">
        <f ca="1">'EF ele_warmte'!B22</f>
        <v>0.23650316418746939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0.24030329480686702</v>
      </c>
      <c r="C17" s="510">
        <f ca="1">'EF ele_warmte'!B22</f>
        <v>0.23650316418746939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2019-06-29T16:12:43Z</dcterms:modified>
</cp:coreProperties>
</file>