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B10"/>
  <c r="F20"/>
  <c r="O18"/>
  <c r="B17"/>
  <c r="B20" s="1"/>
  <c r="C98"/>
  <c r="F101" s="1"/>
  <c r="I102"/>
  <c r="H17" s="1"/>
  <c r="H20" s="1"/>
  <c r="E102"/>
  <c r="E17" s="1"/>
  <c r="E20" s="1"/>
  <c r="G102"/>
  <c r="C102"/>
  <c r="H102"/>
  <c r="D102"/>
  <c r="F102"/>
  <c r="B102"/>
  <c r="C17" s="1"/>
  <c r="B101"/>
  <c r="C8" s="1"/>
  <c r="N6" i="17"/>
  <c r="L6"/>
  <c r="F6"/>
  <c r="D6"/>
  <c r="C6"/>
  <c r="N16" i="16"/>
  <c r="L16"/>
  <c r="F16"/>
  <c r="D16"/>
  <c r="C16"/>
  <c r="B16"/>
  <c r="B13" i="15"/>
  <c r="E101" i="18" l="1"/>
  <c r="E8" s="1"/>
  <c r="E10" s="1"/>
  <c r="G101"/>
  <c r="C101"/>
  <c r="H101"/>
  <c r="D101"/>
  <c r="I101"/>
  <c r="H8" s="1"/>
  <c r="H10" s="1"/>
  <c r="C10"/>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G78"/>
  <c r="P56"/>
  <c r="L56"/>
  <c r="J56"/>
  <c r="H56"/>
  <c r="Q56"/>
  <c r="R44"/>
  <c r="Q26"/>
  <c r="N26"/>
  <c r="E25"/>
  <c r="D14" i="48" s="1"/>
  <c r="C25" i="14"/>
  <c r="B14" i="48" s="1"/>
  <c r="P26" i="14"/>
  <c r="L26"/>
  <c r="K22"/>
  <c r="R12"/>
  <c r="F13" i="15"/>
  <c r="D13"/>
  <c r="C13"/>
  <c r="Q14" i="48" l="1"/>
  <c r="C77" i="14"/>
  <c r="C9" i="56" s="1"/>
  <c r="D9"/>
  <c r="D10" s="1"/>
  <c r="N78" i="14"/>
  <c r="N8" i="56"/>
  <c r="N10" s="1"/>
  <c r="M78" i="14"/>
  <c r="M8" i="56"/>
  <c r="M10" s="1"/>
  <c r="H78" i="14"/>
  <c r="H9" i="56"/>
  <c r="H10" s="1"/>
  <c r="Q87" i="14"/>
  <c r="P17" i="56" s="1"/>
  <c r="D17"/>
  <c r="D20" s="1"/>
  <c r="J78" i="14"/>
  <c r="G20" i="56"/>
  <c r="F20"/>
  <c r="F90" i="14"/>
  <c r="E20" i="56"/>
  <c r="H90" i="14"/>
  <c r="M20" i="56"/>
  <c r="Q88" i="14"/>
  <c r="P18" i="56" s="1"/>
  <c r="D18"/>
  <c r="K90" i="14"/>
  <c r="K18" i="56"/>
  <c r="K20" s="1"/>
  <c r="E8"/>
  <c r="E10" s="1"/>
  <c r="K78" i="14"/>
  <c r="K8" i="56"/>
  <c r="K10" s="1"/>
  <c r="O78" i="14"/>
  <c r="O9" i="56"/>
  <c r="O10" s="1"/>
  <c r="L90" i="14"/>
  <c r="L17" i="56"/>
  <c r="L20" s="1"/>
  <c r="G90" i="14"/>
  <c r="G18" i="56"/>
  <c r="O90" i="14"/>
  <c r="O18" i="56"/>
  <c r="O20" s="1"/>
  <c r="N90" i="14"/>
  <c r="F76"/>
  <c r="D78"/>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F8"/>
  <c r="F10" s="1"/>
  <c r="F78" i="14"/>
  <c r="Q76"/>
  <c r="P8" i="56" s="1"/>
  <c r="J90" i="14"/>
  <c r="J17" i="56"/>
  <c r="J20" s="1"/>
  <c r="C76" i="14"/>
  <c r="P20" i="56"/>
  <c r="C90" i="14"/>
  <c r="B87"/>
  <c r="B90" l="1"/>
  <c r="B17" i="56"/>
  <c r="B20" s="1"/>
  <c r="C8"/>
  <c r="C10" s="1"/>
  <c r="C78"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29"/>
  <c r="E24"/>
  <c r="E30"/>
  <c r="E28"/>
  <c r="M12" i="13"/>
  <c r="N41" i="14" s="1"/>
  <c r="M17" i="48"/>
  <c r="L10" i="14"/>
  <c r="L16" s="1"/>
  <c r="L27" s="1"/>
  <c r="K5" i="48"/>
  <c r="D30"/>
  <c r="D29"/>
  <c r="D32"/>
  <c r="D31"/>
  <c r="D24"/>
  <c r="D28"/>
  <c r="L29"/>
  <c r="L32"/>
  <c r="L27"/>
  <c r="L22"/>
  <c r="L28"/>
  <c r="L24"/>
  <c r="L31"/>
  <c r="L30"/>
  <c r="Q10" i="14"/>
  <c r="P5" i="48"/>
  <c r="P23" s="1"/>
  <c r="K26"/>
  <c r="K28"/>
  <c r="K32"/>
  <c r="K25"/>
  <c r="K31"/>
  <c r="K29"/>
  <c r="K22"/>
  <c r="K30"/>
  <c r="K27"/>
  <c r="K24"/>
  <c r="J32"/>
  <c r="J28"/>
  <c r="J24"/>
  <c r="J30"/>
  <c r="J31"/>
  <c r="J27"/>
  <c r="J29"/>
  <c r="B7"/>
  <c r="C24" i="14"/>
  <c r="C26" s="1"/>
  <c r="I32" i="48"/>
  <c r="I28"/>
  <c r="I27"/>
  <c r="I30"/>
  <c r="I29"/>
  <c r="I22"/>
  <c r="I31"/>
  <c r="I26"/>
  <c r="I24"/>
  <c r="I25"/>
  <c r="H28"/>
  <c r="H32"/>
  <c r="H22"/>
  <c r="H30"/>
  <c r="H25"/>
  <c r="H24"/>
  <c r="H29"/>
  <c r="H26"/>
  <c r="H23"/>
  <c r="C4"/>
  <c r="D11" i="14"/>
  <c r="G32" i="48"/>
  <c r="G22"/>
  <c r="G26"/>
  <c r="G29"/>
  <c r="G25"/>
  <c r="G30"/>
  <c r="G24"/>
  <c r="G23"/>
  <c r="I5"/>
  <c r="J10" i="14"/>
  <c r="J16" s="1"/>
  <c r="J27" s="1"/>
  <c r="Q11"/>
  <c r="P4" i="48"/>
  <c r="P11" i="14"/>
  <c r="O4" i="48"/>
  <c r="E11" i="14"/>
  <c r="D4" i="48"/>
  <c r="D22" s="1"/>
  <c r="C11" i="14"/>
  <c r="B4" i="48"/>
  <c r="F31"/>
  <c r="F24"/>
  <c r="F32"/>
  <c r="F27"/>
  <c r="F30"/>
  <c r="F28"/>
  <c r="F29"/>
  <c r="N30"/>
  <c r="N31"/>
  <c r="N24"/>
  <c r="N27"/>
  <c r="N32"/>
  <c r="N28"/>
  <c r="N29"/>
  <c r="B10"/>
  <c r="C19"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K24"/>
  <c r="K26" s="1"/>
  <c r="J7" i="48"/>
  <c r="J25" s="1"/>
  <c r="O22"/>
  <c r="H13"/>
  <c r="H31" s="1"/>
  <c r="I18" i="14"/>
  <c r="Q13"/>
  <c r="P8" i="48"/>
  <c r="P26" s="1"/>
  <c r="I23"/>
  <c r="I15"/>
  <c r="L46" i="14"/>
  <c r="L61" s="1"/>
  <c r="L63" s="1"/>
  <c r="P22" i="48"/>
  <c r="M32"/>
  <c r="M26"/>
  <c r="M29"/>
  <c r="M22"/>
  <c r="M25"/>
  <c r="M30"/>
  <c r="M24"/>
  <c r="M23"/>
  <c r="P10" i="14"/>
  <c r="O5" i="48"/>
  <c r="O23" s="1"/>
  <c r="K15"/>
  <c r="K23"/>
  <c r="K33" s="1"/>
  <c r="G11" i="14"/>
  <c r="F4" i="48"/>
  <c r="F22" s="1"/>
  <c r="G13"/>
  <c r="H18" i="14"/>
  <c r="M13" i="48"/>
  <c r="M31" s="1"/>
  <c r="N18" i="14"/>
  <c r="J46"/>
  <c r="J61" s="1"/>
  <c r="Q16"/>
  <c r="Q27" s="1"/>
  <c r="J63"/>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G10"/>
  <c r="H19" i="14"/>
  <c r="R19" s="1"/>
  <c r="K11"/>
  <c r="J4" i="48"/>
  <c r="N20" i="14"/>
  <c r="M9" i="48"/>
  <c r="E7"/>
  <c r="E25" s="1"/>
  <c r="F24" i="14"/>
  <c r="F26" s="1"/>
  <c r="F20"/>
  <c r="F22" s="1"/>
  <c r="E9" i="48"/>
  <c r="E27" s="1"/>
  <c r="O8"/>
  <c r="O26" s="1"/>
  <c r="O33" s="1"/>
  <c r="P13" i="14"/>
  <c r="D9" i="48"/>
  <c r="D27" s="1"/>
  <c r="E20" i="14"/>
  <c r="E22" s="1"/>
  <c r="G31" i="48"/>
  <c r="Q13"/>
  <c r="P16" i="14"/>
  <c r="P27" s="1"/>
  <c r="N22"/>
  <c r="N27" s="1"/>
  <c r="E12" i="17"/>
  <c r="F54" i="14" s="1"/>
  <c r="F56" s="1"/>
  <c r="H14" i="22"/>
  <c r="D16" i="14"/>
  <c r="P46"/>
  <c r="P61" s="1"/>
  <c r="P63" s="1"/>
  <c r="P15" i="48"/>
  <c r="N19" i="14"/>
  <c r="M10" i="48"/>
  <c r="M28" s="1"/>
  <c r="C20" i="14"/>
  <c r="B9" i="48"/>
  <c r="R18" i="14"/>
  <c r="D18" i="22"/>
  <c r="E50" i="14" s="1"/>
  <c r="E52" s="1"/>
  <c r="Q46"/>
  <c r="Q61" s="1"/>
  <c r="Q63" s="1"/>
  <c r="P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J22" i="48" l="1"/>
  <c r="C22" i="14"/>
  <c r="I20"/>
  <c r="I22" s="1"/>
  <c r="I27" s="1"/>
  <c r="H9" i="48"/>
  <c r="H20" i="14"/>
  <c r="R20" s="1"/>
  <c r="R22" s="1"/>
  <c r="G9" i="48"/>
  <c r="E22"/>
  <c r="Q4"/>
  <c r="N63" i="14"/>
  <c r="R11"/>
  <c r="Q9" i="48"/>
  <c r="F10" i="14"/>
  <c r="E5" i="48"/>
  <c r="E23" s="1"/>
  <c r="M27"/>
  <c r="M33" s="1"/>
  <c r="M15"/>
  <c r="J5"/>
  <c r="J23" s="1"/>
  <c r="K10" i="14"/>
  <c r="G28" i="48"/>
  <c r="Q10"/>
  <c r="O15"/>
  <c r="H18" i="22"/>
  <c r="I50" i="14" s="1"/>
  <c r="I52" s="1"/>
  <c r="I61" s="1"/>
  <c r="I63" s="1"/>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46" i="14"/>
  <c r="K61" s="1"/>
  <c r="H22"/>
  <c r="H27" s="1"/>
  <c r="H63" s="1"/>
  <c r="K16"/>
  <c r="K27" s="1"/>
  <c r="K63" s="1"/>
  <c r="F13"/>
  <c r="E8" i="48"/>
  <c r="E26" s="1"/>
  <c r="E33" s="1"/>
  <c r="G27"/>
  <c r="G33" s="1"/>
  <c r="G15"/>
  <c r="J8"/>
  <c r="K13" i="14"/>
  <c r="F16"/>
  <c r="F27" s="1"/>
  <c r="R10"/>
  <c r="E15" i="48"/>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<sst xmlns="http://schemas.openxmlformats.org/spreadsheetml/2006/main" count="2510" uniqueCount="961">
  <si>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</si>
  <si>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</si>
  <si>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</si>
  <si>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</si>
  <si>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</si>
  <si>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</si>
  <si>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</si>
  <si>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</si>
  <si>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</si>
  <si>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</si>
  <si>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</si>
  <si>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</si>
  <si>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</si>
  <si>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</si>
  <si>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</si>
  <si>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</si>
  <si>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</si>
  <si>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</si>
  <si>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</si>
  <si>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</si>
  <si>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</si>
  <si>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</si>
  <si>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</si>
  <si>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</si>
  <si>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</si>
  <si>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</si>
  <si>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</si>
  <si>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</si>
  <si>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</si>
  <si>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</si>
  <si>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</si>
  <si>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</si>
  <si>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</si>
  <si>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</si>
  <si>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</si>
  <si>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</si>
  <si>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</si>
  <si>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</si>
  <si>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</si>
  <si>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</si>
  <si>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</si>
  <si>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</si>
  <si>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</si>
  <si>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</si>
  <si>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</si>
  <si>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</si>
  <si>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</si>
  <si>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</si>
  <si>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</si>
  <si>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</si>
  <si>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</si>
  <si>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</si>
  <si>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</si>
  <si>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</si>
  <si>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</si>
  <si>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</si>
  <si>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</si>
  <si>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</si>
  <si>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</si>
  <si>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</si>
  <si>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</si>
  <si>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</si>
  <si>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</si>
  <si>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</si>
  <si>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</si>
  <si>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</si>
  <si>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</si>
  <si>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</si>
  <si>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</si>
  <si>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</si>
  <si>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</si>
  <si>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</si>
  <si>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</si>
  <si>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</si>
  <si>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</si>
  <si>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</si>
  <si>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</si>
  <si>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</si>
  <si>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</si>
  <si>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</si>
  <si>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</si>
  <si>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</si>
  <si>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</si>
  <si>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</si>
  <si>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</si>
  <si>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</si>
  <si>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</si>
  <si>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</si>
  <si>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</si>
  <si>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</si>
  <si>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</si>
  <si>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</si>
  <si>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</si>
  <si>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</si>
  <si>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</si>
  <si>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</si>
  <si>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</si>
  <si>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</si>
  <si>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</si>
  <si>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</si>
  <si>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</si>
  <si>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</si>
  <si>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</si>
  <si>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</si>
  <si>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</si>
  <si>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</si>
  <si>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</si>
  <si>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</si>
  <si>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</si>
  <si>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</si>
  <si>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</si>
  <si>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</si>
  <si>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</si>
  <si>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</si>
  <si>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</si>
  <si>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</si>
  <si>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</si>
  <si>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</si>
  <si>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</si>
  <si>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</si>
  <si>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</si>
  <si>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</si>
  <si>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</si>
  <si>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</si>
  <si>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</si>
  <si>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</si>
  <si>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</si>
  <si>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</si>
  <si>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</si>
  <si>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</si>
  <si>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</si>
  <si>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</si>
  <si>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</si>
  <si>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</si>
  <si>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</si>
  <si>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</si>
  <si>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</si>
  <si>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</si>
  <si>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</si>
  <si>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</si>
  <si>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</si>
  <si>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</si>
  <si>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</si>
  <si>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</si>
  <si>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</si>
  <si>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</si>
  <si>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</si>
  <si>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</si>
  <si>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</si>
  <si>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</si>
  <si>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</si>
  <si>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</si>
  <si>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</si>
  <si>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</si>
  <si>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</si>
  <si>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</si>
  <si>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</si>
  <si>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</si>
  <si>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</si>
  <si>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</si>
  <si>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</si>
  <si>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</si>
  <si>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</si>
  <si>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</si>
  <si>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</si>
  <si>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</si>
  <si>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</si>
  <si>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</si>
  <si>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</si>
  <si>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</si>
  <si>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</si>
  <si>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</si>
  <si>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</si>
  <si>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</si>
  <si>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</si>
  <si>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</si>
  <si>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</si>
  <si>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</si>
  <si>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</si>
  <si>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</si>
  <si>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</si>
  <si>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</si>
  <si>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</si>
  <si>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</si>
  <si>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</si>
  <si>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</si>
  <si>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</si>
  <si>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</si>
  <si>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</si>
  <si>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</si>
  <si>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</si>
  <si>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</si>
  <si>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</si>
  <si>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</si>
  <si>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</si>
  <si>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</si>
  <si>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</si>
  <si>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</si>
  <si>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</si>
  <si>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</si>
  <si>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</si>
  <si>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</si>
  <si>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</si>
  <si>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</si>
  <si>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</si>
  <si>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</si>
  <si>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</si>
  <si>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</si>
  <si>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</si>
  <si>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</si>
  <si>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</si>
  <si>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</si>
  <si>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</si>
  <si>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</si>
  <si>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</si>
  <si>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</si>
  <si>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</si>
  <si>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</si>
  <si>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</si>
  <si>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</si>
  <si>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</si>
  <si>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</si>
  <si>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</si>
  <si>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</si>
  <si>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</si>
  <si>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</si>
  <si>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</si>
  <si>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</si>
  <si>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</si>
  <si>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</si>
  <si>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</si>
  <si>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</si>
  <si>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</si>
  <si>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</si>
  <si>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</si>
  <si>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</si>
  <si>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</si>
  <si>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</si>
  <si>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</si>
  <si>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</si>
  <si>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</si>
  <si>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</si>
  <si>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</si>
  <si>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</si>
  <si>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</si>
  <si>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</si>
  <si>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</si>
  <si>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</si>
  <si>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</si>
  <si>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</si>
  <si>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</si>
  <si>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</si>
  <si>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</si>
  <si>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</si>
  <si>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</si>
  <si>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</si>
  <si>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</si>
  <si>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</si>
  <si>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</si>
  <si>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</si>
  <si>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</si>
  <si>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</si>
  <si>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</si>
  <si>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</si>
  <si>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</si>
  <si>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</si>
  <si>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</si>
  <si>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</si>
  <si>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</si>
  <si>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</si>
  <si>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</si>
  <si>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</si>
  <si>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</si>
  <si>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</si>
  <si>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</si>
  <si>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</si>
  <si>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</si>
  <si>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</si>
  <si>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</si>
  <si>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</si>
  <si>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</si>
  <si>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</si>
  <si>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</si>
  <si>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</si>
  <si>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</si>
  <si>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</si>
  <si>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</si>
  <si>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</si>
  <si>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</si>
  <si>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</si>
  <si>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</si>
  <si>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</si>
  <si>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</si>
  <si>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</si>
  <si>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</si>
  <si>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</si>
  <si>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</si>
  <si>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</si>
  <si>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</si>
  <si>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</si>
  <si>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</si>
  <si>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</si>
  <si>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</si>
  <si>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</si>
  <si>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</si>
  <si>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</si>
  <si>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</si>
  <si>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</si>
  <si>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</si>
  <si>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</si>
  <si>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</si>
  <si>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</si>
  <si>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</si>
  <si>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</si>
  <si>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</si>
  <si>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</si>
  <si>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</si>
  <si>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</si>
  <si>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</si>
  <si>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</si>
  <si>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</si>
  <si>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</si>
  <si>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</si>
  <si>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</si>
  <si>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</si>
  <si>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</si>
  <si>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</si>
  <si>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</si>
  <si>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</si>
  <si>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</si>
  <si>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</si>
  <si>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</si>
  <si>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</si>
  <si>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</si>
  <si>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</si>
  <si>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</si>
  <si>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</si>
  <si>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</si>
  <si>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</si>
  <si>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</si>
  <si>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</si>
  <si>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</si>
  <si>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</si>
  <si>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</si>
  <si>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</si>
  <si>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</si>
  <si>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</si>
  <si>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</si>
  <si>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</si>
  <si>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</si>
  <si>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</si>
  <si>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</si>
  <si>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</si>
  <si>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</si>
  <si>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</si>
  <si>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</si>
  <si>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</si>
  <si>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</si>
  <si>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</si>
  <si>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</si>
  <si>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</si>
  <si>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</si>
  <si>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</si>
  <si>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</si>
  <si>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</si>
  <si>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</si>
  <si>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</si>
  <si>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</si>
  <si>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</si>
  <si>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</si>
  <si>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</si>
  <si>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</si>
  <si>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</si>
  <si>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</si>
  <si>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</si>
  <si>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</si>
  <si>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</si>
  <si>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</si>
  <si>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</si>
  <si>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</si>
  <si>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</si>
  <si>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</si>
  <si>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</si>
  <si>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</si>
  <si>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</si>
  <si>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</si>
  <si>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</si>
  <si>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</si>
  <si>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</si>
  <si>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</si>
  <si>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</si>
  <si>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</si>
  <si>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</si>
  <si>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</si>
  <si>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</si>
  <si>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</si>
  <si>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</si>
  <si>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</si>
  <si>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</si>
  <si>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</si>
  <si>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</si>
  <si>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</si>
  <si>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</si>
  <si>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</si>
  <si>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</si>
  <si>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</si>
  <si>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</si>
  <si>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</si>
  <si>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</si>
  <si>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</si>
  <si>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</si>
  <si>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</si>
  <si>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</si>
  <si>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</si>
  <si>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</si>
  <si>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</si>
  <si>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</si>
  <si>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</si>
  <si>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</si>
  <si>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</si>
  <si>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</si>
  <si>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</si>
  <si>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</si>
  <si>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</si>
  <si>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</si>
  <si>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</si>
  <si>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</si>
  <si>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</si>
  <si>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</si>
  <si>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</si>
  <si>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</si>
  <si>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</si>
  <si>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</si>
  <si>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</si>
  <si>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</si>
  <si>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</si>
  <si>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</si>
  <si>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</si>
  <si>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</si>
  <si>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</si>
  <si>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</si>
  <si>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</si>
  <si>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</si>
  <si>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</si>
  <si>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</si>
  <si>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</si>
  <si>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</si>
  <si>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</si>
  <si>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</si>
  <si>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</si>
  <si>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</si>
  <si>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</si>
  <si>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</si>
  <si>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</si>
  <si>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</si>
  <si>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</si>
  <si>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</si>
  <si>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</si>
  <si>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</si>
  <si>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</si>
  <si>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</si>
  <si>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</si>
  <si>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</si>
  <si>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</si>
  <si>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</si>
  <si>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</si>
  <si>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</si>
  <si>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</si>
  <si>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</si>
  <si>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</si>
  <si>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</si>
  <si>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</si>
  <si>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</si>
  <si>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</si>
  <si>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</si>
  <si>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</si>
  <si>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</si>
  <si>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</si>
  <si>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</si>
  <si>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</si>
  <si>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</si>
  <si>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</si>
  <si>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</si>
  <si>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</si>
  <si>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</si>
  <si>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</si>
  <si>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</si>
  <si>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</si>
  <si>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</si>
  <si>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</si>
  <si>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</si>
  <si>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</si>
  <si>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</si>
  <si>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</si>
  <si>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</si>
  <si>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</si>
  <si>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</si>
  <si>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</si>
  <si>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</si>
  <si>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</si>
  <si>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</si>
  <si>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</si>
  <si>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</si>
  <si>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</si>
  <si>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</si>
  <si>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</si>
  <si>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</si>
  <si>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</si>
  <si>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</si>
  <si>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</si>
  <si>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</si>
  <si>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</si>
  <si>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</si>
  <si>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</si>
  <si>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</si>
  <si>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</si>
  <si>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</si>
  <si>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</si>
  <si>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</si>
  <si>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</si>
  <si>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</si>
  <si>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</si>
  <si>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</si>
  <si>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</si>
  <si>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</si>
  <si>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</si>
  <si>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</si>
  <si>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</si>
  <si>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</si>
  <si>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</si>
  <si>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</si>
  <si>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</si>
  <si>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</si>
  <si>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</si>
  <si>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</si>
  <si>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</si>
  <si>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</si>
  <si>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</si>
  <si>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</si>
  <si>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</si>
  <si>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</si>
  <si>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</si>
  <si>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</si>
  <si>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</si>
  <si>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</si>
  <si>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</si>
  <si>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</si>
  <si>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</si>
  <si>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</si>
  <si>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</si>
  <si>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</si>
  <si>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</si>
  <si>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</si>
  <si>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</si>
  <si>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</si>
  <si>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</si>
  <si>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</si>
  <si>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</si>
  <si>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</si>
  <si>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</si>
  <si>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</si>
  <si>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</si>
  <si>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</si>
  <si>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</si>
  <si>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</si>
  <si>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</si>
  <si>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</si>
  <si>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</si>
  <si>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</si>
  <si>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</si>
  <si>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</si>
  <si>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</si>
  <si>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</si>
  <si>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</si>
  <si>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</si>
  <si>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</si>
  <si>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</si>
  <si>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</si>
  <si>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</si>
  <si>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</si>
  <si>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</si>
  <si>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</si>
  <si>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</si>
  <si>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</si>
  <si>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</si>
  <si>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</si>
  <si>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</si>
  <si>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</si>
  <si>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</si>
  <si>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</si>
  <si>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</si>
  <si>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</si>
  <si>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</si>
  <si>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</si>
  <si>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</si>
  <si>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</si>
  <si>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</si>
  <si>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</si>
  <si>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</si>
  <si>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</si>
  <si>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</si>
  <si>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</si>
  <si>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</si>
  <si>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</si>
  <si>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</si>
  <si>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</si>
  <si>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</si>
  <si>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</si>
  <si>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</si>
  <si>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</si>
  <si>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</si>
  <si>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</si>
  <si>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</si>
  <si>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</si>
  <si>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</si>
  <si>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</si>
  <si>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</si>
  <si>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</si>
  <si>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</si>
  <si>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</si>
  <si>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</si>
  <si>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</si>
  <si>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</si>
  <si>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</si>
  <si>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</si>
  <si>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</si>
  <si>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</si>
  <si>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</si>
  <si>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</si>
  <si>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</si>
  <si>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</si>
  <si>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</si>
  <si>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</si>
  <si>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</si>
  <si>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</si>
  <si>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</si>
  <si>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</si>
  <si>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</si>
  <si>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</si>
  <si>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</si>
  <si>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</si>
  <si>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</si>
  <si>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</si>
  <si>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</si>
  <si>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</si>
  <si>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</si>
  <si>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</si>
  <si>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</si>
  <si>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</si>
  <si>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</si>
  <si>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</si>
  <si>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</si>
  <si>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</si>
  <si>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</si>
  <si>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</si>
  <si>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</si>
  <si>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</si>
  <si>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</si>
  <si>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</si>
  <si>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</si>
  <si>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</si>
  <si>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</si>
  <si>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</si>
  <si>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</si>
  <si>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</si>
  <si>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</si>
  <si>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</si>
  <si>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</si>
  <si>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</si>
  <si>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</si>
  <si>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</si>
  <si>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</si>
  <si>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</si>
  <si>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</si>
  <si>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</si>
  <si>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</si>
  <si>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</si>
  <si>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</si>
  <si>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</si>
  <si>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</si>
  <si>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</si>
  <si>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</si>
  <si>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</si>
  <si>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</si>
  <si>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</si>
  <si>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</si>
  <si>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</si>
  <si>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</si>
  <si>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</si>
  <si>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</si>
  <si>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</si>
  <si>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</si>
  <si>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</si>
  <si>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</si>
  <si>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</si>
  <si>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</si>
  <si>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</si>
  <si>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</si>
  <si>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</si>
  <si>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</si>
  <si>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</si>
  <si>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</si>
  <si>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</si>
  <si>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</si>
  <si>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</si>
  <si>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</si>
  <si>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</si>
  <si>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</si>
  <si>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</si>
  <si>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</si>
  <si>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</si>
  <si>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</si>
  <si>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</si>
  <si>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</si>
  <si>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</si>
  <si>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</si>
  <si>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</si>
  <si>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</si>
  <si>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</si>
  <si>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</si>
  <si>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</si>
  <si>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</si>
  <si>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</si>
  <si>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</si>
  <si>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</si>
  <si>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</si>
  <si>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</si>
  <si>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</si>
  <si>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</si>
  <si>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</si>
  <si>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</si>
  <si>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</si>
  <si>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</si>
  <si>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</si>
  <si>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</si>
  <si>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</si>
  <si>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</si>
  <si>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</si>
  <si>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</si>
  <si>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</si>
  <si>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</si>
  <si>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</si>
  <si>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</si>
  <si>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</si>
  <si>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</si>
  <si>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</si>
  <si>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</si>
  <si>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</si>
  <si>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</si>
  <si>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</si>
  <si>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</si>
  <si>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</si>
  <si>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</si>
  <si>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</si>
  <si>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</si>
  <si>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</si>
  <si>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</si>
  <si>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</si>
  <si>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</si>
  <si>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</si>
  <si>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</si>
  <si>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</si>
  <si>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</si>
  <si>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</si>
  <si>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</si>
  <si>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</si>
  <si>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</si>
  <si>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</si>
  <si>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</si>
  <si>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</si>
  <si>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</si>
  <si>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</si>
  <si>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</si>
  <si>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</si>
  <si>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</si>
  <si>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</si>
  <si>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</si>
  <si>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</si>
  <si>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</si>
  <si>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</si>
  <si>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</si>
  <si>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</si>
  <si>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</si>
  <si>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</si>
  <si>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</si>
  <si>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</si>
  <si>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</si>
  <si>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</si>
  <si>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</si>
  <si>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</si>
  <si>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</si>
  <si>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</si>
  <si>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</si>
  <si>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</si>
  <si>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</si>
  <si>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</si>
  <si>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</si>
  <si>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</si>
  <si>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</si>
  <si>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</si>
  <si>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</si>
  <si>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</si>
  <si>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</si>
  <si>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</si>
  <si>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</si>
  <si>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</si>
  <si>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</si>
  <si>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</si>
  <si>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</si>
  <si>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</si>
  <si>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</si>
  <si>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</si>
  <si>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</si>
  <si>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</si>
  <si>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</si>
  <si>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</si>
  <si>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</si>
  <si>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</si>
  <si>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</si>
  <si>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</si>
  <si>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</si>
  <si>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</si>
  <si>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</si>
  <si>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</si>
  <si>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</si>
  <si>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</si>
  <si>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</si>
  <si>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</si>
  <si>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</si>
  <si>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</si>
  <si>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</si>
  <si>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</si>
  <si>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</si>
  <si>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</si>
  <si>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</si>
  <si>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</si>
  <si>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</si>
  <si>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</si>
  <si>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</si>
  <si>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</si>
  <si>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</si>
  <si>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</si>
  <si>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</si>
  <si>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</si>
  <si>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</si>
  <si>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</si>
  <si>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</si>
  <si>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</si>
  <si>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</si>
  <si>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</si>
  <si>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</si>
  <si>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</si>
  <si>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</si>
  <si>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</si>
  <si>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</si>
  <si>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</si>
  <si>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</si>
  <si>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</si>
  <si>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</si>
  <si>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</si>
  <si>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</si>
  <si>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</si>
  <si>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</si>
  <si>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</si>
  <si>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</si>
  <si>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</si>
  <si>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</si>
  <si>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</si>
  <si>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</si>
  <si>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</si>
  <si>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</si>
  <si>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</si>
  <si>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</si>
  <si>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</si>
  <si>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</si>
  <si>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</si>
  <si>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</si>
  <si>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</si>
  <si>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</si>
  <si>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</si>
  <si>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</si>
  <si>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</si>
  <si>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</si>
  <si>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</si>
  <si>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</si>
  <si>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</si>
  <si>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</si>
  <si>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</si>
  <si>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</si>
  <si>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</si>
  <si>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</si>
  <si>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</si>
  <si>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</si>
  <si>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</si>
  <si>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</si>
  <si>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</si>
  <si>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</si>
  <si>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</si>
  <si>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</si>
  <si>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</si>
  <si>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</si>
  <si>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</si>
  <si>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</si>
  <si>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</si>
  <si>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</si>
  <si>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</si>
  <si>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</si>
  <si>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</si>
  <si>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</si>
  <si>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</si>
  <si>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</si>
  <si>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</si>
  <si>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</si>
  <si>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</si>
  <si>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</si>
  <si>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</si>
  <si>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</si>
  <si>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</si>
  <si>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</si>
  <si>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</si>
  <si>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</si>
  <si>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</si>
  <si>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</si>
  <si>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</si>
  <si>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</si>
  <si>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</si>
  <si>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</si>
  <si>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</si>
  <si>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</si>
  <si>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</si>
  <si>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</si>
  <si>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</si>
  <si>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</si>
  <si>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</si>
  <si>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</si>
  <si>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</si>
  <si>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</si>
  <si>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</si>
  <si>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</si>
  <si>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</si>
  <si>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31005</t>
  </si>
  <si>
    <t>BRUGGE</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</si>
  <si>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</si>
  <si>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</si>
  <si>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</si>
  <si>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</si>
  <si>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</si>
  <si>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</si>
  <si>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</si>
  <si>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</si>
  <si>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</si>
  <si>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</si>
  <si>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</si>
  <si>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Guido Vandenbulcke</t>
  </si>
  <si>
    <t>Groene-Poortdreef 3 , 8200 Sint-Michiels</t>
  </si>
  <si>
    <t>WKK-0279 Guido Vandenbulcke</t>
  </si>
  <si>
    <t>stirlingmotor</t>
  </si>
  <si>
    <t>Sweetee bvba</t>
  </si>
  <si>
    <t>Hoge Hul 34-38 , 8000 Brugge</t>
  </si>
  <si>
    <t>WKK-0489 Sweetee</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</si>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</sst>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31005</v>
      </c>
      <c r="B6" s="397"/>
      <c r="C6" s="398"/>
    </row>
    <row r="7" spans="1:7" s="395" customFormat="1" ht="15.75" customHeight="1">
      <c r="A7" s="399" t="str">
        <f>txtMunicipality</f>
        <v>BRUGGE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0.19099055050447439</v>
      </c>
      <c r="C17" s="510">
        <f ca="1">'EF ele_warmte'!B22</f>
        <v>7.9168657405294079E-2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0.19099055050447439</v>
      </c>
      <c r="C29" s="511">
        <f ca="1">'EF ele_warmte'!B22</f>
        <v>7.9168657405294079E-2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52549</v>
      </c>
      <c r="C9" s="338">
        <v>53799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4596</v>
      </c>
    </row>
    <row r="15" spans="1:6">
      <c r="A15" s="1286" t="s">
        <v>184</v>
      </c>
      <c r="B15" s="335">
        <v>753</v>
      </c>
    </row>
    <row r="16" spans="1:6">
      <c r="A16" s="1286" t="s">
        <v>6</v>
      </c>
      <c r="B16" s="335">
        <v>1263</v>
      </c>
    </row>
    <row r="17" spans="1:6">
      <c r="A17" s="1286" t="s">
        <v>7</v>
      </c>
      <c r="B17" s="335">
        <v>1385</v>
      </c>
    </row>
    <row r="18" spans="1:6">
      <c r="A18" s="1286" t="s">
        <v>8</v>
      </c>
      <c r="B18" s="335">
        <v>1939</v>
      </c>
    </row>
    <row r="19" spans="1:6">
      <c r="A19" s="1286" t="s">
        <v>9</v>
      </c>
      <c r="B19" s="335">
        <v>1854</v>
      </c>
    </row>
    <row r="20" spans="1:6">
      <c r="A20" s="1286" t="s">
        <v>10</v>
      </c>
      <c r="B20" s="335">
        <v>1865</v>
      </c>
    </row>
    <row r="21" spans="1:6">
      <c r="A21" s="1286" t="s">
        <v>11</v>
      </c>
      <c r="B21" s="335">
        <v>3386</v>
      </c>
    </row>
    <row r="22" spans="1:6">
      <c r="A22" s="1286" t="s">
        <v>12</v>
      </c>
      <c r="B22" s="335">
        <v>17597</v>
      </c>
    </row>
    <row r="23" spans="1:6">
      <c r="A23" s="1286" t="s">
        <v>13</v>
      </c>
      <c r="B23" s="335">
        <v>245</v>
      </c>
    </row>
    <row r="24" spans="1:6">
      <c r="A24" s="1286" t="s">
        <v>14</v>
      </c>
      <c r="B24" s="335">
        <v>11</v>
      </c>
    </row>
    <row r="25" spans="1:6">
      <c r="A25" s="1286" t="s">
        <v>15</v>
      </c>
      <c r="B25" s="335">
        <v>700</v>
      </c>
    </row>
    <row r="26" spans="1:6">
      <c r="A26" s="1286" t="s">
        <v>16</v>
      </c>
      <c r="B26" s="335">
        <v>780</v>
      </c>
    </row>
    <row r="27" spans="1:6">
      <c r="A27" s="1286" t="s">
        <v>17</v>
      </c>
      <c r="B27" s="335">
        <v>118</v>
      </c>
    </row>
    <row r="28" spans="1:6" s="341" customFormat="1">
      <c r="A28" s="1287" t="s">
        <v>18</v>
      </c>
      <c r="B28" s="1287">
        <v>173442</v>
      </c>
    </row>
    <row r="29" spans="1:6">
      <c r="A29" s="1287" t="s">
        <v>942</v>
      </c>
      <c r="B29" s="1287">
        <v>348</v>
      </c>
      <c r="C29" s="341"/>
      <c r="D29" s="341"/>
      <c r="E29" s="341"/>
      <c r="F29" s="341"/>
    </row>
    <row r="30" spans="1:6">
      <c r="A30" s="1282" t="s">
        <v>943</v>
      </c>
      <c r="B30" s="1282">
        <v>76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9</v>
      </c>
      <c r="F35" s="335">
        <v>751198.231305697</v>
      </c>
    </row>
    <row r="36" spans="1:6">
      <c r="A36" s="1286" t="s">
        <v>25</v>
      </c>
      <c r="B36" s="1286" t="s">
        <v>27</v>
      </c>
      <c r="C36" s="335">
        <v>9</v>
      </c>
      <c r="D36" s="335">
        <v>1787398.24363103</v>
      </c>
      <c r="E36" s="335">
        <v>22</v>
      </c>
      <c r="F36" s="335">
        <v>793223.49254284101</v>
      </c>
    </row>
    <row r="37" spans="1:6">
      <c r="A37" s="1286" t="s">
        <v>25</v>
      </c>
      <c r="B37" s="1286" t="s">
        <v>28</v>
      </c>
      <c r="C37" s="335">
        <v>0</v>
      </c>
      <c r="D37" s="335">
        <v>0</v>
      </c>
      <c r="E37" s="335">
        <v>0</v>
      </c>
      <c r="F37" s="335">
        <v>0</v>
      </c>
    </row>
    <row r="38" spans="1:6">
      <c r="A38" s="1286" t="s">
        <v>25</v>
      </c>
      <c r="B38" s="1286" t="s">
        <v>29</v>
      </c>
      <c r="C38" s="335">
        <v>5</v>
      </c>
      <c r="D38" s="335">
        <v>1401796.3660901899</v>
      </c>
      <c r="E38" s="335">
        <v>12</v>
      </c>
      <c r="F38" s="335">
        <v>288371.05904351699</v>
      </c>
    </row>
    <row r="39" spans="1:6">
      <c r="A39" s="1286" t="s">
        <v>30</v>
      </c>
      <c r="B39" s="1286" t="s">
        <v>31</v>
      </c>
      <c r="C39" s="335">
        <v>43499</v>
      </c>
      <c r="D39" s="335">
        <v>723029881.53750098</v>
      </c>
      <c r="E39" s="335">
        <v>53115</v>
      </c>
      <c r="F39" s="335">
        <v>192416772.72077101</v>
      </c>
    </row>
    <row r="40" spans="1:6">
      <c r="A40" s="1286" t="s">
        <v>30</v>
      </c>
      <c r="B40" s="1286" t="s">
        <v>29</v>
      </c>
      <c r="C40" s="335">
        <v>0</v>
      </c>
      <c r="D40" s="335">
        <v>0</v>
      </c>
      <c r="E40" s="335">
        <v>1</v>
      </c>
      <c r="F40" s="335">
        <v>9123.9193107055999</v>
      </c>
    </row>
    <row r="41" spans="1:6">
      <c r="A41" s="1286" t="s">
        <v>32</v>
      </c>
      <c r="B41" s="1286" t="s">
        <v>33</v>
      </c>
      <c r="C41" s="335">
        <v>391</v>
      </c>
      <c r="D41" s="335">
        <v>11246005.9583099</v>
      </c>
      <c r="E41" s="335">
        <v>790</v>
      </c>
      <c r="F41" s="335">
        <v>13679226.0360552</v>
      </c>
    </row>
    <row r="42" spans="1:6">
      <c r="A42" s="1286" t="s">
        <v>32</v>
      </c>
      <c r="B42" s="1286" t="s">
        <v>34</v>
      </c>
      <c r="C42" s="335">
        <v>3</v>
      </c>
      <c r="D42" s="335">
        <v>187734.66317818101</v>
      </c>
      <c r="E42" s="335">
        <v>4</v>
      </c>
      <c r="F42" s="335">
        <v>3191501.58014597</v>
      </c>
    </row>
    <row r="43" spans="1:6">
      <c r="A43" s="1286" t="s">
        <v>32</v>
      </c>
      <c r="B43" s="1286" t="s">
        <v>35</v>
      </c>
      <c r="C43" s="335">
        <v>0</v>
      </c>
      <c r="D43" s="335">
        <v>0</v>
      </c>
      <c r="E43" s="335">
        <v>0</v>
      </c>
      <c r="F43" s="335">
        <v>0</v>
      </c>
    </row>
    <row r="44" spans="1:6">
      <c r="A44" s="1286" t="s">
        <v>32</v>
      </c>
      <c r="B44" s="1286" t="s">
        <v>36</v>
      </c>
      <c r="C44" s="335">
        <v>23</v>
      </c>
      <c r="D44" s="335">
        <v>6461730.3413013499</v>
      </c>
      <c r="E44" s="335">
        <v>93</v>
      </c>
      <c r="F44" s="335">
        <v>4926770.4063774897</v>
      </c>
    </row>
    <row r="45" spans="1:6">
      <c r="A45" s="1286" t="s">
        <v>32</v>
      </c>
      <c r="B45" s="1286" t="s">
        <v>37</v>
      </c>
      <c r="C45" s="335">
        <v>3</v>
      </c>
      <c r="D45" s="335">
        <v>60593.963761166</v>
      </c>
      <c r="E45" s="335">
        <v>15</v>
      </c>
      <c r="F45" s="335">
        <v>2636501.83473494</v>
      </c>
    </row>
    <row r="46" spans="1:6">
      <c r="A46" s="1286" t="s">
        <v>32</v>
      </c>
      <c r="B46" s="1286" t="s">
        <v>38</v>
      </c>
      <c r="C46" s="335">
        <v>0</v>
      </c>
      <c r="D46" s="335">
        <v>0</v>
      </c>
      <c r="E46" s="335">
        <v>0</v>
      </c>
      <c r="F46" s="335">
        <v>0</v>
      </c>
    </row>
    <row r="47" spans="1:6">
      <c r="A47" s="1286" t="s">
        <v>32</v>
      </c>
      <c r="B47" s="1286" t="s">
        <v>39</v>
      </c>
      <c r="C47" s="335">
        <v>47</v>
      </c>
      <c r="D47" s="335">
        <v>1962025.7598327999</v>
      </c>
      <c r="E47" s="335">
        <v>55</v>
      </c>
      <c r="F47" s="335">
        <v>3880533.9259944898</v>
      </c>
    </row>
    <row r="48" spans="1:6">
      <c r="A48" s="1286" t="s">
        <v>32</v>
      </c>
      <c r="B48" s="1286" t="s">
        <v>29</v>
      </c>
      <c r="C48" s="335">
        <v>136</v>
      </c>
      <c r="D48" s="335">
        <v>130885619.90242399</v>
      </c>
      <c r="E48" s="335">
        <v>151</v>
      </c>
      <c r="F48" s="335">
        <v>53970829.632370003</v>
      </c>
    </row>
    <row r="49" spans="1:6">
      <c r="A49" s="1286" t="s">
        <v>32</v>
      </c>
      <c r="B49" s="1286" t="s">
        <v>40</v>
      </c>
      <c r="C49" s="335">
        <v>17</v>
      </c>
      <c r="D49" s="335">
        <v>320849.72766689101</v>
      </c>
      <c r="E49" s="335">
        <v>32</v>
      </c>
      <c r="F49" s="335">
        <v>303391.22759298497</v>
      </c>
    </row>
    <row r="50" spans="1:6">
      <c r="A50" s="1286" t="s">
        <v>32</v>
      </c>
      <c r="B50" s="1286" t="s">
        <v>41</v>
      </c>
      <c r="C50" s="335">
        <v>106</v>
      </c>
      <c r="D50" s="335">
        <v>19824809.7773824</v>
      </c>
      <c r="E50" s="335">
        <v>134</v>
      </c>
      <c r="F50" s="335">
        <v>21139505.0083481</v>
      </c>
    </row>
    <row r="51" spans="1:6">
      <c r="A51" s="1286" t="s">
        <v>42</v>
      </c>
      <c r="B51" s="1286" t="s">
        <v>43</v>
      </c>
      <c r="C51" s="335">
        <v>133</v>
      </c>
      <c r="D51" s="335">
        <v>17613152.635140501</v>
      </c>
      <c r="E51" s="335">
        <v>329</v>
      </c>
      <c r="F51" s="335">
        <v>7705694.0197868897</v>
      </c>
    </row>
    <row r="52" spans="1:6">
      <c r="A52" s="1286" t="s">
        <v>42</v>
      </c>
      <c r="B52" s="1286" t="s">
        <v>29</v>
      </c>
      <c r="C52" s="335">
        <v>15</v>
      </c>
      <c r="D52" s="335">
        <v>671611.41278443299</v>
      </c>
      <c r="E52" s="335">
        <v>29</v>
      </c>
      <c r="F52" s="335">
        <v>978022.16456090997</v>
      </c>
    </row>
    <row r="53" spans="1:6">
      <c r="A53" s="1286" t="s">
        <v>44</v>
      </c>
      <c r="B53" s="1286" t="s">
        <v>45</v>
      </c>
      <c r="C53" s="335">
        <v>1025</v>
      </c>
      <c r="D53" s="335">
        <v>33155266.849498499</v>
      </c>
      <c r="E53" s="335">
        <v>1661</v>
      </c>
      <c r="F53" s="335">
        <v>9723805.2683180291</v>
      </c>
    </row>
    <row r="54" spans="1:6">
      <c r="A54" s="1286" t="s">
        <v>46</v>
      </c>
      <c r="B54" s="1286" t="s">
        <v>47</v>
      </c>
      <c r="C54" s="335">
        <v>0</v>
      </c>
      <c r="D54" s="335">
        <v>0</v>
      </c>
      <c r="E54" s="335">
        <v>2</v>
      </c>
      <c r="F54" s="335">
        <v>8400681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493</v>
      </c>
      <c r="D57" s="335">
        <v>62898555.2961035</v>
      </c>
      <c r="E57" s="335">
        <v>700</v>
      </c>
      <c r="F57" s="335">
        <v>30949470.5627097</v>
      </c>
    </row>
    <row r="58" spans="1:6">
      <c r="A58" s="1286" t="s">
        <v>49</v>
      </c>
      <c r="B58" s="1286" t="s">
        <v>51</v>
      </c>
      <c r="C58" s="335">
        <v>323</v>
      </c>
      <c r="D58" s="335">
        <v>44828888.993939802</v>
      </c>
      <c r="E58" s="335">
        <v>408</v>
      </c>
      <c r="F58" s="335">
        <v>29104361.403246999</v>
      </c>
    </row>
    <row r="59" spans="1:6">
      <c r="A59" s="1286" t="s">
        <v>49</v>
      </c>
      <c r="B59" s="1286" t="s">
        <v>52</v>
      </c>
      <c r="C59" s="335">
        <v>1287</v>
      </c>
      <c r="D59" s="335">
        <v>54897920.253795102</v>
      </c>
      <c r="E59" s="335">
        <v>2093</v>
      </c>
      <c r="F59" s="335">
        <v>79132478.036280006</v>
      </c>
    </row>
    <row r="60" spans="1:6">
      <c r="A60" s="1286" t="s">
        <v>49</v>
      </c>
      <c r="B60" s="1286" t="s">
        <v>53</v>
      </c>
      <c r="C60" s="335">
        <v>928</v>
      </c>
      <c r="D60" s="335">
        <v>72090729.627941906</v>
      </c>
      <c r="E60" s="335">
        <v>1110</v>
      </c>
      <c r="F60" s="335">
        <v>46748728.839010902</v>
      </c>
    </row>
    <row r="61" spans="1:6">
      <c r="A61" s="1286" t="s">
        <v>49</v>
      </c>
      <c r="B61" s="1286" t="s">
        <v>54</v>
      </c>
      <c r="C61" s="335">
        <v>1689</v>
      </c>
      <c r="D61" s="335">
        <v>117891785.411302</v>
      </c>
      <c r="E61" s="335">
        <v>3382</v>
      </c>
      <c r="F61" s="335">
        <v>108971824.062277</v>
      </c>
    </row>
    <row r="62" spans="1:6">
      <c r="A62" s="1286" t="s">
        <v>49</v>
      </c>
      <c r="B62" s="1286" t="s">
        <v>55</v>
      </c>
      <c r="C62" s="335">
        <v>120</v>
      </c>
      <c r="D62" s="335">
        <v>31884403.319839999</v>
      </c>
      <c r="E62" s="335">
        <v>160</v>
      </c>
      <c r="F62" s="335">
        <v>9626055.1627887692</v>
      </c>
    </row>
    <row r="63" spans="1:6">
      <c r="A63" s="1286" t="s">
        <v>49</v>
      </c>
      <c r="B63" s="1286" t="s">
        <v>29</v>
      </c>
      <c r="C63" s="335">
        <v>406</v>
      </c>
      <c r="D63" s="335">
        <v>44019569.040067598</v>
      </c>
      <c r="E63" s="335">
        <v>340</v>
      </c>
      <c r="F63" s="335">
        <v>18832493.944781199</v>
      </c>
    </row>
    <row r="64" spans="1:6">
      <c r="A64" s="1286" t="s">
        <v>56</v>
      </c>
      <c r="B64" s="1286" t="s">
        <v>57</v>
      </c>
      <c r="C64" s="335">
        <v>0</v>
      </c>
      <c r="D64" s="335">
        <v>0</v>
      </c>
      <c r="E64" s="335">
        <v>0</v>
      </c>
      <c r="F64" s="335">
        <v>0</v>
      </c>
    </row>
    <row r="65" spans="1:6">
      <c r="A65" s="1286" t="s">
        <v>56</v>
      </c>
      <c r="B65" s="1286" t="s">
        <v>29</v>
      </c>
      <c r="C65" s="335">
        <v>18</v>
      </c>
      <c r="D65" s="335">
        <v>1775517.44822047</v>
      </c>
      <c r="E65" s="335">
        <v>15</v>
      </c>
      <c r="F65" s="335">
        <v>1351659.2061382299</v>
      </c>
    </row>
    <row r="66" spans="1:6">
      <c r="A66" s="1286" t="s">
        <v>56</v>
      </c>
      <c r="B66" s="1286" t="s">
        <v>58</v>
      </c>
      <c r="C66" s="335">
        <v>4</v>
      </c>
      <c r="D66" s="335">
        <v>42932.271298065003</v>
      </c>
      <c r="E66" s="335">
        <v>10</v>
      </c>
      <c r="F66" s="335">
        <v>77379.683418699002</v>
      </c>
    </row>
    <row r="67" spans="1:6">
      <c r="A67" s="1287" t="s">
        <v>56</v>
      </c>
      <c r="B67" s="1287" t="s">
        <v>59</v>
      </c>
      <c r="C67" s="335">
        <v>0</v>
      </c>
      <c r="D67" s="335">
        <v>0</v>
      </c>
      <c r="E67" s="335">
        <v>0</v>
      </c>
      <c r="F67" s="335">
        <v>0</v>
      </c>
    </row>
    <row r="68" spans="1:6">
      <c r="A68" s="1282" t="s">
        <v>56</v>
      </c>
      <c r="B68" s="1282" t="s">
        <v>60</v>
      </c>
      <c r="C68" s="335">
        <v>19</v>
      </c>
      <c r="D68" s="335">
        <v>1345233.1437113299</v>
      </c>
      <c r="E68" s="335">
        <v>78</v>
      </c>
      <c r="F68" s="335">
        <v>2977993.5458733798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565993470</v>
      </c>
      <c r="E73" s="335">
        <v>578366420.49628794</v>
      </c>
    </row>
    <row r="74" spans="1:6">
      <c r="A74" s="1286" t="s">
        <v>64</v>
      </c>
      <c r="B74" s="1286" t="s">
        <v>772</v>
      </c>
      <c r="C74" s="1297" t="s">
        <v>766</v>
      </c>
      <c r="D74" s="335">
        <v>56750731.760449097</v>
      </c>
      <c r="E74" s="335">
        <v>56381732.594612494</v>
      </c>
    </row>
    <row r="75" spans="1:6">
      <c r="A75" s="1286" t="s">
        <v>65</v>
      </c>
      <c r="B75" s="1286" t="s">
        <v>771</v>
      </c>
      <c r="C75" s="1297" t="s">
        <v>767</v>
      </c>
      <c r="D75" s="335">
        <v>148955438</v>
      </c>
      <c r="E75" s="335">
        <v>156209294.93094966</v>
      </c>
    </row>
    <row r="76" spans="1:6">
      <c r="A76" s="1286" t="s">
        <v>65</v>
      </c>
      <c r="B76" s="1286" t="s">
        <v>772</v>
      </c>
      <c r="C76" s="1297" t="s">
        <v>768</v>
      </c>
      <c r="D76" s="335">
        <v>5975988.7604490984</v>
      </c>
      <c r="E76" s="335">
        <v>5961095.4834503606</v>
      </c>
    </row>
    <row r="77" spans="1:6">
      <c r="A77" s="1286" t="s">
        <v>66</v>
      </c>
      <c r="B77" s="1286" t="s">
        <v>771</v>
      </c>
      <c r="C77" s="1297" t="s">
        <v>769</v>
      </c>
      <c r="D77" s="335">
        <v>84772691</v>
      </c>
      <c r="E77" s="335">
        <v>97773621.040989205</v>
      </c>
    </row>
    <row r="78" spans="1:6">
      <c r="A78" s="1282" t="s">
        <v>66</v>
      </c>
      <c r="B78" s="1282" t="s">
        <v>772</v>
      </c>
      <c r="C78" s="1282" t="s">
        <v>770</v>
      </c>
      <c r="D78" s="1282">
        <v>13452727</v>
      </c>
      <c r="E78" s="1282">
        <v>15216620.008963902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6660526.4791018041</v>
      </c>
      <c r="C83" s="335">
        <v>6286526.8349179998</v>
      </c>
    </row>
    <row r="84" spans="1:6">
      <c r="A84" s="1282" t="s">
        <v>337</v>
      </c>
      <c r="B84" s="338">
        <v>231827.94711172584</v>
      </c>
      <c r="C84" s="338">
        <v>234443.89398521619</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61252.301403525344</v>
      </c>
    </row>
    <row r="91" spans="1:6">
      <c r="A91" s="1286" t="s">
        <v>68</v>
      </c>
      <c r="B91" s="335">
        <v>10153.337715870701</v>
      </c>
    </row>
    <row r="92" spans="1:6">
      <c r="A92" s="1282" t="s">
        <v>69</v>
      </c>
      <c r="B92" s="338">
        <v>15335.880705831541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33975</v>
      </c>
    </row>
    <row r="98" spans="1:6">
      <c r="A98" s="1286" t="s">
        <v>72</v>
      </c>
      <c r="B98" s="335">
        <v>8</v>
      </c>
    </row>
    <row r="99" spans="1:6">
      <c r="A99" s="1286" t="s">
        <v>73</v>
      </c>
      <c r="B99" s="335">
        <v>191</v>
      </c>
    </row>
    <row r="100" spans="1:6">
      <c r="A100" s="1286" t="s">
        <v>74</v>
      </c>
      <c r="B100" s="335">
        <v>3941</v>
      </c>
    </row>
    <row r="101" spans="1:6">
      <c r="A101" s="1286" t="s">
        <v>75</v>
      </c>
      <c r="B101" s="335">
        <v>356</v>
      </c>
    </row>
    <row r="102" spans="1:6">
      <c r="A102" s="1286" t="s">
        <v>76</v>
      </c>
      <c r="B102" s="335">
        <v>1147</v>
      </c>
    </row>
    <row r="103" spans="1:6">
      <c r="A103" s="1286" t="s">
        <v>77</v>
      </c>
      <c r="B103" s="335">
        <v>613</v>
      </c>
    </row>
    <row r="104" spans="1:6">
      <c r="A104" s="1286" t="s">
        <v>78</v>
      </c>
      <c r="B104" s="335">
        <v>8219</v>
      </c>
    </row>
    <row r="105" spans="1:6">
      <c r="A105" s="1282" t="s">
        <v>79</v>
      </c>
      <c r="B105" s="1282">
        <v>33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38</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208</v>
      </c>
    </row>
    <row r="130" spans="1:6">
      <c r="A130" s="1286" t="s">
        <v>295</v>
      </c>
      <c r="B130" s="335">
        <v>7</v>
      </c>
    </row>
    <row r="131" spans="1:6">
      <c r="A131" s="1286" t="s">
        <v>296</v>
      </c>
      <c r="B131" s="335">
        <v>16</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667219.62815027055</v>
      </c>
      <c r="C3" s="44" t="s">
        <v>170</v>
      </c>
      <c r="D3" s="44"/>
      <c r="E3" s="157"/>
      <c r="F3" s="44"/>
      <c r="G3" s="44"/>
      <c r="H3" s="44"/>
      <c r="I3" s="44"/>
      <c r="J3" s="44"/>
      <c r="K3" s="97"/>
    </row>
    <row r="4" spans="1:11">
      <c r="A4" s="365" t="s">
        <v>171</v>
      </c>
      <c r="B4" s="50">
        <f>IF(ISERROR('SEAP template'!B78),0,'SEAP template'!B78)</f>
        <v>94158.276583440922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786.0853915415164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0.19099055050447439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886.32139417276915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11195.357142857143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7.9168657405294079E-2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8400.6810000000005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8400.6810000000005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0.19099055050447439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1604.4506888024785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192425.89664008174</v>
      </c>
      <c r="C5" s="18">
        <f>IF(ISERROR('Eigen informatie GS &amp; warmtenet'!B57),0,'Eigen informatie GS &amp; warmtenet'!B57)</f>
        <v>0</v>
      </c>
      <c r="D5" s="31">
        <f>(SUM(HH_hh_gas_kWh,HH_rest_gas_kWh)/1000)*0.902</f>
        <v>652172.95314682589</v>
      </c>
      <c r="E5" s="18">
        <f>B46*B57</f>
        <v>8461.9940324043182</v>
      </c>
      <c r="F5" s="18">
        <f>B51*B62</f>
        <v>0</v>
      </c>
      <c r="G5" s="19"/>
      <c r="H5" s="18"/>
      <c r="I5" s="18"/>
      <c r="J5" s="18">
        <f>B50*B61+C50*C61</f>
        <v>0</v>
      </c>
      <c r="K5" s="18"/>
      <c r="L5" s="18"/>
      <c r="M5" s="18"/>
      <c r="N5" s="18">
        <f>B48*B59+C48*C59</f>
        <v>51220.543205545262</v>
      </c>
      <c r="O5" s="18">
        <f>B69*B70*B71</f>
        <v>386.14333333333337</v>
      </c>
      <c r="P5" s="18">
        <f>B77*B78*B79/1000-B77*B78*B79/1000/B80</f>
        <v>514.79999999999995</v>
      </c>
    </row>
    <row r="6" spans="1:16">
      <c r="A6" s="17" t="s">
        <v>639</v>
      </c>
      <c r="B6" s="780">
        <f>kWh_PV_kleiner_dan_10kW</f>
        <v>10153.337715870701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202579.23435595245</v>
      </c>
      <c r="C8" s="22">
        <f>C5</f>
        <v>0</v>
      </c>
      <c r="D8" s="22">
        <f>D5</f>
        <v>652172.95314682589</v>
      </c>
      <c r="E8" s="22">
        <f>E5</f>
        <v>8461.9940324043182</v>
      </c>
      <c r="F8" s="22">
        <f>F5</f>
        <v>0</v>
      </c>
      <c r="G8" s="22"/>
      <c r="H8" s="22"/>
      <c r="I8" s="22"/>
      <c r="J8" s="22">
        <f>J5</f>
        <v>0</v>
      </c>
      <c r="K8" s="22"/>
      <c r="L8" s="22">
        <f>L5</f>
        <v>0</v>
      </c>
      <c r="M8" s="22">
        <f>M5</f>
        <v>0</v>
      </c>
      <c r="N8" s="22">
        <f>N5</f>
        <v>51220.543205545262</v>
      </c>
      <c r="O8" s="22">
        <f>O5</f>
        <v>386.14333333333337</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0.19099055050447439</v>
      </c>
      <c r="C10" s="26">
        <f ca="1">'EF ele_warmte'!B22</f>
        <v>7.9168657405294079E-2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38690.719490418291</v>
      </c>
      <c r="C12" s="24">
        <f ca="1">C10*C8</f>
        <v>0</v>
      </c>
      <c r="D12" s="24">
        <f>D8*D10</f>
        <v>131738.93653565884</v>
      </c>
      <c r="E12" s="24">
        <f>E10*E8</f>
        <v>1920.8726453557804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33975</v>
      </c>
      <c r="C18" s="169" t="s">
        <v>111</v>
      </c>
      <c r="D18" s="231"/>
      <c r="E18" s="16"/>
    </row>
    <row r="19" spans="1:7">
      <c r="A19" s="174" t="s">
        <v>72</v>
      </c>
      <c r="B19" s="38">
        <f>aantalw2001_ander</f>
        <v>8</v>
      </c>
      <c r="C19" s="169" t="s">
        <v>111</v>
      </c>
      <c r="D19" s="232"/>
      <c r="E19" s="16"/>
    </row>
    <row r="20" spans="1:7">
      <c r="A20" s="174" t="s">
        <v>73</v>
      </c>
      <c r="B20" s="38">
        <f>aantalw2001_propaan</f>
        <v>191</v>
      </c>
      <c r="C20" s="170">
        <f>IF(ISERROR(B20/SUM($B$20,$B$21,$B$22)*100),0,B20/SUM($B$20,$B$21,$B$22)*100)</f>
        <v>4.2557932263814617</v>
      </c>
      <c r="D20" s="232"/>
      <c r="E20" s="16"/>
    </row>
    <row r="21" spans="1:7">
      <c r="A21" s="174" t="s">
        <v>74</v>
      </c>
      <c r="B21" s="38">
        <f>aantalw2001_elektriciteit</f>
        <v>3941</v>
      </c>
      <c r="C21" s="170">
        <f>IF(ISERROR(B21/SUM($B$20,$B$21,$B$22)*100),0,B21/SUM($B$20,$B$21,$B$22)*100)</f>
        <v>87.811942959001783</v>
      </c>
      <c r="D21" s="232"/>
      <c r="E21" s="16"/>
    </row>
    <row r="22" spans="1:7">
      <c r="A22" s="174" t="s">
        <v>75</v>
      </c>
      <c r="B22" s="38">
        <f>aantalw2001_hout</f>
        <v>356</v>
      </c>
      <c r="C22" s="170">
        <f>IF(ISERROR(B22/SUM($B$20,$B$21,$B$22)*100),0,B22/SUM($B$20,$B$21,$B$22)*100)</f>
        <v>7.9322638146167552</v>
      </c>
      <c r="D22" s="232"/>
      <c r="E22" s="16"/>
    </row>
    <row r="23" spans="1:7">
      <c r="A23" s="174" t="s">
        <v>76</v>
      </c>
      <c r="B23" s="38">
        <f>aantalw2001_niet_gespec</f>
        <v>1147</v>
      </c>
      <c r="C23" s="169" t="s">
        <v>111</v>
      </c>
      <c r="D23" s="231"/>
      <c r="E23" s="16"/>
    </row>
    <row r="24" spans="1:7">
      <c r="A24" s="174" t="s">
        <v>77</v>
      </c>
      <c r="B24" s="38">
        <f>aantalw2001_steenkool</f>
        <v>613</v>
      </c>
      <c r="C24" s="169" t="s">
        <v>111</v>
      </c>
      <c r="D24" s="232"/>
      <c r="E24" s="16"/>
    </row>
    <row r="25" spans="1:7">
      <c r="A25" s="174" t="s">
        <v>78</v>
      </c>
      <c r="B25" s="38">
        <f>aantalw2001_stookolie</f>
        <v>8219</v>
      </c>
      <c r="C25" s="169" t="s">
        <v>111</v>
      </c>
      <c r="D25" s="231"/>
      <c r="E25" s="53"/>
    </row>
    <row r="26" spans="1:7">
      <c r="A26" s="174" t="s">
        <v>79</v>
      </c>
      <c r="B26" s="38">
        <f>aantalw2001_WP</f>
        <v>33</v>
      </c>
      <c r="C26" s="169" t="s">
        <v>111</v>
      </c>
      <c r="D26" s="231"/>
      <c r="E26" s="16"/>
    </row>
    <row r="27" spans="1:7" s="16" customFormat="1">
      <c r="A27" s="174"/>
      <c r="B27" s="30"/>
      <c r="C27" s="37"/>
      <c r="D27" s="231"/>
    </row>
    <row r="28" spans="1:7" s="16" customFormat="1">
      <c r="A28" s="233" t="s">
        <v>665</v>
      </c>
      <c r="B28" s="38">
        <f>aantalHuishoudens2011</f>
        <v>52549</v>
      </c>
      <c r="C28" s="37"/>
      <c r="D28" s="231"/>
    </row>
    <row r="29" spans="1:7" s="16" customFormat="1">
      <c r="A29" s="233" t="s">
        <v>666</v>
      </c>
      <c r="B29" s="38">
        <f>SUM(HH_hh_gas_aantal,HH_rest_gas_aantal)</f>
        <v>43499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43499</v>
      </c>
      <c r="C32" s="170">
        <f>IF(ISERROR(B32/SUM($B$32,$B$34,$B$35,$B$36,$B$38,$B$39)*100),0,B32/SUM($B$32,$B$34,$B$35,$B$36,$B$38,$B$39)*100)</f>
        <v>82.820532348349261</v>
      </c>
      <c r="D32" s="236"/>
      <c r="G32" s="16"/>
    </row>
    <row r="33" spans="1:7">
      <c r="A33" s="174" t="s">
        <v>72</v>
      </c>
      <c r="B33" s="35" t="s">
        <v>111</v>
      </c>
      <c r="C33" s="170"/>
      <c r="D33" s="236"/>
      <c r="G33" s="16"/>
    </row>
    <row r="34" spans="1:7">
      <c r="A34" s="174" t="s">
        <v>73</v>
      </c>
      <c r="B34" s="34">
        <f>IF((($B$28-$B$32-$B$39-$B$77-$B$38)*C20/100)&lt;0,0,($B$28-$B$32-$B$39-$B$77-$B$38)*C20/100)</f>
        <v>384.00022281639934</v>
      </c>
      <c r="C34" s="170">
        <f>IF(ISERROR(B34/SUM($B$32,$B$34,$B$35,$B$36,$B$38,$B$39)*100),0,B34/SUM($B$32,$B$34,$B$35,$B$36,$B$38,$B$39)*100)</f>
        <v>0.73112262064734657</v>
      </c>
      <c r="D34" s="236"/>
      <c r="G34" s="16"/>
    </row>
    <row r="35" spans="1:7">
      <c r="A35" s="174" t="s">
        <v>74</v>
      </c>
      <c r="B35" s="34">
        <f>IF((($B$28-$B$32-$B$39-$B$77-$B$38)*C21/100)&lt;0,0,($B$28-$B$32-$B$39-$B$77-$B$38)*C21/100)</f>
        <v>7923.2716131907309</v>
      </c>
      <c r="C35" s="170">
        <f>IF(ISERROR(B35/SUM($B$32,$B$34,$B$35,$B$36,$B$38,$B$39)*100),0,B35/SUM($B$32,$B$34,$B$35,$B$36,$B$38,$B$39)*100)</f>
        <v>15.085624334927708</v>
      </c>
      <c r="D35" s="236"/>
      <c r="G35" s="16"/>
    </row>
    <row r="36" spans="1:7">
      <c r="A36" s="174" t="s">
        <v>75</v>
      </c>
      <c r="B36" s="34">
        <f>IF((($B$28-$B$32-$B$39-$B$77-$B$38)*C22/100)&lt;0,0,($B$28-$B$32-$B$39-$B$77-$B$38)*C22/100)</f>
        <v>715.72816399286978</v>
      </c>
      <c r="C36" s="170">
        <f>IF(ISERROR(B36/SUM($B$32,$B$34,$B$35,$B$36,$B$38,$B$39)*100),0,B36/SUM($B$32,$B$34,$B$35,$B$36,$B$38,$B$39)*100)</f>
        <v>1.3627206960756821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43499</v>
      </c>
      <c r="C44" s="35" t="s">
        <v>111</v>
      </c>
      <c r="D44" s="177"/>
    </row>
    <row r="45" spans="1:7">
      <c r="A45" s="174" t="s">
        <v>72</v>
      </c>
      <c r="B45" s="34" t="str">
        <f t="shared" si="0"/>
        <v>-</v>
      </c>
      <c r="C45" s="35" t="s">
        <v>111</v>
      </c>
      <c r="D45" s="177"/>
    </row>
    <row r="46" spans="1:7">
      <c r="A46" s="174" t="s">
        <v>73</v>
      </c>
      <c r="B46" s="34">
        <f t="shared" si="0"/>
        <v>384.00022281639934</v>
      </c>
      <c r="C46" s="35" t="s">
        <v>111</v>
      </c>
      <c r="D46" s="177"/>
    </row>
    <row r="47" spans="1:7">
      <c r="A47" s="174" t="s">
        <v>74</v>
      </c>
      <c r="B47" s="34">
        <f t="shared" si="0"/>
        <v>7923.2716131907309</v>
      </c>
      <c r="C47" s="35" t="s">
        <v>111</v>
      </c>
      <c r="D47" s="177"/>
    </row>
    <row r="48" spans="1:7">
      <c r="A48" s="174" t="s">
        <v>75</v>
      </c>
      <c r="B48" s="34">
        <f t="shared" si="0"/>
        <v>715.72816399286978</v>
      </c>
      <c r="C48" s="34">
        <f>B48*10</f>
        <v>7157.2816399286976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323365.41201109462</v>
      </c>
      <c r="C5" s="18">
        <f>IF(ISERROR('Eigen informatie GS &amp; warmtenet'!B58),0,'Eigen informatie GS &amp; warmtenet'!B58)</f>
        <v>0</v>
      </c>
      <c r="D5" s="31">
        <f>SUM(D6:D12)</f>
        <v>386517.69045257691</v>
      </c>
      <c r="E5" s="18">
        <f>SUM(E6:E12)</f>
        <v>3481.5963253770988</v>
      </c>
      <c r="F5" s="18">
        <f>SUM(F6:F12)</f>
        <v>66270.295174498635</v>
      </c>
      <c r="G5" s="19"/>
      <c r="H5" s="18"/>
      <c r="I5" s="18"/>
      <c r="J5" s="18">
        <f>SUM(J6:J12)</f>
        <v>0</v>
      </c>
      <c r="K5" s="18"/>
      <c r="L5" s="18"/>
      <c r="M5" s="18"/>
      <c r="N5" s="18">
        <f>SUM(N6:N12)</f>
        <v>19794.990429743633</v>
      </c>
      <c r="O5" s="18">
        <f>B38*B39*B40</f>
        <v>10.943333333333335</v>
      </c>
      <c r="P5" s="18">
        <f>B46*B47*B48/1000-B46*B47*B48/1000/B49</f>
        <v>305.06666666666666</v>
      </c>
      <c r="R5" s="33"/>
    </row>
    <row r="6" spans="1:18">
      <c r="A6" s="33" t="s">
        <v>54</v>
      </c>
      <c r="B6" s="38">
        <f>B26</f>
        <v>108971.82406227701</v>
      </c>
      <c r="C6" s="34"/>
      <c r="D6" s="38">
        <f>IF(ISERROR(TER_kantoor_gas_kWh/1000),0,TER_kantoor_gas_kWh/1000)*0.902</f>
        <v>106338.39044099441</v>
      </c>
      <c r="E6" s="34">
        <f>$C$26*'E Balans VL '!I12/100/3.6*1000000</f>
        <v>178.84484924315322</v>
      </c>
      <c r="F6" s="34">
        <f>$C$26*('E Balans VL '!L12+'E Balans VL '!N12)/100/3.6*1000000</f>
        <v>12845.214089157374</v>
      </c>
      <c r="G6" s="35"/>
      <c r="H6" s="34"/>
      <c r="I6" s="34"/>
      <c r="J6" s="34">
        <f>$C$26*('E Balans VL '!D12+'E Balans VL '!E12)/100/3.6*1000000</f>
        <v>0</v>
      </c>
      <c r="K6" s="34"/>
      <c r="L6" s="34"/>
      <c r="M6" s="34"/>
      <c r="N6" s="34">
        <f>$C$26*'E Balans VL '!Y12/100/3.6*1000000</f>
        <v>22.0172410279506</v>
      </c>
      <c r="O6" s="34"/>
      <c r="P6" s="34"/>
      <c r="R6" s="33"/>
    </row>
    <row r="7" spans="1:18">
      <c r="A7" s="33" t="s">
        <v>53</v>
      </c>
      <c r="B7" s="38">
        <f t="shared" ref="B7:B12" si="0">B27</f>
        <v>46748.728839010902</v>
      </c>
      <c r="C7" s="34"/>
      <c r="D7" s="38">
        <f>IF(ISERROR(TER_horeca_gas_kWh/1000),0,TER_horeca_gas_kWh/1000)*0.902</f>
        <v>65025.838124403606</v>
      </c>
      <c r="E7" s="34">
        <f>$C$27*'E Balans VL '!I9/100/3.6*1000000</f>
        <v>2425.9207457038428</v>
      </c>
      <c r="F7" s="34">
        <f>$C$27*('E Balans VL '!L9+'E Balans VL '!N9)/100/3.6*1000000</f>
        <v>10668.093842108055</v>
      </c>
      <c r="G7" s="35"/>
      <c r="H7" s="34"/>
      <c r="I7" s="34"/>
      <c r="J7" s="34">
        <f>$C$27*('E Balans VL '!D9+'E Balans VL '!E9)/100/3.6*1000000</f>
        <v>0</v>
      </c>
      <c r="K7" s="34"/>
      <c r="L7" s="34"/>
      <c r="M7" s="34"/>
      <c r="N7" s="34">
        <f>$C$27*'E Balans VL '!Y9/100/3.6*1000000</f>
        <v>4.9366443418599086</v>
      </c>
      <c r="O7" s="34"/>
      <c r="P7" s="34"/>
      <c r="R7" s="33"/>
    </row>
    <row r="8" spans="1:18">
      <c r="A8" s="6" t="s">
        <v>52</v>
      </c>
      <c r="B8" s="38">
        <f t="shared" si="0"/>
        <v>79132.478036280008</v>
      </c>
      <c r="C8" s="34"/>
      <c r="D8" s="38">
        <f>IF(ISERROR(TER_handel_gas_kWh/1000),0,TER_handel_gas_kWh/1000)*0.902</f>
        <v>49517.924068923181</v>
      </c>
      <c r="E8" s="34">
        <f>$C$28*'E Balans VL '!I13/100/3.6*1000000</f>
        <v>426.1381183144826</v>
      </c>
      <c r="F8" s="34">
        <f>$C$28*('E Balans VL '!L13+'E Balans VL '!N13)/100/3.6*1000000</f>
        <v>16137.463877043245</v>
      </c>
      <c r="G8" s="35"/>
      <c r="H8" s="34"/>
      <c r="I8" s="34"/>
      <c r="J8" s="34">
        <f>$C$28*('E Balans VL '!D13+'E Balans VL '!E13)/100/3.6*1000000</f>
        <v>0</v>
      </c>
      <c r="K8" s="34"/>
      <c r="L8" s="34"/>
      <c r="M8" s="34"/>
      <c r="N8" s="34">
        <f>$C$28*'E Balans VL '!Y13/100/3.6*1000000</f>
        <v>393.48402461003911</v>
      </c>
      <c r="O8" s="34"/>
      <c r="P8" s="34"/>
      <c r="R8" s="33"/>
    </row>
    <row r="9" spans="1:18">
      <c r="A9" s="33" t="s">
        <v>51</v>
      </c>
      <c r="B9" s="38">
        <f t="shared" si="0"/>
        <v>29104.361403247</v>
      </c>
      <c r="C9" s="34"/>
      <c r="D9" s="38">
        <f>IF(ISERROR(TER_gezond_gas_kWh/1000),0,TER_gezond_gas_kWh/1000)*0.902</f>
        <v>40435.657872533702</v>
      </c>
      <c r="E9" s="34">
        <f>$C$29*'E Balans VL '!I10/100/3.6*1000000</f>
        <v>28.842753124045892</v>
      </c>
      <c r="F9" s="34">
        <f>$C$29*('E Balans VL '!L10+'E Balans VL '!N10)/100/3.6*1000000</f>
        <v>10098.37450589316</v>
      </c>
      <c r="G9" s="35"/>
      <c r="H9" s="34"/>
      <c r="I9" s="34"/>
      <c r="J9" s="34">
        <f>$C$29*('E Balans VL '!D10+'E Balans VL '!E10)/100/3.6*1000000</f>
        <v>0</v>
      </c>
      <c r="K9" s="34"/>
      <c r="L9" s="34"/>
      <c r="M9" s="34"/>
      <c r="N9" s="34">
        <f>$C$29*'E Balans VL '!Y10/100/3.6*1000000</f>
        <v>250.78976091303892</v>
      </c>
      <c r="O9" s="34"/>
      <c r="P9" s="34"/>
      <c r="R9" s="33"/>
    </row>
    <row r="10" spans="1:18">
      <c r="A10" s="33" t="s">
        <v>50</v>
      </c>
      <c r="B10" s="38">
        <f t="shared" si="0"/>
        <v>30949.470562709699</v>
      </c>
      <c r="C10" s="34"/>
      <c r="D10" s="38">
        <f>IF(ISERROR(TER_ander_gas_kWh/1000),0,TER_ander_gas_kWh/1000)*0.902</f>
        <v>56734.496877085359</v>
      </c>
      <c r="E10" s="34">
        <f>$C$30*'E Balans VL '!I14/100/3.6*1000000</f>
        <v>253.19760099589735</v>
      </c>
      <c r="F10" s="34">
        <f>$C$30*('E Balans VL '!L14+'E Balans VL '!N14)/100/3.6*1000000</f>
        <v>9048.3651874047064</v>
      </c>
      <c r="G10" s="35"/>
      <c r="H10" s="34"/>
      <c r="I10" s="34"/>
      <c r="J10" s="34">
        <f>$C$30*('E Balans VL '!D14+'E Balans VL '!E14)/100/3.6*1000000</f>
        <v>0</v>
      </c>
      <c r="K10" s="34"/>
      <c r="L10" s="34"/>
      <c r="M10" s="34"/>
      <c r="N10" s="34">
        <f>$C$30*'E Balans VL '!Y14/100/3.6*1000000</f>
        <v>17853.783601021089</v>
      </c>
      <c r="O10" s="34"/>
      <c r="P10" s="34"/>
      <c r="R10" s="33"/>
    </row>
    <row r="11" spans="1:18">
      <c r="A11" s="33" t="s">
        <v>55</v>
      </c>
      <c r="B11" s="38">
        <f t="shared" si="0"/>
        <v>9626.0551627887689</v>
      </c>
      <c r="C11" s="34"/>
      <c r="D11" s="38">
        <f>IF(ISERROR(TER_onderwijs_gas_kWh/1000),0,TER_onderwijs_gas_kWh/1000)*0.902</f>
        <v>28759.731794495681</v>
      </c>
      <c r="E11" s="34">
        <f>$C$31*'E Balans VL '!I11/100/3.6*1000000</f>
        <v>5.9330942387510195</v>
      </c>
      <c r="F11" s="34">
        <f>$C$31*('E Balans VL '!L11+'E Balans VL '!N11)/100/3.6*1000000</f>
        <v>3721.5888167143057</v>
      </c>
      <c r="G11" s="35"/>
      <c r="H11" s="34"/>
      <c r="I11" s="34"/>
      <c r="J11" s="34">
        <f>$C$31*('E Balans VL '!D11+'E Balans VL '!E11)/100/3.6*1000000</f>
        <v>0</v>
      </c>
      <c r="K11" s="34"/>
      <c r="L11" s="34"/>
      <c r="M11" s="34"/>
      <c r="N11" s="34">
        <f>$C$31*'E Balans VL '!Y11/100/3.6*1000000</f>
        <v>31.311494624974657</v>
      </c>
      <c r="O11" s="34"/>
      <c r="P11" s="34"/>
      <c r="R11" s="33"/>
    </row>
    <row r="12" spans="1:18">
      <c r="A12" s="33" t="s">
        <v>260</v>
      </c>
      <c r="B12" s="38">
        <f t="shared" si="0"/>
        <v>18832.493944781199</v>
      </c>
      <c r="C12" s="34"/>
      <c r="D12" s="38">
        <f>IF(ISERROR(TER_rest_gas_kWh/1000),0,TER_rest_gas_kWh/1000)*0.902</f>
        <v>39705.651274140975</v>
      </c>
      <c r="E12" s="34">
        <f>$C$32*'E Balans VL '!I8/100/3.6*1000000</f>
        <v>162.71916375692635</v>
      </c>
      <c r="F12" s="34">
        <f>$C$32*('E Balans VL '!L8+'E Balans VL '!N8)/100/3.6*1000000</f>
        <v>3751.1948561777967</v>
      </c>
      <c r="G12" s="35"/>
      <c r="H12" s="34"/>
      <c r="I12" s="34"/>
      <c r="J12" s="34">
        <f>$C$32*('E Balans VL '!D8+'E Balans VL '!E8)/100/3.6*1000000</f>
        <v>0</v>
      </c>
      <c r="K12" s="34"/>
      <c r="L12" s="34"/>
      <c r="M12" s="34"/>
      <c r="N12" s="34">
        <f>$C$32*'E Balans VL '!Y8/100/3.6*1000000</f>
        <v>1238.6676632046833</v>
      </c>
      <c r="O12" s="34"/>
      <c r="P12" s="34"/>
      <c r="R12" s="33"/>
    </row>
    <row r="13" spans="1:18">
      <c r="A13" s="17" t="s">
        <v>502</v>
      </c>
      <c r="B13" s="250">
        <f ca="1">'lokale energieproductie'!N91+'lokale energieproductie'!N60</f>
        <v>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323369.91201109462</v>
      </c>
      <c r="C16" s="22">
        <f t="shared" ca="1" si="1"/>
        <v>22.5</v>
      </c>
      <c r="D16" s="22">
        <f t="shared" ca="1" si="1"/>
        <v>386487.69045257691</v>
      </c>
      <c r="E16" s="22">
        <f t="shared" si="1"/>
        <v>3481.5963253770988</v>
      </c>
      <c r="F16" s="22">
        <f t="shared" ca="1" si="1"/>
        <v>66270.295174498635</v>
      </c>
      <c r="G16" s="22">
        <f t="shared" si="1"/>
        <v>0</v>
      </c>
      <c r="H16" s="22">
        <f t="shared" si="1"/>
        <v>0</v>
      </c>
      <c r="I16" s="22">
        <f t="shared" si="1"/>
        <v>0</v>
      </c>
      <c r="J16" s="22">
        <f t="shared" si="1"/>
        <v>0</v>
      </c>
      <c r="K16" s="22">
        <f t="shared" si="1"/>
        <v>0</v>
      </c>
      <c r="L16" s="22">
        <f t="shared" ca="1" si="1"/>
        <v>0</v>
      </c>
      <c r="M16" s="22">
        <f t="shared" si="1"/>
        <v>0</v>
      </c>
      <c r="N16" s="22">
        <f t="shared" ca="1" si="1"/>
        <v>19794.990429743633</v>
      </c>
      <c r="O16" s="22">
        <f>O5</f>
        <v>10.943333333333335</v>
      </c>
      <c r="P16" s="22">
        <f>P5</f>
        <v>305.06666666666666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0.19099055050447439</v>
      </c>
      <c r="C18" s="26">
        <f ca="1">'EF ele_warmte'!B22</f>
        <v>7.9168657405294079E-2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61760.597511582404</v>
      </c>
      <c r="C20" s="24">
        <f t="shared" ref="C20:P20" ca="1" si="2">C16*C18</f>
        <v>1.7812947916191169</v>
      </c>
      <c r="D20" s="24">
        <f t="shared" ca="1" si="2"/>
        <v>78070.513471420534</v>
      </c>
      <c r="E20" s="24">
        <f t="shared" si="2"/>
        <v>790.32236586060139</v>
      </c>
      <c r="F20" s="24">
        <f t="shared" ca="1" si="2"/>
        <v>17694.168811591135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108971.82406227701</v>
      </c>
      <c r="C26" s="40">
        <f>IF(ISERROR(B26*3.6/1000000/'E Balans VL '!Z12*100),0,B26*3.6/1000000/'E Balans VL '!Z12*100)</f>
        <v>2.3155731142454625</v>
      </c>
      <c r="D26" s="240" t="s">
        <v>707</v>
      </c>
      <c r="F26" s="6"/>
    </row>
    <row r="27" spans="1:18">
      <c r="A27" s="234" t="s">
        <v>53</v>
      </c>
      <c r="B27" s="34">
        <f>IF(ISERROR(TER_horeca_ele_kWh/1000),0,TER_horeca_ele_kWh/1000)</f>
        <v>46748.728839010902</v>
      </c>
      <c r="C27" s="40">
        <f>IF(ISERROR(B27*3.6/1000000/'E Balans VL '!Z9*100),0,B27*3.6/1000000/'E Balans VL '!Z9*100)</f>
        <v>3.6794864659825408</v>
      </c>
      <c r="D27" s="240" t="s">
        <v>707</v>
      </c>
      <c r="F27" s="6"/>
    </row>
    <row r="28" spans="1:18">
      <c r="A28" s="174" t="s">
        <v>52</v>
      </c>
      <c r="B28" s="34">
        <f>IF(ISERROR(TER_handel_ele_kWh/1000),0,TER_handel_ele_kWh/1000)</f>
        <v>79132.478036280008</v>
      </c>
      <c r="C28" s="40">
        <f>IF(ISERROR(B28*3.6/1000000/'E Balans VL '!Z13*100),0,B28*3.6/1000000/'E Balans VL '!Z13*100)</f>
        <v>2.2165430598264817</v>
      </c>
      <c r="D28" s="240" t="s">
        <v>707</v>
      </c>
      <c r="F28" s="6"/>
    </row>
    <row r="29" spans="1:18">
      <c r="A29" s="234" t="s">
        <v>51</v>
      </c>
      <c r="B29" s="34">
        <f>IF(ISERROR(TER_gezond_ele_kWh/1000),0,TER_gezond_ele_kWh/1000)</f>
        <v>29104.361403247</v>
      </c>
      <c r="C29" s="40">
        <f>IF(ISERROR(B29*3.6/1000000/'E Balans VL '!Z10*100),0,B29*3.6/1000000/'E Balans VL '!Z10*100)</f>
        <v>3.7233279039194214</v>
      </c>
      <c r="D29" s="240" t="s">
        <v>707</v>
      </c>
      <c r="F29" s="6"/>
    </row>
    <row r="30" spans="1:18">
      <c r="A30" s="234" t="s">
        <v>50</v>
      </c>
      <c r="B30" s="34">
        <f>IF(ISERROR(TER_ander_ele_kWh/1000),0,TER_ander_ele_kWh/1000)</f>
        <v>30949.470562709699</v>
      </c>
      <c r="C30" s="40">
        <f>IF(ISERROR(B30*3.6/1000000/'E Balans VL '!Z14*100),0,B30*3.6/1000000/'E Balans VL '!Z14*100)</f>
        <v>2.3147596132961006</v>
      </c>
      <c r="D30" s="240" t="s">
        <v>707</v>
      </c>
      <c r="F30" s="6"/>
    </row>
    <row r="31" spans="1:18">
      <c r="A31" s="234" t="s">
        <v>55</v>
      </c>
      <c r="B31" s="34">
        <f>IF(ISERROR(TER_onderwijs_ele_kWh/1000),0,TER_onderwijs_ele_kWh/1000)</f>
        <v>9626.0551627887689</v>
      </c>
      <c r="C31" s="40">
        <f>IF(ISERROR(B31*3.6/1000000/'E Balans VL '!Z11*100),0,B31*3.6/1000000/'E Balans VL '!Z11*100)</f>
        <v>2.0325540165514222</v>
      </c>
      <c r="D31" s="240" t="s">
        <v>707</v>
      </c>
    </row>
    <row r="32" spans="1:18">
      <c r="A32" s="234" t="s">
        <v>260</v>
      </c>
      <c r="B32" s="34">
        <f>IF(ISERROR(TER_rest_ele_kWh/1000),0,TER_rest_ele_kWh/1000)</f>
        <v>18832.493944781199</v>
      </c>
      <c r="C32" s="40">
        <f>IF(ISERROR(B32*3.6/1000000/'E Balans VL '!Z8*100),0,B32*3.6/1000000/'E Balans VL '!Z8*100)</f>
        <v>0.15514080573991137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7</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16</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103728.25965161918</v>
      </c>
      <c r="C5" s="18">
        <f>IF(ISERROR('Eigen informatie GS &amp; warmtenet'!B59),0,'Eigen informatie GS &amp; warmtenet'!B59)</f>
        <v>0</v>
      </c>
      <c r="D5" s="31">
        <f>SUM(D6:D15)</f>
        <v>154196.33182465873</v>
      </c>
      <c r="E5" s="18">
        <f>SUM(E6:E15)</f>
        <v>1040.4938711599814</v>
      </c>
      <c r="F5" s="18">
        <f>SUM(F6:F15)</f>
        <v>25947.626070192615</v>
      </c>
      <c r="G5" s="19"/>
      <c r="H5" s="18"/>
      <c r="I5" s="18"/>
      <c r="J5" s="18">
        <f>SUM(J6:J15)</f>
        <v>370.98800308646531</v>
      </c>
      <c r="K5" s="18"/>
      <c r="L5" s="18"/>
      <c r="M5" s="18"/>
      <c r="N5" s="18">
        <f>SUM(N6:N15)</f>
        <v>4455.1332014158706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4926.77040637749</v>
      </c>
      <c r="C8" s="34"/>
      <c r="D8" s="38">
        <f>IF( ISERROR(IND_metaal_Gas_kWH/1000),0,IND_metaal_Gas_kWH/1000)*0.902</f>
        <v>5828.4807678538173</v>
      </c>
      <c r="E8" s="34">
        <f>C30*'E Balans VL '!I18/100/3.6*1000000</f>
        <v>44.867210225985119</v>
      </c>
      <c r="F8" s="34">
        <f>C30*'E Balans VL '!L18/100/3.6*1000000+C30*'E Balans VL '!N18/100/3.6*1000000</f>
        <v>649.80360206411001</v>
      </c>
      <c r="G8" s="35"/>
      <c r="H8" s="34"/>
      <c r="I8" s="34"/>
      <c r="J8" s="41">
        <f>C30*'E Balans VL '!D18/100/3.6*1000000+C30*'E Balans VL '!E18/100/3.6*1000000</f>
        <v>80.79188125154748</v>
      </c>
      <c r="K8" s="34"/>
      <c r="L8" s="34"/>
      <c r="M8" s="34"/>
      <c r="N8" s="34">
        <f>C30*'E Balans VL '!Y18/100/3.6*1000000</f>
        <v>16.931352732195979</v>
      </c>
      <c r="O8" s="34"/>
      <c r="P8" s="34"/>
      <c r="R8" s="33"/>
    </row>
    <row r="9" spans="1:18">
      <c r="A9" s="6" t="s">
        <v>33</v>
      </c>
      <c r="B9" s="38">
        <f t="shared" si="0"/>
        <v>13679.226036055199</v>
      </c>
      <c r="C9" s="34"/>
      <c r="D9" s="38">
        <f>IF( ISERROR(IND_andere_gas_kWh/1000),0,IND_andere_gas_kWh/1000)*0.902</f>
        <v>10143.897374395528</v>
      </c>
      <c r="E9" s="34">
        <f>C31*'E Balans VL '!I19/100/3.6*1000000</f>
        <v>79.067970679648994</v>
      </c>
      <c r="F9" s="34">
        <f>C31*'E Balans VL '!L19/100/3.6*1000000+C31*'E Balans VL '!N19/100/3.6*1000000</f>
        <v>10882.482529992112</v>
      </c>
      <c r="G9" s="35"/>
      <c r="H9" s="34"/>
      <c r="I9" s="34"/>
      <c r="J9" s="41">
        <f>C31*'E Balans VL '!D19/100/3.6*1000000+C31*'E Balans VL '!E19/100/3.6*1000000</f>
        <v>1.2939028384716598</v>
      </c>
      <c r="K9" s="34"/>
      <c r="L9" s="34"/>
      <c r="M9" s="34"/>
      <c r="N9" s="34">
        <f>C31*'E Balans VL '!Y19/100/3.6*1000000</f>
        <v>1036.4083841617339</v>
      </c>
      <c r="O9" s="34"/>
      <c r="P9" s="34"/>
      <c r="R9" s="33"/>
    </row>
    <row r="10" spans="1:18">
      <c r="A10" s="6" t="s">
        <v>41</v>
      </c>
      <c r="B10" s="38">
        <f t="shared" si="0"/>
        <v>21139.5050083481</v>
      </c>
      <c r="C10" s="34"/>
      <c r="D10" s="38">
        <f>IF( ISERROR(IND_voed_gas_kWh/1000),0,IND_voed_gas_kWh/1000)*0.902</f>
        <v>17881.978419198927</v>
      </c>
      <c r="E10" s="34">
        <f>C32*'E Balans VL '!I20/100/3.6*1000000</f>
        <v>207.85663837588172</v>
      </c>
      <c r="F10" s="34">
        <f>C32*'E Balans VL '!L20/100/3.6*1000000+C32*'E Balans VL '!N20/100/3.6*1000000</f>
        <v>2347.8179576185444</v>
      </c>
      <c r="G10" s="35"/>
      <c r="H10" s="34"/>
      <c r="I10" s="34"/>
      <c r="J10" s="41">
        <f>C32*'E Balans VL '!D20/100/3.6*1000000+C32*'E Balans VL '!E20/100/3.6*1000000</f>
        <v>8.3320385995714646E-2</v>
      </c>
      <c r="K10" s="34"/>
      <c r="L10" s="34"/>
      <c r="M10" s="34"/>
      <c r="N10" s="34">
        <f>C32*'E Balans VL '!Y20/100/3.6*1000000</f>
        <v>313.02634381641883</v>
      </c>
      <c r="O10" s="34"/>
      <c r="P10" s="34"/>
      <c r="R10" s="33"/>
    </row>
    <row r="11" spans="1:18">
      <c r="A11" s="6" t="s">
        <v>40</v>
      </c>
      <c r="B11" s="38">
        <f t="shared" si="0"/>
        <v>303.39122759298499</v>
      </c>
      <c r="C11" s="34"/>
      <c r="D11" s="38">
        <f>IF( ISERROR(IND_textiel_gas_kWh/1000),0,IND_textiel_gas_kWh/1000)*0.902</f>
        <v>289.40645435553569</v>
      </c>
      <c r="E11" s="34">
        <f>C33*'E Balans VL '!I21/100/3.6*1000000</f>
        <v>0.59077316964361581</v>
      </c>
      <c r="F11" s="34">
        <f>C33*'E Balans VL '!L21/100/3.6*1000000+C33*'E Balans VL '!N21/100/3.6*1000000</f>
        <v>10.006838265416834</v>
      </c>
      <c r="G11" s="35"/>
      <c r="H11" s="34"/>
      <c r="I11" s="34"/>
      <c r="J11" s="41">
        <f>C33*'E Balans VL '!D21/100/3.6*1000000+C33*'E Balans VL '!E21/100/3.6*1000000</f>
        <v>0</v>
      </c>
      <c r="K11" s="34"/>
      <c r="L11" s="34"/>
      <c r="M11" s="34"/>
      <c r="N11" s="34">
        <f>C33*'E Balans VL '!Y21/100/3.6*1000000</f>
        <v>3.1469650028571881</v>
      </c>
      <c r="O11" s="34"/>
      <c r="P11" s="34"/>
      <c r="R11" s="33"/>
    </row>
    <row r="12" spans="1:18">
      <c r="A12" s="6" t="s">
        <v>37</v>
      </c>
      <c r="B12" s="38">
        <f t="shared" si="0"/>
        <v>2636.5018347349401</v>
      </c>
      <c r="C12" s="34"/>
      <c r="D12" s="38">
        <f>IF( ISERROR(IND_min_gas_kWh/1000),0,IND_min_gas_kWh/1000)*0.902</f>
        <v>54.655755312571735</v>
      </c>
      <c r="E12" s="34">
        <f>C34*'E Balans VL '!I22/100/3.6*1000000</f>
        <v>66.84001315256846</v>
      </c>
      <c r="F12" s="34">
        <f>C34*'E Balans VL '!L22/100/3.6*1000000+C34*'E Balans VL '!N22/100/3.6*1000000</f>
        <v>729.52924743631763</v>
      </c>
      <c r="G12" s="35"/>
      <c r="H12" s="34"/>
      <c r="I12" s="34"/>
      <c r="J12" s="41">
        <f>C34*'E Balans VL '!D22/100/3.6*1000000+C34*'E Balans VL '!E22/100/3.6*1000000</f>
        <v>17.411987924079472</v>
      </c>
      <c r="K12" s="34"/>
      <c r="L12" s="34"/>
      <c r="M12" s="34"/>
      <c r="N12" s="34">
        <f>C34*'E Balans VL '!Y22/100/3.6*1000000</f>
        <v>0</v>
      </c>
      <c r="O12" s="34"/>
      <c r="P12" s="34"/>
      <c r="R12" s="33"/>
    </row>
    <row r="13" spans="1:18">
      <c r="A13" s="6" t="s">
        <v>39</v>
      </c>
      <c r="B13" s="38">
        <f t="shared" si="0"/>
        <v>3880.5339259944899</v>
      </c>
      <c r="C13" s="34"/>
      <c r="D13" s="38">
        <f>IF( ISERROR(IND_papier_gas_kWh/1000),0,IND_papier_gas_kWh/1000)*0.902</f>
        <v>1769.7472353691855</v>
      </c>
      <c r="E13" s="34">
        <f>C35*'E Balans VL '!I23/100/3.6*1000000</f>
        <v>132.1766119298035</v>
      </c>
      <c r="F13" s="34">
        <f>C35*'E Balans VL '!L23/100/3.6*1000000+C35*'E Balans VL '!N23/100/3.6*1000000</f>
        <v>640.9731304034699</v>
      </c>
      <c r="G13" s="35"/>
      <c r="H13" s="34"/>
      <c r="I13" s="34"/>
      <c r="J13" s="41">
        <f>C35*'E Balans VL '!D23/100/3.6*1000000+C35*'E Balans VL '!E23/100/3.6*1000000</f>
        <v>0</v>
      </c>
      <c r="K13" s="34"/>
      <c r="L13" s="34"/>
      <c r="M13" s="34"/>
      <c r="N13" s="34">
        <f>C35*'E Balans VL '!Y23/100/3.6*1000000</f>
        <v>1427.9324169134227</v>
      </c>
      <c r="O13" s="34"/>
      <c r="P13" s="34"/>
      <c r="R13" s="33"/>
    </row>
    <row r="14" spans="1:18">
      <c r="A14" s="6" t="s">
        <v>34</v>
      </c>
      <c r="B14" s="38">
        <f t="shared" si="0"/>
        <v>3191.5015801459699</v>
      </c>
      <c r="C14" s="34"/>
      <c r="D14" s="38">
        <f>IF( ISERROR(IND_chemie_gas_kWh/1000),0,IND_chemie_gas_kWh/1000)*0.902</f>
        <v>169.3366661867193</v>
      </c>
      <c r="E14" s="34">
        <f>C36*'E Balans VL '!I24/100/3.6*1000000</f>
        <v>24.129458463651584</v>
      </c>
      <c r="F14" s="34">
        <f>C36*'E Balans VL '!L24/100/3.6*1000000+C36*'E Balans VL '!N24/100/3.6*1000000</f>
        <v>59.051603140157603</v>
      </c>
      <c r="G14" s="35"/>
      <c r="H14" s="34"/>
      <c r="I14" s="34"/>
      <c r="J14" s="41">
        <f>C36*'E Balans VL '!D24/100/3.6*1000000+C36*'E Balans VL '!E24/100/3.6*1000000</f>
        <v>0</v>
      </c>
      <c r="K14" s="34"/>
      <c r="L14" s="34"/>
      <c r="M14" s="34"/>
      <c r="N14" s="34">
        <f>C36*'E Balans VL '!Y24/100/3.6*1000000</f>
        <v>0.92545316174066916</v>
      </c>
      <c r="O14" s="34"/>
      <c r="P14" s="34"/>
      <c r="R14" s="33"/>
    </row>
    <row r="15" spans="1:18">
      <c r="A15" s="6" t="s">
        <v>270</v>
      </c>
      <c r="B15" s="38">
        <f t="shared" si="0"/>
        <v>53970.829632370005</v>
      </c>
      <c r="C15" s="34"/>
      <c r="D15" s="38">
        <f>IF( ISERROR(IND_rest_gas_kWh/1000),0,IND_rest_gas_kWh/1000)*0.902</f>
        <v>118058.82915198644</v>
      </c>
      <c r="E15" s="34">
        <f>C37*'E Balans VL '!I15/100/3.6*1000000</f>
        <v>484.96519516279841</v>
      </c>
      <c r="F15" s="34">
        <f>C37*'E Balans VL '!L15/100/3.6*1000000+C37*'E Balans VL '!N15/100/3.6*1000000</f>
        <v>10627.961161272484</v>
      </c>
      <c r="G15" s="35"/>
      <c r="H15" s="34"/>
      <c r="I15" s="34"/>
      <c r="J15" s="41">
        <f>C37*'E Balans VL '!D15/100/3.6*1000000+C37*'E Balans VL '!E15/100/3.6*1000000</f>
        <v>271.40691068637096</v>
      </c>
      <c r="K15" s="34"/>
      <c r="L15" s="34"/>
      <c r="M15" s="34"/>
      <c r="N15" s="34">
        <f>C37*'E Balans VL '!Y15/100/3.6*1000000</f>
        <v>1656.7622856275013</v>
      </c>
      <c r="O15" s="34"/>
      <c r="P15" s="34"/>
      <c r="R15" s="33"/>
    </row>
    <row r="16" spans="1:18">
      <c r="A16" s="17" t="s">
        <v>502</v>
      </c>
      <c r="B16" s="250">
        <f>'lokale energieproductie'!N90+'lokale energieproductie'!N59</f>
        <v>9900</v>
      </c>
      <c r="C16" s="250">
        <f>'lokale energieproductie'!O90+'lokale energieproductie'!O59</f>
        <v>11137.5</v>
      </c>
      <c r="D16" s="312">
        <f>('lokale energieproductie'!P59+'lokale energieproductie'!P90)*(-1)</f>
        <v>0</v>
      </c>
      <c r="E16" s="251"/>
      <c r="F16" s="312">
        <f>('lokale energieproductie'!S59+'lokale energieproductie'!S90)*(-1)</f>
        <v>-6187.5</v>
      </c>
      <c r="G16" s="252"/>
      <c r="H16" s="251"/>
      <c r="I16" s="251"/>
      <c r="J16" s="251"/>
      <c r="K16" s="251"/>
      <c r="L16" s="312">
        <f>('lokale energieproductie'!T59+'lokale energieproductie'!U59+'lokale energieproductie'!T90+'lokale energieproductie'!U90)*(-1)</f>
        <v>-18562.5</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113628.25965161918</v>
      </c>
      <c r="C18" s="22">
        <f>C5+C16</f>
        <v>11137.5</v>
      </c>
      <c r="D18" s="22">
        <f>MAX((D5+D16),0)</f>
        <v>154196.33182465873</v>
      </c>
      <c r="E18" s="22">
        <f>MAX((E5+E16),0)</f>
        <v>1040.4938711599814</v>
      </c>
      <c r="F18" s="22">
        <f>MAX((F5+F16),0)</f>
        <v>19760.126070192615</v>
      </c>
      <c r="G18" s="22"/>
      <c r="H18" s="22"/>
      <c r="I18" s="22"/>
      <c r="J18" s="22">
        <f>MAX((J5+J16),0)</f>
        <v>370.98800308646531</v>
      </c>
      <c r="K18" s="22"/>
      <c r="L18" s="22">
        <f>MAX((L5+L16),0)</f>
        <v>0</v>
      </c>
      <c r="M18" s="22"/>
      <c r="N18" s="22">
        <f>MAX((N5+N16),0)</f>
        <v>4455.1332014158706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0.19099055050447439</v>
      </c>
      <c r="C20" s="26">
        <f ca="1">'EF ele_warmte'!B22</f>
        <v>7.9168657405294079E-2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21701.923863728101</v>
      </c>
      <c r="C22" s="24">
        <f ca="1">C18*C20</f>
        <v>881.74092185146276</v>
      </c>
      <c r="D22" s="24">
        <f>D18*D20</f>
        <v>31147.659028581067</v>
      </c>
      <c r="E22" s="24">
        <f>E18*E20</f>
        <v>236.19210875331578</v>
      </c>
      <c r="F22" s="24">
        <f>F18*F20</f>
        <v>5275.9536607414284</v>
      </c>
      <c r="G22" s="24"/>
      <c r="H22" s="24"/>
      <c r="I22" s="24"/>
      <c r="J22" s="24">
        <f>J18*J20</f>
        <v>131.32975309260871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4926.77040637749</v>
      </c>
      <c r="C30" s="40">
        <f>IF(ISERROR(B30*3.6/1000000/'E Balans VL '!Z18*100),0,B30*3.6/1000000/'E Balans VL '!Z18*100)</f>
        <v>0.27414182808385967</v>
      </c>
      <c r="D30" s="240" t="s">
        <v>707</v>
      </c>
    </row>
    <row r="31" spans="1:18">
      <c r="A31" s="6" t="s">
        <v>33</v>
      </c>
      <c r="B31" s="38">
        <f>IF( ISERROR(IND_ander_ele_kWh/1000),0,IND_ander_ele_kWh/1000)</f>
        <v>13679.226036055199</v>
      </c>
      <c r="C31" s="40">
        <f>IF(ISERROR(B31*3.6/1000000/'E Balans VL '!Z19*100),0,B31*3.6/1000000/'E Balans VL '!Z19*100)</f>
        <v>0.63591129262771007</v>
      </c>
      <c r="D31" s="240" t="s">
        <v>707</v>
      </c>
    </row>
    <row r="32" spans="1:18">
      <c r="A32" s="174" t="s">
        <v>41</v>
      </c>
      <c r="B32" s="38">
        <f>IF( ISERROR(IND_voed_ele_kWh/1000),0,IND_voed_ele_kWh/1000)</f>
        <v>21139.5050083481</v>
      </c>
      <c r="C32" s="40">
        <f>IF(ISERROR(B32*3.6/1000000/'E Balans VL '!Z20*100),0,B32*3.6/1000000/'E Balans VL '!Z20*100)</f>
        <v>0.74723880900667217</v>
      </c>
      <c r="D32" s="240" t="s">
        <v>707</v>
      </c>
    </row>
    <row r="33" spans="1:5">
      <c r="A33" s="174" t="s">
        <v>40</v>
      </c>
      <c r="B33" s="38">
        <f>IF( ISERROR(IND_textiel_ele_kWh/1000),0,IND_textiel_ele_kWh/1000)</f>
        <v>303.39122759298499</v>
      </c>
      <c r="C33" s="40">
        <f>IF(ISERROR(B33*3.6/1000000/'E Balans VL '!Z21*100),0,B33*3.6/1000000/'E Balans VL '!Z21*100)</f>
        <v>4.0977588925691311E-2</v>
      </c>
      <c r="D33" s="240" t="s">
        <v>707</v>
      </c>
    </row>
    <row r="34" spans="1:5">
      <c r="A34" s="174" t="s">
        <v>37</v>
      </c>
      <c r="B34" s="38">
        <f>IF( ISERROR(IND_min_ele_kWh/1000),0,IND_min_ele_kWh/1000)</f>
        <v>2636.5018347349401</v>
      </c>
      <c r="C34" s="40">
        <f>IF(ISERROR(B34*3.6/1000000/'E Balans VL '!Z22*100),0,B34*3.6/1000000/'E Balans VL '!Z22*100)</f>
        <v>0.52986252194172456</v>
      </c>
      <c r="D34" s="240" t="s">
        <v>707</v>
      </c>
    </row>
    <row r="35" spans="1:5">
      <c r="A35" s="174" t="s">
        <v>39</v>
      </c>
      <c r="B35" s="38">
        <f>IF( ISERROR(IND_papier_ele_kWh/1000),0,IND_papier_ele_kWh/1000)</f>
        <v>3880.5339259944899</v>
      </c>
      <c r="C35" s="40">
        <f>IF(ISERROR(B35*3.6/1000000/'E Balans VL '!Z22*100),0,B35*3.6/1000000/'E Balans VL '!Z22*100)</f>
        <v>0.77987789176508437</v>
      </c>
      <c r="D35" s="240" t="s">
        <v>707</v>
      </c>
    </row>
    <row r="36" spans="1:5">
      <c r="A36" s="174" t="s">
        <v>34</v>
      </c>
      <c r="B36" s="38">
        <f>IF( ISERROR(IND_chemie_ele_kWh/1000),0,IND_chemie_ele_kWh/1000)</f>
        <v>3191.5015801459699</v>
      </c>
      <c r="C36" s="40">
        <f>IF(ISERROR(B36*3.6/1000000/'E Balans VL '!Z24*100),0,B36*3.6/1000000/'E Balans VL '!Z24*100)</f>
        <v>7.859144079113084E-2</v>
      </c>
      <c r="D36" s="240" t="s">
        <v>707</v>
      </c>
    </row>
    <row r="37" spans="1:5">
      <c r="A37" s="174" t="s">
        <v>270</v>
      </c>
      <c r="B37" s="38">
        <f>IF( ISERROR(IND_rest_ele_kWh/1000),0,IND_rest_ele_kWh/1000)</f>
        <v>53970.829632370005</v>
      </c>
      <c r="C37" s="40">
        <f>IF(ISERROR(B37*3.6/1000000/'E Balans VL '!Z15*100),0,B37*3.6/1000000/'E Balans VL '!Z15*100)</f>
        <v>0.40755949069567199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8683.7161843477988</v>
      </c>
      <c r="C5" s="18">
        <f>'Eigen informatie GS &amp; warmtenet'!B60</f>
        <v>0</v>
      </c>
      <c r="D5" s="31">
        <f>IF(ISERROR(SUM(LB_lb_gas_kWh,LB_rest_gas_kWh)/1000),0,SUM(LB_lb_gas_kWh,LB_rest_gas_kWh)/1000)*0.902</f>
        <v>16492.85717122829</v>
      </c>
      <c r="E5" s="18">
        <f>B17*'E Balans VL '!I25/3.6*1000000/100</f>
        <v>81.806424737257416</v>
      </c>
      <c r="F5" s="18">
        <f>B17*('E Balans VL '!L25/3.6*1000000+'E Balans VL '!N25/3.6*1000000)/100</f>
        <v>28337.847781833025</v>
      </c>
      <c r="G5" s="19"/>
      <c r="H5" s="18"/>
      <c r="I5" s="18"/>
      <c r="J5" s="18">
        <f>('E Balans VL '!D25+'E Balans VL '!E25)/3.6*1000000*landbouw!B17/100</f>
        <v>1074.2179295912301</v>
      </c>
      <c r="K5" s="18"/>
      <c r="L5" s="18">
        <f>L6*(-1)</f>
        <v>0</v>
      </c>
      <c r="M5" s="18"/>
      <c r="N5" s="18">
        <f>N6*(-1)</f>
        <v>0</v>
      </c>
      <c r="O5" s="18"/>
      <c r="P5" s="18"/>
      <c r="R5" s="33"/>
    </row>
    <row r="6" spans="1:18">
      <c r="A6" s="17" t="s">
        <v>502</v>
      </c>
      <c r="B6" s="18" t="s">
        <v>211</v>
      </c>
      <c r="C6" s="18">
        <f>'lokale energieproductie'!O92+'lokale energieproductie'!O61</f>
        <v>35.357142857142861</v>
      </c>
      <c r="D6" s="312">
        <f>('lokale energieproductie'!P61+'lokale energieproductie'!P92)*(-1)</f>
        <v>-70.714285714285722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8683.7161843477988</v>
      </c>
      <c r="C8" s="22">
        <f>C5+C6</f>
        <v>35.357142857142861</v>
      </c>
      <c r="D8" s="22">
        <f>MAX((D5+D6),0)</f>
        <v>16422.142885514004</v>
      </c>
      <c r="E8" s="22">
        <f>MAX((E5+E6),0)</f>
        <v>81.806424737257416</v>
      </c>
      <c r="F8" s="22">
        <f>MAX((F5+F6),0)</f>
        <v>28337.847781833025</v>
      </c>
      <c r="G8" s="22"/>
      <c r="H8" s="22"/>
      <c r="I8" s="22"/>
      <c r="J8" s="22">
        <f>MAX((J5+J6),0)</f>
        <v>1074.2179295912301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0.19099055050447439</v>
      </c>
      <c r="C10" s="32">
        <f ca="1">'EF ele_warmte'!B22</f>
        <v>7.9168657405294079E-2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1658.5077344731999</v>
      </c>
      <c r="C12" s="24">
        <f ca="1">C8*C10</f>
        <v>2.7991775296871837</v>
      </c>
      <c r="D12" s="24">
        <f>D8*D10</f>
        <v>3317.2728628738291</v>
      </c>
      <c r="E12" s="24">
        <f>E8*E10</f>
        <v>18.570058415357433</v>
      </c>
      <c r="F12" s="24">
        <f>F8*F10</f>
        <v>7566.205357749418</v>
      </c>
      <c r="G12" s="24"/>
      <c r="H12" s="24"/>
      <c r="I12" s="24"/>
      <c r="J12" s="24">
        <f>J8*J10</f>
        <v>380.27314707529547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1.1756364100118459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597.57395556037454</v>
      </c>
      <c r="C26" s="250">
        <f>B26*'GWP N2O_CH4'!B5</f>
        <v>12549.053066767865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185.75281331359193</v>
      </c>
      <c r="C27" s="250">
        <f>B27*'GWP N2O_CH4'!B5</f>
        <v>3900.8090795854305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9.2366656504400151</v>
      </c>
      <c r="C28" s="250">
        <f>B28*'GWP N2O_CH4'!B4</f>
        <v>2863.3663516364045</v>
      </c>
      <c r="D28" s="51"/>
    </row>
    <row r="29" spans="1:4">
      <c r="A29" s="42" t="s">
        <v>277</v>
      </c>
      <c r="B29" s="250">
        <f>B34*'ha_N2O bodem landbouw'!B4</f>
        <v>25.348616869629588</v>
      </c>
      <c r="C29" s="250">
        <f>B29*'GWP N2O_CH4'!B4</f>
        <v>7858.0712295851717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6.8433285735769499E-3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6.0574195330364262E-5</v>
      </c>
      <c r="C5" s="447" t="s">
        <v>211</v>
      </c>
      <c r="D5" s="432">
        <f>SUM(D6:D11)</f>
        <v>1.7035195542344827E-4</v>
      </c>
      <c r="E5" s="432">
        <f>SUM(E6:E11)</f>
        <v>1.0097246574710233E-2</v>
      </c>
      <c r="F5" s="445" t="s">
        <v>211</v>
      </c>
      <c r="G5" s="432">
        <f>SUM(G6:G11)</f>
        <v>2.1487583558740768</v>
      </c>
      <c r="H5" s="432">
        <f>SUM(H6:H11)</f>
        <v>0.3801932066920285</v>
      </c>
      <c r="I5" s="447" t="s">
        <v>211</v>
      </c>
      <c r="J5" s="447" t="s">
        <v>211</v>
      </c>
      <c r="K5" s="447" t="s">
        <v>211</v>
      </c>
      <c r="L5" s="447" t="s">
        <v>211</v>
      </c>
      <c r="M5" s="432">
        <f>SUM(M6:M11)</f>
        <v>0.11307617785826951</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4.2870667805347927E-5</v>
      </c>
      <c r="C6" s="433"/>
      <c r="D6" s="433">
        <f>vkm_2011_GW_PW*SUMIFS(TableVerdeelsleutelVkm[CNG],TableVerdeelsleutelVkm[Voertuigtype],"Lichte voertuigen")*SUMIFS(TableECFTransport[EnergieConsumptieFactor (PJ per km)],TableECFTransport[Index],CONCATENATE($A6,"_CNG_CNG"))</f>
        <v>1.0469088874029688E-4</v>
      </c>
      <c r="E6" s="435">
        <f>vkm_2011_GW_PW*SUMIFS(TableVerdeelsleutelVkm[LPG],TableVerdeelsleutelVkm[Voertuigtype],"Lichte voertuigen")*SUMIFS(TableECFTransport[EnergieConsumptieFactor (PJ per km)],TableECFTransport[Index],CONCATENATE($A6,"_LPG_LPG"))</f>
        <v>6.2055348565615061E-3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0.89708306217872291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0.23509969787807966</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5.0701229037780307E-2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0.52764222435788644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2.1288306648716072E-4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2.3506297843782706E-2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1.1282496068900054E-5</v>
      </c>
      <c r="C8" s="433"/>
      <c r="D8" s="435">
        <f>vkm_2011_NGW_PW*SUMIFS(TableVerdeelsleutelVkm[CNG],TableVerdeelsleutelVkm[Voertuigtype],"Lichte voertuigen")*SUMIFS(TableECFTransport[EnergieConsumptieFactor (PJ per km)],TableECFTransport[Index],CONCATENATE($A8,"_CNG_CNG"))</f>
        <v>4.9433048685348727E-5</v>
      </c>
      <c r="E8" s="435">
        <f>vkm_2011_NGW_PW*SUMIFS(TableVerdeelsleutelVkm[LPG],TableVerdeelsleutelVkm[Voertuigtype],"Lichte voertuigen")*SUMIFS(TableECFTransport[EnergieConsumptieFactor (PJ per km)],TableECFTransport[Index],CONCATENATE($A8,"_LPG_LPG"))</f>
        <v>2.6881056356495769E-3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0.36710201566140993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0.10630248809160159</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2.1209579377386743E-2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7.7030466048751717E-2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2.7060165529736631E-5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3.4314996252206116E-3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6.4210314561162838E-6</v>
      </c>
      <c r="C10" s="433"/>
      <c r="D10" s="435">
        <f>vkm_2011_SW_PW*SUMIFS(TableVerdeelsleutelVkm[CNG],TableVerdeelsleutelVkm[Voertuigtype],"Lichte voertuigen")*SUMIFS(TableECFTransport[EnergieConsumptieFactor (PJ per km)],TableECFTransport[Index],CONCATENATE($A10,"_CNG_CNG"))</f>
        <v>1.6228017997802644E-5</v>
      </c>
      <c r="E10" s="435">
        <f>vkm_2011_SW_PW*SUMIFS(TableVerdeelsleutelVkm[LPG],TableVerdeelsleutelVkm[Voertuigtype],"Lichte voertuigen")*SUMIFS(TableECFTransport[EnergieConsumptieFactor (PJ per km)],TableECFTransport[Index],CONCATENATE($A10,"_LPG_LPG"))</f>
        <v>1.2036060824991508E-3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0.15856836956024709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3.8499141065170682E-2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8.8221227347273067E-3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0.12133221806705866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5.1936425159680769E-5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5.4054492393718406E-3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16.826165369545631</v>
      </c>
      <c r="C14" s="22"/>
      <c r="D14" s="22">
        <f t="shared" ref="D14:M14" si="0">((D5)*10^9/3600)+D12</f>
        <v>47.31998761762452</v>
      </c>
      <c r="E14" s="22">
        <f t="shared" si="0"/>
        <v>2804.7907151972868</v>
      </c>
      <c r="F14" s="22"/>
      <c r="G14" s="22">
        <f t="shared" si="0"/>
        <v>596877.32107613247</v>
      </c>
      <c r="H14" s="22">
        <f t="shared" si="0"/>
        <v>105609.22408111903</v>
      </c>
      <c r="I14" s="22"/>
      <c r="J14" s="22"/>
      <c r="K14" s="22"/>
      <c r="L14" s="22"/>
      <c r="M14" s="22">
        <f t="shared" si="0"/>
        <v>31410.049405074864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0.19099055050447439</v>
      </c>
      <c r="C16" s="57">
        <f ca="1">'EF ele_warmte'!B22</f>
        <v>7.9168657405294079E-2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3.2136385868088428</v>
      </c>
      <c r="C18" s="24"/>
      <c r="D18" s="24">
        <f t="shared" ref="D18:M18" si="1">D14*D16</f>
        <v>9.5586374987601541</v>
      </c>
      <c r="E18" s="24">
        <f t="shared" si="1"/>
        <v>636.68749234978407</v>
      </c>
      <c r="F18" s="24"/>
      <c r="G18" s="24">
        <f t="shared" si="1"/>
        <v>159366.24472732737</v>
      </c>
      <c r="H18" s="24">
        <f t="shared" si="1"/>
        <v>26296.696796198637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2.9418966488478008E-3</v>
      </c>
      <c r="C50" s="323">
        <f t="shared" ref="C50:P50" si="2">SUM(C51:C52)</f>
        <v>0</v>
      </c>
      <c r="D50" s="323">
        <f t="shared" si="2"/>
        <v>0</v>
      </c>
      <c r="E50" s="323">
        <f t="shared" si="2"/>
        <v>0</v>
      </c>
      <c r="F50" s="323">
        <f t="shared" si="2"/>
        <v>0</v>
      </c>
      <c r="G50" s="323">
        <f t="shared" si="2"/>
        <v>8.730130818323073E-2</v>
      </c>
      <c r="H50" s="323">
        <f t="shared" si="2"/>
        <v>0</v>
      </c>
      <c r="I50" s="323">
        <f t="shared" si="2"/>
        <v>0</v>
      </c>
      <c r="J50" s="323">
        <f t="shared" si="2"/>
        <v>0</v>
      </c>
      <c r="K50" s="323">
        <f t="shared" si="2"/>
        <v>0</v>
      </c>
      <c r="L50" s="323">
        <f t="shared" si="2"/>
        <v>0</v>
      </c>
      <c r="M50" s="323">
        <f t="shared" si="2"/>
        <v>3.8335444548416499E-3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8.730130818323073E-2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3.8335444548416499E-3</v>
      </c>
      <c r="N51" s="325"/>
      <c r="O51" s="325"/>
      <c r="P51" s="328"/>
    </row>
    <row r="52" spans="1:18">
      <c r="A52" s="4" t="s">
        <v>330</v>
      </c>
      <c r="B52" s="329">
        <f>vkm_2011_tram*SUMIFS(TableECFTransport[EnergieConsumptieFactor (PJ per km)],TableECFTransport[Index],"Tram_gemiddeld_Electric_Electric")</f>
        <v>2.9418966488478008E-3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817.19351356883351</v>
      </c>
      <c r="C54" s="22">
        <f t="shared" ref="C54:P54" si="3">(C50)*10^9/3600</f>
        <v>0</v>
      </c>
      <c r="D54" s="22">
        <f t="shared" si="3"/>
        <v>0</v>
      </c>
      <c r="E54" s="22">
        <f t="shared" si="3"/>
        <v>0</v>
      </c>
      <c r="F54" s="22">
        <f t="shared" si="3"/>
        <v>0</v>
      </c>
      <c r="G54" s="22">
        <f t="shared" si="3"/>
        <v>24250.363384230757</v>
      </c>
      <c r="H54" s="22">
        <f t="shared" si="3"/>
        <v>0</v>
      </c>
      <c r="I54" s="22">
        <f t="shared" si="3"/>
        <v>0</v>
      </c>
      <c r="J54" s="22">
        <f t="shared" si="3"/>
        <v>0</v>
      </c>
      <c r="K54" s="22">
        <f t="shared" si="3"/>
        <v>0</v>
      </c>
      <c r="L54" s="22">
        <f t="shared" si="3"/>
        <v>0</v>
      </c>
      <c r="M54" s="22">
        <f t="shared" si="3"/>
        <v>1064.873459678236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0.19099055050447439</v>
      </c>
      <c r="C56" s="57">
        <f ca="1">'EF ele_warmte'!B22</f>
        <v>7.9168657405294079E-2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156.07623902519717</v>
      </c>
      <c r="C58" s="24">
        <f t="shared" ref="C58:P58" ca="1" si="4">C54*C56</f>
        <v>0</v>
      </c>
      <c r="D58" s="24">
        <f t="shared" si="4"/>
        <v>0</v>
      </c>
      <c r="E58" s="24">
        <f t="shared" si="4"/>
        <v>0</v>
      </c>
      <c r="F58" s="24">
        <f t="shared" si="4"/>
        <v>0</v>
      </c>
      <c r="G58" s="24">
        <f t="shared" si="4"/>
        <v>6474.8470235896129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331770.59301109461</v>
      </c>
      <c r="D10" s="688">
        <f ca="1">tertiair!C16</f>
        <v>22.5</v>
      </c>
      <c r="E10" s="688">
        <f ca="1">tertiair!D16</f>
        <v>386487.69045257691</v>
      </c>
      <c r="F10" s="688">
        <f>tertiair!E16</f>
        <v>3481.5963253770988</v>
      </c>
      <c r="G10" s="688">
        <f ca="1">tertiair!F16</f>
        <v>66270.295174498635</v>
      </c>
      <c r="H10" s="688">
        <f>tertiair!G16</f>
        <v>0</v>
      </c>
      <c r="I10" s="688">
        <f>tertiair!H16</f>
        <v>0</v>
      </c>
      <c r="J10" s="688">
        <f>tertiair!I16</f>
        <v>0</v>
      </c>
      <c r="K10" s="688">
        <f>tertiair!J16</f>
        <v>0</v>
      </c>
      <c r="L10" s="688">
        <f>tertiair!K16</f>
        <v>0</v>
      </c>
      <c r="M10" s="688">
        <f ca="1">tertiair!L16</f>
        <v>0</v>
      </c>
      <c r="N10" s="688">
        <f>tertiair!M16</f>
        <v>0</v>
      </c>
      <c r="O10" s="688">
        <f ca="1">tertiair!N16</f>
        <v>19794.990429743633</v>
      </c>
      <c r="P10" s="688">
        <f>tertiair!O16</f>
        <v>10.943333333333335</v>
      </c>
      <c r="Q10" s="689">
        <f>tertiair!P16</f>
        <v>305.06666666666666</v>
      </c>
      <c r="R10" s="691">
        <f ca="1">SUM(C10:Q10)</f>
        <v>808143.67539329105</v>
      </c>
      <c r="S10" s="68"/>
    </row>
    <row r="11" spans="1:19" s="457" customFormat="1">
      <c r="A11" s="803" t="s">
        <v>225</v>
      </c>
      <c r="B11" s="808"/>
      <c r="C11" s="688">
        <f>huishoudens!B8</f>
        <v>202579.23435595245</v>
      </c>
      <c r="D11" s="688">
        <f>huishoudens!C8</f>
        <v>0</v>
      </c>
      <c r="E11" s="688">
        <f>huishoudens!D8</f>
        <v>652172.95314682589</v>
      </c>
      <c r="F11" s="688">
        <f>huishoudens!E8</f>
        <v>8461.9940324043182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51220.543205545262</v>
      </c>
      <c r="P11" s="688">
        <f>huishoudens!O8</f>
        <v>386.14333333333337</v>
      </c>
      <c r="Q11" s="689">
        <f>huishoudens!P8</f>
        <v>514.79999999999995</v>
      </c>
      <c r="R11" s="691">
        <f>SUM(C11:Q11)</f>
        <v>915335.66807406128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113628.25965161918</v>
      </c>
      <c r="D13" s="688">
        <f>industrie!C18</f>
        <v>11137.5</v>
      </c>
      <c r="E13" s="688">
        <f>industrie!D18</f>
        <v>154196.33182465873</v>
      </c>
      <c r="F13" s="688">
        <f>industrie!E18</f>
        <v>1040.4938711599814</v>
      </c>
      <c r="G13" s="688">
        <f>industrie!F18</f>
        <v>19760.126070192615</v>
      </c>
      <c r="H13" s="688">
        <f>industrie!G18</f>
        <v>0</v>
      </c>
      <c r="I13" s="688">
        <f>industrie!H18</f>
        <v>0</v>
      </c>
      <c r="J13" s="688">
        <f>industrie!I18</f>
        <v>0</v>
      </c>
      <c r="K13" s="688">
        <f>industrie!J18</f>
        <v>370.98800308646531</v>
      </c>
      <c r="L13" s="688">
        <f>industrie!K18</f>
        <v>0</v>
      </c>
      <c r="M13" s="688">
        <f>industrie!L18</f>
        <v>0</v>
      </c>
      <c r="N13" s="688">
        <f>industrie!M18</f>
        <v>0</v>
      </c>
      <c r="O13" s="688">
        <f>industrie!N18</f>
        <v>4455.1332014158706</v>
      </c>
      <c r="P13" s="688">
        <f>industrie!O18</f>
        <v>0</v>
      </c>
      <c r="Q13" s="689">
        <f>industrie!P18</f>
        <v>0</v>
      </c>
      <c r="R13" s="691">
        <f>SUM(C13:Q13)</f>
        <v>304588.83262213285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647978.08701866632</v>
      </c>
      <c r="D16" s="721">
        <f t="shared" ref="D16:R16" ca="1" si="0">SUM(D9:D15)</f>
        <v>11160</v>
      </c>
      <c r="E16" s="721">
        <f t="shared" ca="1" si="0"/>
        <v>1192856.9754240615</v>
      </c>
      <c r="F16" s="721">
        <f t="shared" si="0"/>
        <v>12984.084228941398</v>
      </c>
      <c r="G16" s="721">
        <f t="shared" ca="1" si="0"/>
        <v>86030.421244691242</v>
      </c>
      <c r="H16" s="721">
        <f t="shared" si="0"/>
        <v>0</v>
      </c>
      <c r="I16" s="721">
        <f t="shared" si="0"/>
        <v>0</v>
      </c>
      <c r="J16" s="721">
        <f t="shared" si="0"/>
        <v>0</v>
      </c>
      <c r="K16" s="721">
        <f t="shared" si="0"/>
        <v>370.98800308646531</v>
      </c>
      <c r="L16" s="721">
        <f t="shared" si="0"/>
        <v>0</v>
      </c>
      <c r="M16" s="721">
        <f t="shared" ca="1" si="0"/>
        <v>0</v>
      </c>
      <c r="N16" s="721">
        <f t="shared" si="0"/>
        <v>0</v>
      </c>
      <c r="O16" s="721">
        <f t="shared" ca="1" si="0"/>
        <v>75470.666836704768</v>
      </c>
      <c r="P16" s="721">
        <f t="shared" si="0"/>
        <v>397.0866666666667</v>
      </c>
      <c r="Q16" s="721">
        <f t="shared" si="0"/>
        <v>819.86666666666656</v>
      </c>
      <c r="R16" s="721">
        <f t="shared" ca="1" si="0"/>
        <v>2028068.1760894852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817.19351356883351</v>
      </c>
      <c r="D19" s="688">
        <f>transport!C54</f>
        <v>0</v>
      </c>
      <c r="E19" s="688">
        <f>transport!D54</f>
        <v>0</v>
      </c>
      <c r="F19" s="688">
        <f>transport!E54</f>
        <v>0</v>
      </c>
      <c r="G19" s="688">
        <f>transport!F54</f>
        <v>0</v>
      </c>
      <c r="H19" s="688">
        <f>transport!G54</f>
        <v>24250.363384230757</v>
      </c>
      <c r="I19" s="688">
        <f>transport!H54</f>
        <v>0</v>
      </c>
      <c r="J19" s="688">
        <f>transport!I54</f>
        <v>0</v>
      </c>
      <c r="K19" s="688">
        <f>transport!J54</f>
        <v>0</v>
      </c>
      <c r="L19" s="688">
        <f>transport!K54</f>
        <v>0</v>
      </c>
      <c r="M19" s="688">
        <f>transport!L54</f>
        <v>0</v>
      </c>
      <c r="N19" s="688">
        <f>transport!M54</f>
        <v>1064.873459678236</v>
      </c>
      <c r="O19" s="688">
        <f>transport!N54</f>
        <v>0</v>
      </c>
      <c r="P19" s="688">
        <f>transport!O54</f>
        <v>0</v>
      </c>
      <c r="Q19" s="689">
        <f>transport!P54</f>
        <v>0</v>
      </c>
      <c r="R19" s="691">
        <f>SUM(C19:Q19)</f>
        <v>26132.430357477824</v>
      </c>
      <c r="S19" s="68"/>
    </row>
    <row r="20" spans="1:19" s="457" customFormat="1">
      <c r="A20" s="803" t="s">
        <v>307</v>
      </c>
      <c r="B20" s="808"/>
      <c r="C20" s="688">
        <f>transport!B14</f>
        <v>16.826165369545631</v>
      </c>
      <c r="D20" s="688">
        <f>transport!C14</f>
        <v>0</v>
      </c>
      <c r="E20" s="688">
        <f>transport!D14</f>
        <v>47.31998761762452</v>
      </c>
      <c r="F20" s="688">
        <f>transport!E14</f>
        <v>2804.7907151972868</v>
      </c>
      <c r="G20" s="688">
        <f>transport!F14</f>
        <v>0</v>
      </c>
      <c r="H20" s="688">
        <f>transport!G14</f>
        <v>596877.32107613247</v>
      </c>
      <c r="I20" s="688">
        <f>transport!H14</f>
        <v>105609.22408111903</v>
      </c>
      <c r="J20" s="688">
        <f>transport!I14</f>
        <v>0</v>
      </c>
      <c r="K20" s="688">
        <f>transport!J14</f>
        <v>0</v>
      </c>
      <c r="L20" s="688">
        <f>transport!K14</f>
        <v>0</v>
      </c>
      <c r="M20" s="688">
        <f>transport!L14</f>
        <v>0</v>
      </c>
      <c r="N20" s="688">
        <f>transport!M14</f>
        <v>31410.049405074864</v>
      </c>
      <c r="O20" s="688">
        <f>transport!N14</f>
        <v>0</v>
      </c>
      <c r="P20" s="688">
        <f>transport!O14</f>
        <v>0</v>
      </c>
      <c r="Q20" s="689">
        <f>transport!P14</f>
        <v>0</v>
      </c>
      <c r="R20" s="691">
        <f>SUM(C20:Q20)</f>
        <v>736765.53143051092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834.01967893837912</v>
      </c>
      <c r="D22" s="806">
        <f t="shared" ref="D22:R22" si="1">SUM(D18:D21)</f>
        <v>0</v>
      </c>
      <c r="E22" s="806">
        <f t="shared" si="1"/>
        <v>47.31998761762452</v>
      </c>
      <c r="F22" s="806">
        <f t="shared" si="1"/>
        <v>2804.7907151972868</v>
      </c>
      <c r="G22" s="806">
        <f t="shared" si="1"/>
        <v>0</v>
      </c>
      <c r="H22" s="806">
        <f t="shared" si="1"/>
        <v>621127.68446036323</v>
      </c>
      <c r="I22" s="806">
        <f t="shared" si="1"/>
        <v>105609.22408111903</v>
      </c>
      <c r="J22" s="806">
        <f t="shared" si="1"/>
        <v>0</v>
      </c>
      <c r="K22" s="806">
        <f t="shared" si="1"/>
        <v>0</v>
      </c>
      <c r="L22" s="806">
        <f t="shared" si="1"/>
        <v>0</v>
      </c>
      <c r="M22" s="806">
        <f t="shared" si="1"/>
        <v>0</v>
      </c>
      <c r="N22" s="806">
        <f t="shared" si="1"/>
        <v>32474.922864753098</v>
      </c>
      <c r="O22" s="806">
        <f t="shared" si="1"/>
        <v>0</v>
      </c>
      <c r="P22" s="806">
        <f t="shared" si="1"/>
        <v>0</v>
      </c>
      <c r="Q22" s="806">
        <f t="shared" si="1"/>
        <v>0</v>
      </c>
      <c r="R22" s="806">
        <f t="shared" si="1"/>
        <v>762897.96178798878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8683.7161843477988</v>
      </c>
      <c r="D24" s="688">
        <f>+landbouw!C8</f>
        <v>35.357142857142861</v>
      </c>
      <c r="E24" s="688">
        <f>+landbouw!D8</f>
        <v>16422.142885514004</v>
      </c>
      <c r="F24" s="688">
        <f>+landbouw!E8</f>
        <v>81.806424737257416</v>
      </c>
      <c r="G24" s="688">
        <f>+landbouw!F8</f>
        <v>28337.847781833025</v>
      </c>
      <c r="H24" s="688">
        <f>+landbouw!G8</f>
        <v>0</v>
      </c>
      <c r="I24" s="688">
        <f>+landbouw!H8</f>
        <v>0</v>
      </c>
      <c r="J24" s="688">
        <f>+landbouw!I8</f>
        <v>0</v>
      </c>
      <c r="K24" s="688">
        <f>+landbouw!J8</f>
        <v>1074.2179295912301</v>
      </c>
      <c r="L24" s="688">
        <f>+landbouw!K8</f>
        <v>0</v>
      </c>
      <c r="M24" s="688">
        <f>+landbouw!L8</f>
        <v>0</v>
      </c>
      <c r="N24" s="688">
        <f>+landbouw!M8</f>
        <v>0</v>
      </c>
      <c r="O24" s="688">
        <f>+landbouw!N8</f>
        <v>0</v>
      </c>
      <c r="P24" s="688">
        <f>+landbouw!O8</f>
        <v>0</v>
      </c>
      <c r="Q24" s="689">
        <f>+landbouw!P8</f>
        <v>0</v>
      </c>
      <c r="R24" s="691">
        <f>SUM(C24:Q24)</f>
        <v>54635.088348880454</v>
      </c>
      <c r="S24" s="68"/>
    </row>
    <row r="25" spans="1:19" s="457" customFormat="1" ht="15" thickBot="1">
      <c r="A25" s="825" t="s">
        <v>912</v>
      </c>
      <c r="B25" s="1001"/>
      <c r="C25" s="1002">
        <f>IF(Onbekend_ele_kWh="---",0,Onbekend_ele_kWh)/1000+IF(REST_rest_ele_kWh="---",0,REST_rest_ele_kWh)/1000</f>
        <v>9723.8052683180285</v>
      </c>
      <c r="D25" s="1002"/>
      <c r="E25" s="1002">
        <f>IF(onbekend_gas_kWh="---",0,onbekend_gas_kWh)/1000+IF(REST_rest_gas_kWh="---",0,REST_rest_gas_kWh)/1000</f>
        <v>33155.266849498497</v>
      </c>
      <c r="F25" s="1002"/>
      <c r="G25" s="1002"/>
      <c r="H25" s="1002"/>
      <c r="I25" s="1002"/>
      <c r="J25" s="1002"/>
      <c r="K25" s="1002"/>
      <c r="L25" s="1002"/>
      <c r="M25" s="1002"/>
      <c r="N25" s="1002"/>
      <c r="O25" s="1002"/>
      <c r="P25" s="1002"/>
      <c r="Q25" s="1003"/>
      <c r="R25" s="691">
        <f>SUM(C25:Q25)</f>
        <v>42879.072117816526</v>
      </c>
      <c r="S25" s="68"/>
    </row>
    <row r="26" spans="1:19" s="457" customFormat="1" ht="15.75" thickBot="1">
      <c r="A26" s="694" t="s">
        <v>913</v>
      </c>
      <c r="B26" s="811"/>
      <c r="C26" s="806">
        <f>SUM(C24:C25)</f>
        <v>18407.521452665827</v>
      </c>
      <c r="D26" s="806">
        <f t="shared" ref="D26:R26" si="2">SUM(D24:D25)</f>
        <v>35.357142857142861</v>
      </c>
      <c r="E26" s="806">
        <f t="shared" si="2"/>
        <v>49577.409735012501</v>
      </c>
      <c r="F26" s="806">
        <f t="shared" si="2"/>
        <v>81.806424737257416</v>
      </c>
      <c r="G26" s="806">
        <f t="shared" si="2"/>
        <v>28337.847781833025</v>
      </c>
      <c r="H26" s="806">
        <f t="shared" si="2"/>
        <v>0</v>
      </c>
      <c r="I26" s="806">
        <f t="shared" si="2"/>
        <v>0</v>
      </c>
      <c r="J26" s="806">
        <f t="shared" si="2"/>
        <v>0</v>
      </c>
      <c r="K26" s="806">
        <f t="shared" si="2"/>
        <v>1074.2179295912301</v>
      </c>
      <c r="L26" s="806">
        <f t="shared" si="2"/>
        <v>0</v>
      </c>
      <c r="M26" s="806">
        <f t="shared" si="2"/>
        <v>0</v>
      </c>
      <c r="N26" s="806">
        <f t="shared" si="2"/>
        <v>0</v>
      </c>
      <c r="O26" s="806">
        <f t="shared" si="2"/>
        <v>0</v>
      </c>
      <c r="P26" s="806">
        <f t="shared" si="2"/>
        <v>0</v>
      </c>
      <c r="Q26" s="806">
        <f t="shared" si="2"/>
        <v>0</v>
      </c>
      <c r="R26" s="806">
        <f t="shared" si="2"/>
        <v>97514.16046669698</v>
      </c>
      <c r="S26" s="68"/>
    </row>
    <row r="27" spans="1:19" s="457" customFormat="1" ht="17.25" thickTop="1" thickBot="1">
      <c r="A27" s="695" t="s">
        <v>116</v>
      </c>
      <c r="B27" s="798"/>
      <c r="C27" s="696">
        <f ca="1">C22+C16+C26</f>
        <v>667219.62815027055</v>
      </c>
      <c r="D27" s="696">
        <f t="shared" ref="D27:R27" ca="1" si="3">D22+D16+D26</f>
        <v>11195.357142857143</v>
      </c>
      <c r="E27" s="696">
        <f t="shared" ca="1" si="3"/>
        <v>1242481.7051466918</v>
      </c>
      <c r="F27" s="696">
        <f t="shared" si="3"/>
        <v>15870.681368875941</v>
      </c>
      <c r="G27" s="696">
        <f t="shared" ca="1" si="3"/>
        <v>114368.26902652427</v>
      </c>
      <c r="H27" s="696">
        <f t="shared" si="3"/>
        <v>621127.68446036323</v>
      </c>
      <c r="I27" s="696">
        <f t="shared" si="3"/>
        <v>105609.22408111903</v>
      </c>
      <c r="J27" s="696">
        <f t="shared" si="3"/>
        <v>0</v>
      </c>
      <c r="K27" s="696">
        <f t="shared" si="3"/>
        <v>1445.2059326776955</v>
      </c>
      <c r="L27" s="696">
        <f t="shared" si="3"/>
        <v>0</v>
      </c>
      <c r="M27" s="696">
        <f t="shared" ca="1" si="3"/>
        <v>0</v>
      </c>
      <c r="N27" s="696">
        <f t="shared" si="3"/>
        <v>32474.922864753098</v>
      </c>
      <c r="O27" s="696">
        <f t="shared" ca="1" si="3"/>
        <v>75470.666836704768</v>
      </c>
      <c r="P27" s="696">
        <f t="shared" si="3"/>
        <v>397.0866666666667</v>
      </c>
      <c r="Q27" s="696">
        <f t="shared" si="3"/>
        <v>819.86666666666656</v>
      </c>
      <c r="R27" s="696">
        <f t="shared" ca="1" si="3"/>
        <v>2888480.2983441711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63365.048200384881</v>
      </c>
      <c r="D40" s="688">
        <f ca="1">tertiair!C20</f>
        <v>1.7812947916191169</v>
      </c>
      <c r="E40" s="688">
        <f ca="1">tertiair!D20</f>
        <v>78070.513471420534</v>
      </c>
      <c r="F40" s="688">
        <f>tertiair!E20</f>
        <v>790.32236586060139</v>
      </c>
      <c r="G40" s="688">
        <f ca="1">tertiair!F20</f>
        <v>17694.168811591135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159921.83414404877</v>
      </c>
    </row>
    <row r="41" spans="1:18">
      <c r="A41" s="816" t="s">
        <v>225</v>
      </c>
      <c r="B41" s="823"/>
      <c r="C41" s="688">
        <f ca="1">huishoudens!B12</f>
        <v>38690.719490418291</v>
      </c>
      <c r="D41" s="688">
        <f ca="1">huishoudens!C12</f>
        <v>0</v>
      </c>
      <c r="E41" s="688">
        <f>huishoudens!D12</f>
        <v>131738.93653565884</v>
      </c>
      <c r="F41" s="688">
        <f>huishoudens!E12</f>
        <v>1920.8726453557804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172350.52867143293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21701.923863728101</v>
      </c>
      <c r="D43" s="688">
        <f ca="1">industrie!C22</f>
        <v>881.74092185146276</v>
      </c>
      <c r="E43" s="688">
        <f>industrie!D22</f>
        <v>31147.659028581067</v>
      </c>
      <c r="F43" s="688">
        <f>industrie!E22</f>
        <v>236.19210875331578</v>
      </c>
      <c r="G43" s="688">
        <f>industrie!F22</f>
        <v>5275.9536607414284</v>
      </c>
      <c r="H43" s="688">
        <f>industrie!G22</f>
        <v>0</v>
      </c>
      <c r="I43" s="688">
        <f>industrie!H22</f>
        <v>0</v>
      </c>
      <c r="J43" s="688">
        <f>industrie!I22</f>
        <v>0</v>
      </c>
      <c r="K43" s="688">
        <f>industrie!J22</f>
        <v>131.32975309260871</v>
      </c>
      <c r="L43" s="688">
        <f>industrie!K22</f>
        <v>0</v>
      </c>
      <c r="M43" s="688">
        <f>industrie!L22</f>
        <v>0</v>
      </c>
      <c r="N43" s="688">
        <f>industrie!M22</f>
        <v>0</v>
      </c>
      <c r="O43" s="688">
        <f>industrie!N22</f>
        <v>0</v>
      </c>
      <c r="P43" s="688">
        <f>industrie!O22</f>
        <v>0</v>
      </c>
      <c r="Q43" s="763">
        <f>industrie!P22</f>
        <v>0</v>
      </c>
      <c r="R43" s="843">
        <f t="shared" ca="1" si="4"/>
        <v>59374.799336747979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123757.69155453128</v>
      </c>
      <c r="D46" s="721">
        <f t="shared" ref="D46:Q46" ca="1" si="5">SUM(D39:D45)</f>
        <v>883.52221664308183</v>
      </c>
      <c r="E46" s="721">
        <f t="shared" ca="1" si="5"/>
        <v>240957.10903566045</v>
      </c>
      <c r="F46" s="721">
        <f t="shared" si="5"/>
        <v>2947.3871199696978</v>
      </c>
      <c r="G46" s="721">
        <f t="shared" ca="1" si="5"/>
        <v>22970.122472332565</v>
      </c>
      <c r="H46" s="721">
        <f t="shared" si="5"/>
        <v>0</v>
      </c>
      <c r="I46" s="721">
        <f t="shared" si="5"/>
        <v>0</v>
      </c>
      <c r="J46" s="721">
        <f t="shared" si="5"/>
        <v>0</v>
      </c>
      <c r="K46" s="721">
        <f t="shared" si="5"/>
        <v>131.32975309260871</v>
      </c>
      <c r="L46" s="721">
        <f t="shared" si="5"/>
        <v>0</v>
      </c>
      <c r="M46" s="721">
        <f t="shared" ca="1" si="5"/>
        <v>0</v>
      </c>
      <c r="N46" s="721">
        <f t="shared" si="5"/>
        <v>0</v>
      </c>
      <c r="O46" s="721">
        <f t="shared" ca="1" si="5"/>
        <v>0</v>
      </c>
      <c r="P46" s="721">
        <f t="shared" si="5"/>
        <v>0</v>
      </c>
      <c r="Q46" s="721">
        <f t="shared" si="5"/>
        <v>0</v>
      </c>
      <c r="R46" s="721">
        <f ca="1">SUM(R39:R45)</f>
        <v>391647.16215222969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156.07623902519717</v>
      </c>
      <c r="D49" s="688">
        <f ca="1">transport!C58</f>
        <v>0</v>
      </c>
      <c r="E49" s="688">
        <f>transport!D58</f>
        <v>0</v>
      </c>
      <c r="F49" s="688">
        <f>transport!E58</f>
        <v>0</v>
      </c>
      <c r="G49" s="688">
        <f>transport!F58</f>
        <v>0</v>
      </c>
      <c r="H49" s="688">
        <f>transport!G58</f>
        <v>6474.8470235896129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6630.9232626148105</v>
      </c>
    </row>
    <row r="50" spans="1:18">
      <c r="A50" s="819" t="s">
        <v>307</v>
      </c>
      <c r="B50" s="829"/>
      <c r="C50" s="1008">
        <f ca="1">transport!B18</f>
        <v>3.2136385868088428</v>
      </c>
      <c r="D50" s="1008">
        <f>transport!C18</f>
        <v>0</v>
      </c>
      <c r="E50" s="1008">
        <f>transport!D18</f>
        <v>9.5586374987601541</v>
      </c>
      <c r="F50" s="1008">
        <f>transport!E18</f>
        <v>636.68749234978407</v>
      </c>
      <c r="G50" s="1008">
        <f>transport!F18</f>
        <v>0</v>
      </c>
      <c r="H50" s="1008">
        <f>transport!G18</f>
        <v>159366.24472732737</v>
      </c>
      <c r="I50" s="1008">
        <f>transport!H18</f>
        <v>26296.696796198637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186312.40129196137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159.28987761200602</v>
      </c>
      <c r="D52" s="721">
        <f t="shared" ref="D52:Q52" ca="1" si="6">SUM(D48:D51)</f>
        <v>0</v>
      </c>
      <c r="E52" s="721">
        <f t="shared" si="6"/>
        <v>9.5586374987601541</v>
      </c>
      <c r="F52" s="721">
        <f t="shared" si="6"/>
        <v>636.68749234978407</v>
      </c>
      <c r="G52" s="721">
        <f t="shared" si="6"/>
        <v>0</v>
      </c>
      <c r="H52" s="721">
        <f t="shared" si="6"/>
        <v>165841.091750917</v>
      </c>
      <c r="I52" s="721">
        <f t="shared" si="6"/>
        <v>26296.696796198637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192943.32455457619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1658.5077344731999</v>
      </c>
      <c r="D54" s="1008">
        <f ca="1">+landbouw!C12</f>
        <v>2.7991775296871837</v>
      </c>
      <c r="E54" s="1008">
        <f>+landbouw!D12</f>
        <v>3317.2728628738291</v>
      </c>
      <c r="F54" s="1008">
        <f>+landbouw!E12</f>
        <v>18.570058415357433</v>
      </c>
      <c r="G54" s="1008">
        <f>+landbouw!F12</f>
        <v>7566.205357749418</v>
      </c>
      <c r="H54" s="1008">
        <f>+landbouw!G12</f>
        <v>0</v>
      </c>
      <c r="I54" s="1008">
        <f>+landbouw!H12</f>
        <v>0</v>
      </c>
      <c r="J54" s="1008">
        <f>+landbouw!I12</f>
        <v>0</v>
      </c>
      <c r="K54" s="1008">
        <f>+landbouw!J12</f>
        <v>380.27314707529547</v>
      </c>
      <c r="L54" s="1008">
        <f>+landbouw!K12</f>
        <v>0</v>
      </c>
      <c r="M54" s="1008">
        <f>+landbouw!L12</f>
        <v>0</v>
      </c>
      <c r="N54" s="1008">
        <f>+landbouw!M12</f>
        <v>0</v>
      </c>
      <c r="O54" s="1008">
        <f>+landbouw!N12</f>
        <v>0</v>
      </c>
      <c r="P54" s="1008">
        <f>+landbouw!O12</f>
        <v>0</v>
      </c>
      <c r="Q54" s="1009">
        <f>+landbouw!P12</f>
        <v>0</v>
      </c>
      <c r="R54" s="720">
        <f ca="1">SUM(C54:Q54)</f>
        <v>12943.628338116787</v>
      </c>
    </row>
    <row r="55" spans="1:18" ht="15" thickBot="1">
      <c r="A55" s="819" t="s">
        <v>912</v>
      </c>
      <c r="B55" s="829"/>
      <c r="C55" s="1008">
        <f ca="1">C25*'EF ele_warmte'!B12</f>
        <v>1857.1549211943686</v>
      </c>
      <c r="D55" s="1008"/>
      <c r="E55" s="1008">
        <f>E25*EF_CO2_aardgas</f>
        <v>6697.3639035986971</v>
      </c>
      <c r="F55" s="1008"/>
      <c r="G55" s="1008"/>
      <c r="H55" s="1008"/>
      <c r="I55" s="1008"/>
      <c r="J55" s="1008"/>
      <c r="K55" s="1008"/>
      <c r="L55" s="1008"/>
      <c r="M55" s="1008"/>
      <c r="N55" s="1008"/>
      <c r="O55" s="1008"/>
      <c r="P55" s="1008"/>
      <c r="Q55" s="1009"/>
      <c r="R55" s="720">
        <f ca="1">SUM(C55:Q55)</f>
        <v>8554.5188247930655</v>
      </c>
    </row>
    <row r="56" spans="1:18" ht="15.75" thickBot="1">
      <c r="A56" s="817" t="s">
        <v>913</v>
      </c>
      <c r="B56" s="830"/>
      <c r="C56" s="721">
        <f ca="1">SUM(C54:C55)</f>
        <v>3515.6626556675683</v>
      </c>
      <c r="D56" s="721">
        <f t="shared" ref="D56:Q56" ca="1" si="7">SUM(D54:D55)</f>
        <v>2.7991775296871837</v>
      </c>
      <c r="E56" s="721">
        <f t="shared" si="7"/>
        <v>10014.636766472526</v>
      </c>
      <c r="F56" s="721">
        <f t="shared" si="7"/>
        <v>18.570058415357433</v>
      </c>
      <c r="G56" s="721">
        <f t="shared" si="7"/>
        <v>7566.205357749418</v>
      </c>
      <c r="H56" s="721">
        <f t="shared" si="7"/>
        <v>0</v>
      </c>
      <c r="I56" s="721">
        <f t="shared" si="7"/>
        <v>0</v>
      </c>
      <c r="J56" s="721">
        <f t="shared" si="7"/>
        <v>0</v>
      </c>
      <c r="K56" s="721">
        <f t="shared" si="7"/>
        <v>380.27314707529547</v>
      </c>
      <c r="L56" s="721">
        <f t="shared" si="7"/>
        <v>0</v>
      </c>
      <c r="M56" s="721">
        <f t="shared" si="7"/>
        <v>0</v>
      </c>
      <c r="N56" s="721">
        <f t="shared" si="7"/>
        <v>0</v>
      </c>
      <c r="O56" s="721">
        <f t="shared" si="7"/>
        <v>0</v>
      </c>
      <c r="P56" s="721">
        <f t="shared" si="7"/>
        <v>0</v>
      </c>
      <c r="Q56" s="722">
        <f t="shared" si="7"/>
        <v>0</v>
      </c>
      <c r="R56" s="723">
        <f ca="1">SUM(R54:R55)</f>
        <v>21498.147162909852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127432.64408781086</v>
      </c>
      <c r="D61" s="729">
        <f t="shared" ref="D61:Q61" ca="1" si="8">D46+D52+D56</f>
        <v>886.32139417276903</v>
      </c>
      <c r="E61" s="729">
        <f t="shared" ca="1" si="8"/>
        <v>250981.30443963176</v>
      </c>
      <c r="F61" s="729">
        <f t="shared" si="8"/>
        <v>3602.6446707348391</v>
      </c>
      <c r="G61" s="729">
        <f t="shared" ca="1" si="8"/>
        <v>30536.327830081984</v>
      </c>
      <c r="H61" s="729">
        <f t="shared" si="8"/>
        <v>165841.091750917</v>
      </c>
      <c r="I61" s="729">
        <f t="shared" si="8"/>
        <v>26296.696796198637</v>
      </c>
      <c r="J61" s="729">
        <f t="shared" si="8"/>
        <v>0</v>
      </c>
      <c r="K61" s="729">
        <f t="shared" si="8"/>
        <v>511.60290016790418</v>
      </c>
      <c r="L61" s="729">
        <f t="shared" si="8"/>
        <v>0</v>
      </c>
      <c r="M61" s="729">
        <f t="shared" ca="1" si="8"/>
        <v>0</v>
      </c>
      <c r="N61" s="729">
        <f t="shared" si="8"/>
        <v>0</v>
      </c>
      <c r="O61" s="729">
        <f t="shared" ca="1" si="8"/>
        <v>0</v>
      </c>
      <c r="P61" s="729">
        <f t="shared" si="8"/>
        <v>0</v>
      </c>
      <c r="Q61" s="729">
        <f t="shared" si="8"/>
        <v>0</v>
      </c>
      <c r="R61" s="729">
        <f ca="1">R46+R52+R56</f>
        <v>606088.63386971573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0.19099055050447436</v>
      </c>
      <c r="D63" s="773">
        <f t="shared" ca="1" si="9"/>
        <v>7.9168657405294066E-2</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61252.301403525344</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25489.218421702244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7416.7567582133306</v>
      </c>
      <c r="C76" s="739">
        <f>'lokale energieproductie'!B8*IFERROR(SUM(D76:H76)/SUM(D76:O76),0)</f>
        <v>2512.4932417866685</v>
      </c>
      <c r="D76" s="1020">
        <f>'lokale energieproductie'!C8</f>
        <v>47.338978408727804</v>
      </c>
      <c r="E76" s="1021">
        <f>'lokale energieproductie'!D8</f>
        <v>0</v>
      </c>
      <c r="F76" s="1021">
        <f>'lokale energieproductie'!E8</f>
        <v>2908.3255352170536</v>
      </c>
      <c r="G76" s="1021">
        <f>'lokale energieproductie'!F8</f>
        <v>0</v>
      </c>
      <c r="H76" s="1021">
        <f>'lokale energieproductie'!G8</f>
        <v>0</v>
      </c>
      <c r="I76" s="1021">
        <f>'lokale energieproductie'!I8</f>
        <v>8724.9766056511617</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786.0853915415164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94158.276583440922</v>
      </c>
      <c r="C78" s="744">
        <f>SUM(C72:C77)</f>
        <v>2512.4932417866685</v>
      </c>
      <c r="D78" s="745">
        <f t="shared" ref="D78:H78" si="10">SUM(D76:D77)</f>
        <v>47.338978408727804</v>
      </c>
      <c r="E78" s="745">
        <f t="shared" si="10"/>
        <v>0</v>
      </c>
      <c r="F78" s="745">
        <f t="shared" si="10"/>
        <v>2908.3255352170536</v>
      </c>
      <c r="G78" s="745">
        <f t="shared" si="10"/>
        <v>0</v>
      </c>
      <c r="H78" s="745">
        <f t="shared" si="10"/>
        <v>0</v>
      </c>
      <c r="I78" s="745">
        <f>SUM(I76:I77)</f>
        <v>8724.9766056511617</v>
      </c>
      <c r="J78" s="745">
        <f>SUM(J76:J77)</f>
        <v>0</v>
      </c>
      <c r="K78" s="745">
        <f t="shared" ref="K78:L78" si="11">SUM(K76:K77)</f>
        <v>0</v>
      </c>
      <c r="L78" s="745">
        <f t="shared" si="11"/>
        <v>0</v>
      </c>
      <c r="M78" s="745">
        <f>SUM(M76:M77)</f>
        <v>0</v>
      </c>
      <c r="N78" s="745">
        <f>SUM(N76:N77)</f>
        <v>0</v>
      </c>
      <c r="O78" s="854">
        <f>SUM(O76:O77)</f>
        <v>0</v>
      </c>
      <c r="P78" s="746">
        <v>0</v>
      </c>
      <c r="Q78" s="746">
        <f>SUM(Q76:Q77)</f>
        <v>786.0853915415164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8362.4886824178666</v>
      </c>
      <c r="C87" s="755">
        <f>'lokale energieproductie'!B17*IFERROR(SUM(D87:H87)/SUM(D87:O87),0)</f>
        <v>2832.8684604392765</v>
      </c>
      <c r="D87" s="766">
        <f>'lokale energieproductie'!C17</f>
        <v>53.375307305557911</v>
      </c>
      <c r="E87" s="766">
        <f>'lokale energieproductie'!D17</f>
        <v>0</v>
      </c>
      <c r="F87" s="766">
        <f>'lokale energieproductie'!E17</f>
        <v>3279.1744647829455</v>
      </c>
      <c r="G87" s="766">
        <f>'lokale energieproductie'!F17</f>
        <v>0</v>
      </c>
      <c r="H87" s="766">
        <f>'lokale energieproductie'!G17</f>
        <v>0</v>
      </c>
      <c r="I87" s="766">
        <f>'lokale energieproductie'!I17</f>
        <v>9837.5233943488365</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886.32139417276915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8362.4886824178666</v>
      </c>
      <c r="C90" s="744">
        <f>SUM(C87:C89)</f>
        <v>2832.8684604392765</v>
      </c>
      <c r="D90" s="744">
        <f t="shared" ref="D90:H90" si="12">SUM(D87:D89)</f>
        <v>53.375307305557911</v>
      </c>
      <c r="E90" s="744">
        <f t="shared" si="12"/>
        <v>0</v>
      </c>
      <c r="F90" s="744">
        <f t="shared" si="12"/>
        <v>3279.1744647829455</v>
      </c>
      <c r="G90" s="744">
        <f t="shared" si="12"/>
        <v>0</v>
      </c>
      <c r="H90" s="744">
        <f t="shared" si="12"/>
        <v>0</v>
      </c>
      <c r="I90" s="744">
        <f>SUM(I87:I89)</f>
        <v>9837.5233943488365</v>
      </c>
      <c r="J90" s="744">
        <f>SUM(J87:J89)</f>
        <v>0</v>
      </c>
      <c r="K90" s="744">
        <f t="shared" ref="K90:L90" si="13">SUM(K87:K89)</f>
        <v>0</v>
      </c>
      <c r="L90" s="744">
        <f t="shared" si="13"/>
        <v>0</v>
      </c>
      <c r="M90" s="744">
        <f>SUM(M87:M89)</f>
        <v>0</v>
      </c>
      <c r="N90" s="744">
        <f>SUM(N87:N89)</f>
        <v>0</v>
      </c>
      <c r="O90" s="744">
        <f>SUM(O87:O89)</f>
        <v>0</v>
      </c>
      <c r="P90" s="744">
        <v>0</v>
      </c>
      <c r="Q90" s="744">
        <f>SUM(Q87:Q89)</f>
        <v>886.32139417276915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61252.301403525344</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25489.218421702244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9929.25</v>
      </c>
      <c r="C8" s="558">
        <f>B101</f>
        <v>47.338978408727804</v>
      </c>
      <c r="D8" s="991"/>
      <c r="E8" s="991">
        <f>E101</f>
        <v>2908.3255352170536</v>
      </c>
      <c r="F8" s="992"/>
      <c r="G8" s="559"/>
      <c r="H8" s="991">
        <f>I101</f>
        <v>0</v>
      </c>
      <c r="I8" s="991">
        <f>G101+F101</f>
        <v>8724.9766056511617</v>
      </c>
      <c r="J8" s="991">
        <f>H101+D101+C101</f>
        <v>0</v>
      </c>
      <c r="K8" s="991"/>
      <c r="L8" s="991"/>
      <c r="M8" s="991"/>
      <c r="N8" s="560"/>
      <c r="O8" s="561">
        <f>C8*$C$12+D8*$D$12+E8*$E$12+F8*$F$12+G8*$G$12+H8*$H$12+I8*$I$12+J8*$J$12</f>
        <v>786.0853915415164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96670.769825227588</v>
      </c>
      <c r="C10" s="570">
        <f t="shared" ref="C10:L10" si="0">SUM(C8:C9)</f>
        <v>47.338978408727804</v>
      </c>
      <c r="D10" s="570">
        <f t="shared" si="0"/>
        <v>0</v>
      </c>
      <c r="E10" s="570">
        <f t="shared" si="0"/>
        <v>2908.3255352170536</v>
      </c>
      <c r="F10" s="570">
        <f t="shared" si="0"/>
        <v>0</v>
      </c>
      <c r="G10" s="570">
        <f t="shared" si="0"/>
        <v>0</v>
      </c>
      <c r="H10" s="570">
        <f t="shared" si="0"/>
        <v>0</v>
      </c>
      <c r="I10" s="570">
        <f t="shared" si="0"/>
        <v>8724.9766056511617</v>
      </c>
      <c r="J10" s="570">
        <f t="shared" si="0"/>
        <v>0</v>
      </c>
      <c r="K10" s="570">
        <f t="shared" si="0"/>
        <v>0</v>
      </c>
      <c r="L10" s="570">
        <f t="shared" si="0"/>
        <v>0</v>
      </c>
      <c r="M10" s="995"/>
      <c r="N10" s="995"/>
      <c r="O10" s="571">
        <f>SUM(O4:O9)</f>
        <v>786.0853915415164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11195.357142857143</v>
      </c>
      <c r="C17" s="582">
        <f>B102</f>
        <v>53.375307305557911</v>
      </c>
      <c r="D17" s="583"/>
      <c r="E17" s="583">
        <f>E102</f>
        <v>3279.1744647829455</v>
      </c>
      <c r="F17" s="584"/>
      <c r="G17" s="585"/>
      <c r="H17" s="582">
        <f>I102</f>
        <v>0</v>
      </c>
      <c r="I17" s="583">
        <f>G102+F102</f>
        <v>9837.5233943488365</v>
      </c>
      <c r="J17" s="583">
        <f>H102+D102+C102</f>
        <v>0</v>
      </c>
      <c r="K17" s="583"/>
      <c r="L17" s="583"/>
      <c r="M17" s="583"/>
      <c r="N17" s="998"/>
      <c r="O17" s="586">
        <f>C17*$C$22+E17*$E$22+H17*$H$22+I17*$I$22+J17*$J$22+D17*$D$22+F17*$F$22+G17*$G$22+K17*$K$22+L17*$L$22</f>
        <v>886.32139417276915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11195.357142857143</v>
      </c>
      <c r="C20" s="569">
        <f>SUM(C17:C19)</f>
        <v>53.375307305557911</v>
      </c>
      <c r="D20" s="569">
        <f t="shared" ref="D20:L20" si="1">SUM(D17:D19)</f>
        <v>0</v>
      </c>
      <c r="E20" s="569">
        <f t="shared" si="1"/>
        <v>3279.1744647829455</v>
      </c>
      <c r="F20" s="569">
        <f t="shared" si="1"/>
        <v>0</v>
      </c>
      <c r="G20" s="569">
        <f t="shared" si="1"/>
        <v>0</v>
      </c>
      <c r="H20" s="569">
        <f t="shared" si="1"/>
        <v>0</v>
      </c>
      <c r="I20" s="569">
        <f t="shared" si="1"/>
        <v>9837.5233943488365</v>
      </c>
      <c r="J20" s="569">
        <f t="shared" si="1"/>
        <v>0</v>
      </c>
      <c r="K20" s="569">
        <f t="shared" si="1"/>
        <v>0</v>
      </c>
      <c r="L20" s="569">
        <f t="shared" si="1"/>
        <v>0</v>
      </c>
      <c r="M20" s="569"/>
      <c r="N20" s="569"/>
      <c r="O20" s="590">
        <f>SUM(O17:O19)</f>
        <v>886.32139417276915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31005</v>
      </c>
      <c r="C28" s="789">
        <v>9042</v>
      </c>
      <c r="D28" s="642" t="s">
        <v>946</v>
      </c>
      <c r="E28" s="641" t="s">
        <v>947</v>
      </c>
      <c r="F28" s="641" t="s">
        <v>948</v>
      </c>
      <c r="G28" s="641" t="s">
        <v>949</v>
      </c>
      <c r="H28" s="641" t="s">
        <v>950</v>
      </c>
      <c r="I28" s="641" t="s">
        <v>951</v>
      </c>
      <c r="J28" s="788">
        <v>39812</v>
      </c>
      <c r="K28" s="788">
        <v>39812</v>
      </c>
      <c r="L28" s="641" t="s">
        <v>952</v>
      </c>
      <c r="M28" s="641">
        <v>2200</v>
      </c>
      <c r="N28" s="641">
        <v>9900</v>
      </c>
      <c r="O28" s="641">
        <v>11137.5</v>
      </c>
      <c r="P28" s="641">
        <v>0</v>
      </c>
      <c r="Q28" s="641">
        <v>0</v>
      </c>
      <c r="R28" s="641">
        <v>0</v>
      </c>
      <c r="S28" s="641">
        <v>6187.5</v>
      </c>
      <c r="T28" s="641">
        <v>18562.5</v>
      </c>
      <c r="U28" s="641">
        <v>0</v>
      </c>
      <c r="V28" s="641">
        <v>0</v>
      </c>
      <c r="W28" s="641"/>
      <c r="X28" s="641">
        <v>300</v>
      </c>
      <c r="Y28" s="641" t="s">
        <v>34</v>
      </c>
      <c r="Z28" s="643" t="s">
        <v>391</v>
      </c>
    </row>
    <row r="29" spans="1:26" s="595" customFormat="1" ht="63.75">
      <c r="A29" s="594"/>
      <c r="B29" s="789">
        <v>31005</v>
      </c>
      <c r="C29" s="789">
        <v>8200</v>
      </c>
      <c r="D29" s="642" t="s">
        <v>953</v>
      </c>
      <c r="E29" s="641" t="s">
        <v>954</v>
      </c>
      <c r="F29" s="641" t="s">
        <v>955</v>
      </c>
      <c r="G29" s="641" t="s">
        <v>956</v>
      </c>
      <c r="H29" s="641" t="s">
        <v>956</v>
      </c>
      <c r="I29" s="641" t="s">
        <v>954</v>
      </c>
      <c r="J29" s="788">
        <v>40515</v>
      </c>
      <c r="K29" s="788">
        <v>40634</v>
      </c>
      <c r="L29" s="641" t="s">
        <v>952</v>
      </c>
      <c r="M29" s="641">
        <v>1</v>
      </c>
      <c r="N29" s="641">
        <v>4.5</v>
      </c>
      <c r="O29" s="641">
        <v>22.5</v>
      </c>
      <c r="P29" s="641">
        <v>30</v>
      </c>
      <c r="Q29" s="641">
        <v>0</v>
      </c>
      <c r="R29" s="641">
        <v>0</v>
      </c>
      <c r="S29" s="641">
        <v>0</v>
      </c>
      <c r="T29" s="641">
        <v>0</v>
      </c>
      <c r="U29" s="641">
        <v>0</v>
      </c>
      <c r="V29" s="641">
        <v>0</v>
      </c>
      <c r="W29" s="641"/>
      <c r="X29" s="641">
        <v>1600</v>
      </c>
      <c r="Y29" s="641" t="s">
        <v>50</v>
      </c>
      <c r="Z29" s="643" t="s">
        <v>156</v>
      </c>
    </row>
    <row r="30" spans="1:26" s="595" customFormat="1" ht="25.5">
      <c r="A30" s="594"/>
      <c r="B30" s="789">
        <v>31005</v>
      </c>
      <c r="C30" s="789">
        <v>8000</v>
      </c>
      <c r="D30" s="642" t="s">
        <v>957</v>
      </c>
      <c r="E30" s="641" t="s">
        <v>958</v>
      </c>
      <c r="F30" s="641" t="s">
        <v>959</v>
      </c>
      <c r="G30" s="641" t="s">
        <v>949</v>
      </c>
      <c r="H30" s="641" t="s">
        <v>960</v>
      </c>
      <c r="I30" s="641" t="s">
        <v>958</v>
      </c>
      <c r="J30" s="788">
        <v>41207</v>
      </c>
      <c r="K30" s="788">
        <v>41306</v>
      </c>
      <c r="L30" s="641" t="s">
        <v>952</v>
      </c>
      <c r="M30" s="641">
        <v>5.5</v>
      </c>
      <c r="N30" s="641">
        <v>24.75</v>
      </c>
      <c r="O30" s="641">
        <v>35.357142857142861</v>
      </c>
      <c r="P30" s="641">
        <v>70.714285714285722</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2206.5</v>
      </c>
      <c r="N58" s="599">
        <f>SUM(N28:N57)</f>
        <v>9929.25</v>
      </c>
      <c r="O58" s="599">
        <f t="shared" ref="O58:W58" si="2">SUM(O28:O57)</f>
        <v>11195.357142857143</v>
      </c>
      <c r="P58" s="599">
        <f t="shared" si="2"/>
        <v>100.71428571428572</v>
      </c>
      <c r="Q58" s="599">
        <f t="shared" si="2"/>
        <v>0</v>
      </c>
      <c r="R58" s="599">
        <f t="shared" si="2"/>
        <v>0</v>
      </c>
      <c r="S58" s="599">
        <f t="shared" si="2"/>
        <v>6187.5</v>
      </c>
      <c r="T58" s="599">
        <f t="shared" si="2"/>
        <v>18562.5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2200</v>
      </c>
      <c r="N59" s="599">
        <f t="shared" si="3"/>
        <v>9900</v>
      </c>
      <c r="O59" s="599">
        <f t="shared" si="3"/>
        <v>11137.5</v>
      </c>
      <c r="P59" s="599">
        <f t="shared" si="3"/>
        <v>0</v>
      </c>
      <c r="Q59" s="599">
        <f t="shared" si="3"/>
        <v>0</v>
      </c>
      <c r="R59" s="599">
        <f t="shared" si="3"/>
        <v>0</v>
      </c>
      <c r="S59" s="599">
        <f t="shared" si="3"/>
        <v>6187.5</v>
      </c>
      <c r="T59" s="599">
        <f t="shared" si="3"/>
        <v>18562.5</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5.5</v>
      </c>
      <c r="N61" s="604">
        <f t="shared" si="4"/>
        <v>24.75</v>
      </c>
      <c r="O61" s="604">
        <f t="shared" si="4"/>
        <v>35.357142857142861</v>
      </c>
      <c r="P61" s="604">
        <f t="shared" si="4"/>
        <v>70.714285714285722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0.52996759026795082</v>
      </c>
      <c r="C98" s="624">
        <f>IF(ISERROR(N58/(O58+N58)),0,N58/(N58+O58))</f>
        <v>0.47003240973204907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47.338978408727804</v>
      </c>
      <c r="C101" s="633">
        <f t="shared" si="9"/>
        <v>0</v>
      </c>
      <c r="D101" s="633">
        <f t="shared" si="9"/>
        <v>0</v>
      </c>
      <c r="E101" s="633">
        <f t="shared" si="9"/>
        <v>2908.3255352170536</v>
      </c>
      <c r="F101" s="633">
        <f t="shared" si="9"/>
        <v>8724.9766056511617</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53.375307305557911</v>
      </c>
      <c r="C102" s="636">
        <f t="shared" si="10"/>
        <v>0</v>
      </c>
      <c r="D102" s="636">
        <f t="shared" si="10"/>
        <v>0</v>
      </c>
      <c r="E102" s="636">
        <f t="shared" si="10"/>
        <v>3279.1744647829455</v>
      </c>
      <c r="F102" s="636">
        <f t="shared" si="10"/>
        <v>9837.5233943488365</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202579.23435595245</v>
      </c>
      <c r="C4" s="461">
        <f>huishoudens!C8</f>
        <v>0</v>
      </c>
      <c r="D4" s="461">
        <f>huishoudens!D8</f>
        <v>652172.95314682589</v>
      </c>
      <c r="E4" s="461">
        <f>huishoudens!E8</f>
        <v>8461.9940324043182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51220.543205545262</v>
      </c>
      <c r="O4" s="461">
        <f>huishoudens!O8</f>
        <v>386.14333333333337</v>
      </c>
      <c r="P4" s="462">
        <f>huishoudens!P8</f>
        <v>514.79999999999995</v>
      </c>
      <c r="Q4" s="463">
        <f>SUM(B4:P4)</f>
        <v>915335.66807406128</v>
      </c>
    </row>
    <row r="5" spans="1:17">
      <c r="A5" s="460" t="s">
        <v>156</v>
      </c>
      <c r="B5" s="461">
        <f ca="1">tertiair!B16</f>
        <v>323369.91201109462</v>
      </c>
      <c r="C5" s="461">
        <f ca="1">tertiair!C16</f>
        <v>22.5</v>
      </c>
      <c r="D5" s="461">
        <f ca="1">tertiair!D16</f>
        <v>386487.69045257691</v>
      </c>
      <c r="E5" s="461">
        <f>tertiair!E16</f>
        <v>3481.5963253770988</v>
      </c>
      <c r="F5" s="461">
        <f ca="1">tertiair!F16</f>
        <v>66270.295174498635</v>
      </c>
      <c r="G5" s="461">
        <f>tertiair!G16</f>
        <v>0</v>
      </c>
      <c r="H5" s="461">
        <f>tertiair!H16</f>
        <v>0</v>
      </c>
      <c r="I5" s="461">
        <f>tertiair!I16</f>
        <v>0</v>
      </c>
      <c r="J5" s="461">
        <f>tertiair!J16</f>
        <v>0</v>
      </c>
      <c r="K5" s="461">
        <f>tertiair!K16</f>
        <v>0</v>
      </c>
      <c r="L5" s="461">
        <f ca="1">tertiair!L16</f>
        <v>0</v>
      </c>
      <c r="M5" s="461">
        <f>tertiair!M16</f>
        <v>0</v>
      </c>
      <c r="N5" s="461">
        <f ca="1">tertiair!N16</f>
        <v>19794.990429743633</v>
      </c>
      <c r="O5" s="461">
        <f>tertiair!O16</f>
        <v>10.943333333333335</v>
      </c>
      <c r="P5" s="462">
        <f>tertiair!P16</f>
        <v>305.06666666666666</v>
      </c>
      <c r="Q5" s="460">
        <f t="shared" ref="Q5:Q14" ca="1" si="0">SUM(B5:P5)</f>
        <v>799742.99439329095</v>
      </c>
    </row>
    <row r="6" spans="1:17">
      <c r="A6" s="460" t="s">
        <v>194</v>
      </c>
      <c r="B6" s="461">
        <f>'openbare verlichting'!B8</f>
        <v>8400.6810000000005</v>
      </c>
      <c r="C6" s="461"/>
      <c r="D6" s="461"/>
      <c r="E6" s="461"/>
      <c r="F6" s="461"/>
      <c r="G6" s="461"/>
      <c r="H6" s="461"/>
      <c r="I6" s="461"/>
      <c r="J6" s="461"/>
      <c r="K6" s="461"/>
      <c r="L6" s="461"/>
      <c r="M6" s="461"/>
      <c r="N6" s="461"/>
      <c r="O6" s="461"/>
      <c r="P6" s="462"/>
      <c r="Q6" s="460">
        <f t="shared" si="0"/>
        <v>8400.6810000000005</v>
      </c>
    </row>
    <row r="7" spans="1:17">
      <c r="A7" s="460" t="s">
        <v>112</v>
      </c>
      <c r="B7" s="461">
        <f>landbouw!B8</f>
        <v>8683.7161843477988</v>
      </c>
      <c r="C7" s="461">
        <f>landbouw!C8</f>
        <v>35.357142857142861</v>
      </c>
      <c r="D7" s="461">
        <f>landbouw!D8</f>
        <v>16422.142885514004</v>
      </c>
      <c r="E7" s="461">
        <f>landbouw!E8</f>
        <v>81.806424737257416</v>
      </c>
      <c r="F7" s="461">
        <f>landbouw!F8</f>
        <v>28337.847781833025</v>
      </c>
      <c r="G7" s="461">
        <f>landbouw!G8</f>
        <v>0</v>
      </c>
      <c r="H7" s="461">
        <f>landbouw!H8</f>
        <v>0</v>
      </c>
      <c r="I7" s="461">
        <f>landbouw!I8</f>
        <v>0</v>
      </c>
      <c r="J7" s="461">
        <f>landbouw!J8</f>
        <v>1074.2179295912301</v>
      </c>
      <c r="K7" s="461">
        <f>landbouw!K8</f>
        <v>0</v>
      </c>
      <c r="L7" s="461">
        <f>landbouw!L8</f>
        <v>0</v>
      </c>
      <c r="M7" s="461">
        <f>landbouw!M8</f>
        <v>0</v>
      </c>
      <c r="N7" s="461">
        <f>landbouw!N8</f>
        <v>0</v>
      </c>
      <c r="O7" s="461">
        <f>landbouw!O8</f>
        <v>0</v>
      </c>
      <c r="P7" s="462">
        <f>landbouw!P8</f>
        <v>0</v>
      </c>
      <c r="Q7" s="460">
        <f t="shared" si="0"/>
        <v>54635.088348880454</v>
      </c>
    </row>
    <row r="8" spans="1:17">
      <c r="A8" s="460" t="s">
        <v>685</v>
      </c>
      <c r="B8" s="461">
        <f>industrie!B18</f>
        <v>113628.25965161918</v>
      </c>
      <c r="C8" s="461">
        <f>industrie!C18</f>
        <v>11137.5</v>
      </c>
      <c r="D8" s="461">
        <f>industrie!D18</f>
        <v>154196.33182465873</v>
      </c>
      <c r="E8" s="461">
        <f>industrie!E18</f>
        <v>1040.4938711599814</v>
      </c>
      <c r="F8" s="461">
        <f>industrie!F18</f>
        <v>19760.126070192615</v>
      </c>
      <c r="G8" s="461">
        <f>industrie!G18</f>
        <v>0</v>
      </c>
      <c r="H8" s="461">
        <f>industrie!H18</f>
        <v>0</v>
      </c>
      <c r="I8" s="461">
        <f>industrie!I18</f>
        <v>0</v>
      </c>
      <c r="J8" s="461">
        <f>industrie!J18</f>
        <v>370.98800308646531</v>
      </c>
      <c r="K8" s="461">
        <f>industrie!K18</f>
        <v>0</v>
      </c>
      <c r="L8" s="461">
        <f>industrie!L18</f>
        <v>0</v>
      </c>
      <c r="M8" s="461">
        <f>industrie!M18</f>
        <v>0</v>
      </c>
      <c r="N8" s="461">
        <f>industrie!N18</f>
        <v>4455.1332014158706</v>
      </c>
      <c r="O8" s="461">
        <f>industrie!O18</f>
        <v>0</v>
      </c>
      <c r="P8" s="462">
        <f>industrie!P18</f>
        <v>0</v>
      </c>
      <c r="Q8" s="460">
        <f t="shared" si="0"/>
        <v>304588.83262213285</v>
      </c>
    </row>
    <row r="9" spans="1:17" s="466" customFormat="1">
      <c r="A9" s="464" t="s">
        <v>579</v>
      </c>
      <c r="B9" s="465">
        <f>transport!B14</f>
        <v>16.826165369545631</v>
      </c>
      <c r="C9" s="465">
        <f>transport!C14</f>
        <v>0</v>
      </c>
      <c r="D9" s="465">
        <f>transport!D14</f>
        <v>47.31998761762452</v>
      </c>
      <c r="E9" s="465">
        <f>transport!E14</f>
        <v>2804.7907151972868</v>
      </c>
      <c r="F9" s="465">
        <f>transport!F14</f>
        <v>0</v>
      </c>
      <c r="G9" s="465">
        <f>transport!G14</f>
        <v>596877.32107613247</v>
      </c>
      <c r="H9" s="465">
        <f>transport!H14</f>
        <v>105609.22408111903</v>
      </c>
      <c r="I9" s="465">
        <f>transport!I14</f>
        <v>0</v>
      </c>
      <c r="J9" s="465">
        <f>transport!J14</f>
        <v>0</v>
      </c>
      <c r="K9" s="465">
        <f>transport!K14</f>
        <v>0</v>
      </c>
      <c r="L9" s="465">
        <f>transport!L14</f>
        <v>0</v>
      </c>
      <c r="M9" s="465">
        <f>transport!M14</f>
        <v>31410.049405074864</v>
      </c>
      <c r="N9" s="465">
        <f>transport!N14</f>
        <v>0</v>
      </c>
      <c r="O9" s="465">
        <f>transport!O14</f>
        <v>0</v>
      </c>
      <c r="P9" s="465">
        <f>transport!P14</f>
        <v>0</v>
      </c>
      <c r="Q9" s="464">
        <f>SUM(B9:P9)</f>
        <v>736765.53143051092</v>
      </c>
    </row>
    <row r="10" spans="1:17">
      <c r="A10" s="460" t="s">
        <v>569</v>
      </c>
      <c r="B10" s="461">
        <f>transport!B54</f>
        <v>817.19351356883351</v>
      </c>
      <c r="C10" s="461">
        <f>transport!C54</f>
        <v>0</v>
      </c>
      <c r="D10" s="461">
        <f>transport!D54</f>
        <v>0</v>
      </c>
      <c r="E10" s="461">
        <f>transport!E54</f>
        <v>0</v>
      </c>
      <c r="F10" s="461">
        <f>transport!F54</f>
        <v>0</v>
      </c>
      <c r="G10" s="461">
        <f>transport!G54</f>
        <v>24250.363384230757</v>
      </c>
      <c r="H10" s="461">
        <f>transport!H54</f>
        <v>0</v>
      </c>
      <c r="I10" s="461">
        <f>transport!I54</f>
        <v>0</v>
      </c>
      <c r="J10" s="461">
        <f>transport!J54</f>
        <v>0</v>
      </c>
      <c r="K10" s="461">
        <f>transport!K54</f>
        <v>0</v>
      </c>
      <c r="L10" s="461">
        <f>transport!L54</f>
        <v>0</v>
      </c>
      <c r="M10" s="461">
        <f>transport!M54</f>
        <v>1064.873459678236</v>
      </c>
      <c r="N10" s="461">
        <f>transport!N54</f>
        <v>0</v>
      </c>
      <c r="O10" s="461">
        <f>transport!O54</f>
        <v>0</v>
      </c>
      <c r="P10" s="462">
        <f>transport!P54</f>
        <v>0</v>
      </c>
      <c r="Q10" s="460">
        <f t="shared" si="0"/>
        <v>26132.430357477824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9723.8052683180285</v>
      </c>
      <c r="C14" s="468"/>
      <c r="D14" s="468">
        <f>'SEAP template'!E25</f>
        <v>33155.266849498497</v>
      </c>
      <c r="E14" s="468"/>
      <c r="F14" s="468"/>
      <c r="G14" s="468"/>
      <c r="H14" s="468"/>
      <c r="I14" s="468"/>
      <c r="J14" s="468"/>
      <c r="K14" s="468"/>
      <c r="L14" s="468"/>
      <c r="M14" s="468"/>
      <c r="N14" s="468"/>
      <c r="O14" s="468"/>
      <c r="P14" s="469"/>
      <c r="Q14" s="460">
        <f t="shared" si="0"/>
        <v>42879.072117816526</v>
      </c>
    </row>
    <row r="15" spans="1:17" s="473" customFormat="1">
      <c r="A15" s="470" t="s">
        <v>573</v>
      </c>
      <c r="B15" s="471">
        <f ca="1">SUM(B4:B14)</f>
        <v>667219.62815027044</v>
      </c>
      <c r="C15" s="471">
        <f t="shared" ref="C15:Q15" ca="1" si="1">SUM(C4:C14)</f>
        <v>11195.357142857143</v>
      </c>
      <c r="D15" s="471">
        <f t="shared" ca="1" si="1"/>
        <v>1242481.7051466918</v>
      </c>
      <c r="E15" s="471">
        <f t="shared" si="1"/>
        <v>15870.681368875941</v>
      </c>
      <c r="F15" s="471">
        <f t="shared" ca="1" si="1"/>
        <v>114368.26902652427</v>
      </c>
      <c r="G15" s="471">
        <f t="shared" si="1"/>
        <v>621127.68446036323</v>
      </c>
      <c r="H15" s="471">
        <f t="shared" si="1"/>
        <v>105609.22408111903</v>
      </c>
      <c r="I15" s="471">
        <f t="shared" si="1"/>
        <v>0</v>
      </c>
      <c r="J15" s="471">
        <f t="shared" si="1"/>
        <v>1445.2059326776955</v>
      </c>
      <c r="K15" s="471">
        <f t="shared" si="1"/>
        <v>0</v>
      </c>
      <c r="L15" s="471">
        <f t="shared" ca="1" si="1"/>
        <v>0</v>
      </c>
      <c r="M15" s="471">
        <f t="shared" si="1"/>
        <v>32474.922864753098</v>
      </c>
      <c r="N15" s="471">
        <f t="shared" ca="1" si="1"/>
        <v>75470.666836704768</v>
      </c>
      <c r="O15" s="471">
        <f t="shared" si="1"/>
        <v>397.0866666666667</v>
      </c>
      <c r="P15" s="471">
        <f t="shared" si="1"/>
        <v>819.86666666666656</v>
      </c>
      <c r="Q15" s="471">
        <f t="shared" ca="1" si="1"/>
        <v>2888480.2983441707</v>
      </c>
    </row>
    <row r="17" spans="1:17">
      <c r="A17" s="474" t="s">
        <v>574</v>
      </c>
      <c r="B17" s="778">
        <f ca="1">huishoudens!B10</f>
        <v>0.19099055050447439</v>
      </c>
      <c r="C17" s="778">
        <f ca="1">huishoudens!C10</f>
        <v>7.9168657405294079E-2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38690.719490418291</v>
      </c>
      <c r="C22" s="461">
        <f t="shared" ref="C22:C32" ca="1" si="3">C4*$C$17</f>
        <v>0</v>
      </c>
      <c r="D22" s="461">
        <f t="shared" ref="D22:D32" si="4">D4*$D$17</f>
        <v>131738.93653565884</v>
      </c>
      <c r="E22" s="461">
        <f t="shared" ref="E22:E32" si="5">E4*$E$17</f>
        <v>1920.8726453557804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172350.52867143293</v>
      </c>
    </row>
    <row r="23" spans="1:17">
      <c r="A23" s="460" t="s">
        <v>156</v>
      </c>
      <c r="B23" s="461">
        <f t="shared" ca="1" si="2"/>
        <v>61760.597511582404</v>
      </c>
      <c r="C23" s="461">
        <f t="shared" ca="1" si="3"/>
        <v>1.7812947916191169</v>
      </c>
      <c r="D23" s="461">
        <f t="shared" ca="1" si="4"/>
        <v>78070.513471420534</v>
      </c>
      <c r="E23" s="461">
        <f t="shared" si="5"/>
        <v>790.32236586060139</v>
      </c>
      <c r="F23" s="461">
        <f t="shared" ca="1" si="6"/>
        <v>17694.168811591135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158317.38345524628</v>
      </c>
    </row>
    <row r="24" spans="1:17">
      <c r="A24" s="460" t="s">
        <v>194</v>
      </c>
      <c r="B24" s="461">
        <f t="shared" ca="1" si="2"/>
        <v>1604.4506888024785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1604.4506888024785</v>
      </c>
    </row>
    <row r="25" spans="1:17">
      <c r="A25" s="460" t="s">
        <v>112</v>
      </c>
      <c r="B25" s="461">
        <f t="shared" ca="1" si="2"/>
        <v>1658.5077344731999</v>
      </c>
      <c r="C25" s="461">
        <f t="shared" ca="1" si="3"/>
        <v>2.7991775296871837</v>
      </c>
      <c r="D25" s="461">
        <f t="shared" si="4"/>
        <v>3317.2728628738291</v>
      </c>
      <c r="E25" s="461">
        <f t="shared" si="5"/>
        <v>18.570058415357433</v>
      </c>
      <c r="F25" s="461">
        <f t="shared" si="6"/>
        <v>7566.205357749418</v>
      </c>
      <c r="G25" s="461">
        <f t="shared" si="7"/>
        <v>0</v>
      </c>
      <c r="H25" s="461">
        <f t="shared" si="8"/>
        <v>0</v>
      </c>
      <c r="I25" s="461">
        <f t="shared" si="9"/>
        <v>0</v>
      </c>
      <c r="J25" s="461">
        <f t="shared" si="10"/>
        <v>380.27314707529547</v>
      </c>
      <c r="K25" s="461">
        <f t="shared" si="11"/>
        <v>0</v>
      </c>
      <c r="L25" s="461">
        <f t="shared" si="12"/>
        <v>0</v>
      </c>
      <c r="M25" s="461">
        <f t="shared" si="13"/>
        <v>0</v>
      </c>
      <c r="N25" s="461">
        <f t="shared" si="14"/>
        <v>0</v>
      </c>
      <c r="O25" s="461">
        <f t="shared" si="15"/>
        <v>0</v>
      </c>
      <c r="P25" s="462">
        <f t="shared" si="16"/>
        <v>0</v>
      </c>
      <c r="Q25" s="460">
        <f t="shared" ca="1" si="17"/>
        <v>12943.628338116787</v>
      </c>
    </row>
    <row r="26" spans="1:17">
      <c r="A26" s="460" t="s">
        <v>685</v>
      </c>
      <c r="B26" s="461">
        <f t="shared" ca="1" si="2"/>
        <v>21701.923863728101</v>
      </c>
      <c r="C26" s="461">
        <f t="shared" ca="1" si="3"/>
        <v>881.74092185146276</v>
      </c>
      <c r="D26" s="461">
        <f t="shared" si="4"/>
        <v>31147.659028581067</v>
      </c>
      <c r="E26" s="461">
        <f t="shared" si="5"/>
        <v>236.19210875331578</v>
      </c>
      <c r="F26" s="461">
        <f t="shared" si="6"/>
        <v>5275.9536607414284</v>
      </c>
      <c r="G26" s="461">
        <f t="shared" si="7"/>
        <v>0</v>
      </c>
      <c r="H26" s="461">
        <f t="shared" si="8"/>
        <v>0</v>
      </c>
      <c r="I26" s="461">
        <f t="shared" si="9"/>
        <v>0</v>
      </c>
      <c r="J26" s="461">
        <f t="shared" si="10"/>
        <v>131.32975309260871</v>
      </c>
      <c r="K26" s="461">
        <f t="shared" si="11"/>
        <v>0</v>
      </c>
      <c r="L26" s="461">
        <f t="shared" si="12"/>
        <v>0</v>
      </c>
      <c r="M26" s="461">
        <f t="shared" si="13"/>
        <v>0</v>
      </c>
      <c r="N26" s="461">
        <f t="shared" si="14"/>
        <v>0</v>
      </c>
      <c r="O26" s="461">
        <f t="shared" si="15"/>
        <v>0</v>
      </c>
      <c r="P26" s="462">
        <f t="shared" si="16"/>
        <v>0</v>
      </c>
      <c r="Q26" s="460">
        <f t="shared" ca="1" si="17"/>
        <v>59374.799336747979</v>
      </c>
    </row>
    <row r="27" spans="1:17" s="466" customFormat="1">
      <c r="A27" s="464" t="s">
        <v>579</v>
      </c>
      <c r="B27" s="772">
        <f t="shared" ca="1" si="2"/>
        <v>3.2136385868088428</v>
      </c>
      <c r="C27" s="465">
        <f t="shared" ca="1" si="3"/>
        <v>0</v>
      </c>
      <c r="D27" s="465">
        <f t="shared" si="4"/>
        <v>9.5586374987601541</v>
      </c>
      <c r="E27" s="465">
        <f t="shared" si="5"/>
        <v>636.68749234978407</v>
      </c>
      <c r="F27" s="465">
        <f t="shared" si="6"/>
        <v>0</v>
      </c>
      <c r="G27" s="465">
        <f t="shared" si="7"/>
        <v>159366.24472732737</v>
      </c>
      <c r="H27" s="465">
        <f t="shared" si="8"/>
        <v>26296.696796198637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186312.40129196137</v>
      </c>
    </row>
    <row r="28" spans="1:17">
      <c r="A28" s="460" t="s">
        <v>569</v>
      </c>
      <c r="B28" s="461">
        <f t="shared" ca="1" si="2"/>
        <v>156.07623902519717</v>
      </c>
      <c r="C28" s="461">
        <f t="shared" ca="1" si="3"/>
        <v>0</v>
      </c>
      <c r="D28" s="461">
        <f t="shared" si="4"/>
        <v>0</v>
      </c>
      <c r="E28" s="461">
        <f t="shared" si="5"/>
        <v>0</v>
      </c>
      <c r="F28" s="461">
        <f t="shared" si="6"/>
        <v>0</v>
      </c>
      <c r="G28" s="461">
        <f t="shared" si="7"/>
        <v>6474.8470235896129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6630.9232626148105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1857.1549211943686</v>
      </c>
      <c r="C32" s="461">
        <f t="shared" ca="1" si="3"/>
        <v>0</v>
      </c>
      <c r="D32" s="461">
        <f t="shared" si="4"/>
        <v>6697.3639035986971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8554.5188247930655</v>
      </c>
    </row>
    <row r="33" spans="1:17" s="473" customFormat="1">
      <c r="A33" s="470" t="s">
        <v>573</v>
      </c>
      <c r="B33" s="471">
        <f ca="1">SUM(B22:B32)</f>
        <v>127432.64408781083</v>
      </c>
      <c r="C33" s="471">
        <f t="shared" ref="C33:Q33" ca="1" si="18">SUM(C22:C32)</f>
        <v>886.32139417276903</v>
      </c>
      <c r="D33" s="471">
        <f t="shared" ca="1" si="18"/>
        <v>250981.3044396317</v>
      </c>
      <c r="E33" s="471">
        <f t="shared" si="18"/>
        <v>3602.6446707348391</v>
      </c>
      <c r="F33" s="471">
        <f t="shared" ca="1" si="18"/>
        <v>30536.32783008198</v>
      </c>
      <c r="G33" s="471">
        <f t="shared" si="18"/>
        <v>165841.091750917</v>
      </c>
      <c r="H33" s="471">
        <f t="shared" si="18"/>
        <v>26296.696796198637</v>
      </c>
      <c r="I33" s="471">
        <f t="shared" si="18"/>
        <v>0</v>
      </c>
      <c r="J33" s="471">
        <f t="shared" si="18"/>
        <v>511.60290016790418</v>
      </c>
      <c r="K33" s="471">
        <f t="shared" si="18"/>
        <v>0</v>
      </c>
      <c r="L33" s="471">
        <f t="shared" ca="1" si="18"/>
        <v>0</v>
      </c>
      <c r="M33" s="471">
        <f t="shared" si="18"/>
        <v>0</v>
      </c>
      <c r="N33" s="471">
        <f t="shared" ca="1" si="18"/>
        <v>0</v>
      </c>
      <c r="O33" s="471">
        <f t="shared" si="18"/>
        <v>0</v>
      </c>
      <c r="P33" s="471">
        <f t="shared" si="18"/>
        <v>0</v>
      </c>
      <c r="Q33" s="471">
        <f t="shared" ca="1" si="18"/>
        <v>606088.63386971562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61252.301403525344</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25489.218421702244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7416.7567582133306</v>
      </c>
      <c r="C8" s="1037">
        <f>'SEAP template'!C76</f>
        <v>2512.4932417866685</v>
      </c>
      <c r="D8" s="1037">
        <f>'SEAP template'!D76</f>
        <v>47.338978408727804</v>
      </c>
      <c r="E8" s="1037">
        <f>'SEAP template'!E76</f>
        <v>0</v>
      </c>
      <c r="F8" s="1037">
        <f>'SEAP template'!F76</f>
        <v>2908.3255352170536</v>
      </c>
      <c r="G8" s="1037">
        <f>'SEAP template'!G76</f>
        <v>0</v>
      </c>
      <c r="H8" s="1037">
        <f>'SEAP template'!H76</f>
        <v>0</v>
      </c>
      <c r="I8" s="1037">
        <f>'SEAP template'!I76</f>
        <v>8724.9766056511617</v>
      </c>
      <c r="J8" s="1037">
        <f>'SEAP template'!J76</f>
        <v>0</v>
      </c>
      <c r="K8" s="1037">
        <f>'SEAP template'!K76</f>
        <v>0</v>
      </c>
      <c r="L8" s="1037">
        <f>'SEAP template'!L76</f>
        <v>0</v>
      </c>
      <c r="M8" s="1037">
        <f>'SEAP template'!M76</f>
        <v>0</v>
      </c>
      <c r="N8" s="1037">
        <f>'SEAP template'!N76</f>
        <v>0</v>
      </c>
      <c r="O8" s="1037">
        <f>'SEAP template'!O76</f>
        <v>0</v>
      </c>
      <c r="P8" s="1038">
        <f>'SEAP template'!Q76</f>
        <v>786.0853915415164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94158.276583440922</v>
      </c>
      <c r="C10" s="1041">
        <f>SUM(C4:C9)</f>
        <v>2512.4932417866685</v>
      </c>
      <c r="D10" s="1041">
        <f t="shared" ref="D10:H10" si="0">SUM(D8:D9)</f>
        <v>47.338978408727804</v>
      </c>
      <c r="E10" s="1041">
        <f t="shared" si="0"/>
        <v>0</v>
      </c>
      <c r="F10" s="1041">
        <f t="shared" si="0"/>
        <v>2908.3255352170536</v>
      </c>
      <c r="G10" s="1041">
        <f t="shared" si="0"/>
        <v>0</v>
      </c>
      <c r="H10" s="1041">
        <f t="shared" si="0"/>
        <v>0</v>
      </c>
      <c r="I10" s="1041">
        <f>SUM(I8:I9)</f>
        <v>8724.9766056511617</v>
      </c>
      <c r="J10" s="1041">
        <f>SUM(J8:J9)</f>
        <v>0</v>
      </c>
      <c r="K10" s="1041">
        <f t="shared" ref="K10:L10" si="1">SUM(K8:K9)</f>
        <v>0</v>
      </c>
      <c r="L10" s="1041">
        <f t="shared" si="1"/>
        <v>0</v>
      </c>
      <c r="M10" s="1041">
        <f>SUM(M8:M9)</f>
        <v>0</v>
      </c>
      <c r="N10" s="1041">
        <f>SUM(N8:N9)</f>
        <v>0</v>
      </c>
      <c r="O10" s="1041">
        <f>SUM(O8:O9)</f>
        <v>0</v>
      </c>
      <c r="P10" s="1041">
        <f>SUM(P8:P9)</f>
        <v>786.0853915415164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0.19099055050447439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8362.4886824178666</v>
      </c>
      <c r="C17" s="1044">
        <f>'SEAP template'!C87</f>
        <v>2832.8684604392765</v>
      </c>
      <c r="D17" s="1038">
        <f>'SEAP template'!D87</f>
        <v>53.375307305557911</v>
      </c>
      <c r="E17" s="1038">
        <f>'SEAP template'!E87</f>
        <v>0</v>
      </c>
      <c r="F17" s="1038">
        <f>'SEAP template'!F87</f>
        <v>3279.1744647829455</v>
      </c>
      <c r="G17" s="1038">
        <f>'SEAP template'!G87</f>
        <v>0</v>
      </c>
      <c r="H17" s="1038">
        <f>'SEAP template'!H87</f>
        <v>0</v>
      </c>
      <c r="I17" s="1038">
        <f>'SEAP template'!I87</f>
        <v>9837.5233943488365</v>
      </c>
      <c r="J17" s="1038">
        <f>'SEAP template'!J87</f>
        <v>0</v>
      </c>
      <c r="K17" s="1038">
        <f>'SEAP template'!K87</f>
        <v>0</v>
      </c>
      <c r="L17" s="1038">
        <f>'SEAP template'!L87</f>
        <v>0</v>
      </c>
      <c r="M17" s="1038">
        <f>'SEAP template'!M87</f>
        <v>0</v>
      </c>
      <c r="N17" s="1038">
        <f>'SEAP template'!N87</f>
        <v>0</v>
      </c>
      <c r="O17" s="1038">
        <f>'SEAP template'!O87</f>
        <v>0</v>
      </c>
      <c r="P17" s="1038">
        <f>'SEAP template'!Q87</f>
        <v>886.32139417276915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8362.4886824178666</v>
      </c>
      <c r="C20" s="1041">
        <f>SUM(C17:C19)</f>
        <v>2832.8684604392765</v>
      </c>
      <c r="D20" s="1041">
        <f t="shared" ref="D20:H20" si="2">SUM(D17:D19)</f>
        <v>53.375307305557911</v>
      </c>
      <c r="E20" s="1041">
        <f t="shared" si="2"/>
        <v>0</v>
      </c>
      <c r="F20" s="1041">
        <f t="shared" si="2"/>
        <v>3279.1744647829455</v>
      </c>
      <c r="G20" s="1041">
        <f t="shared" si="2"/>
        <v>0</v>
      </c>
      <c r="H20" s="1041">
        <f t="shared" si="2"/>
        <v>0</v>
      </c>
      <c r="I20" s="1041">
        <f>SUM(I17:I19)</f>
        <v>9837.5233943488365</v>
      </c>
      <c r="J20" s="1041">
        <f>SUM(J17:J19)</f>
        <v>0</v>
      </c>
      <c r="K20" s="1041">
        <f t="shared" ref="K20:L20" si="3">SUM(K17:K19)</f>
        <v>0</v>
      </c>
      <c r="L20" s="1041">
        <f t="shared" si="3"/>
        <v>0</v>
      </c>
      <c r="M20" s="1041">
        <f>SUM(M17:M19)</f>
        <v>0</v>
      </c>
      <c r="N20" s="1041">
        <f>SUM(N17:N19)</f>
        <v>0</v>
      </c>
      <c r="O20" s="1041">
        <f>SUM(O17:O19)</f>
        <v>0</v>
      </c>
      <c r="P20" s="1041">
        <f>SUM(P17:P19)</f>
        <v>886.32139417276915</v>
      </c>
    </row>
    <row r="22" spans="1:16">
      <c r="A22" s="474" t="s">
        <v>933</v>
      </c>
      <c r="B22" s="778" t="s">
        <v>927</v>
      </c>
      <c r="C22" s="778">
        <f ca="1">'EF ele_warmte'!B22</f>
        <v>7.9168657405294079E-2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0.19099055050447439</v>
      </c>
      <c r="C17" s="510">
        <f ca="1">'EF ele_warmte'!B22</f>
        <v>7.9168657405294079E-2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2019-06-29T16:12:41Z</dcterms:modified>
</cp:coreProperties>
</file>