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C98" l="1"/>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7"/>
  <c r="I20" s="1"/>
  <c r="J8"/>
  <c r="J1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G87"/>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M19"/>
  <c r="M22" s="1"/>
  <c r="L19"/>
  <c r="K19"/>
  <c r="J19"/>
  <c r="I19"/>
  <c r="G19"/>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P26" i="14"/>
  <c r="L26"/>
  <c r="Q22"/>
  <c r="R12"/>
  <c r="F13" i="15"/>
  <c r="D13"/>
  <c r="C13"/>
  <c r="Q88" i="14" l="1"/>
  <c r="P18" i="56" s="1"/>
  <c r="D18"/>
  <c r="I10" i="18"/>
  <c r="I76" i="14"/>
  <c r="I8" i="56" s="1"/>
  <c r="I10" s="1"/>
  <c r="K90" i="14"/>
  <c r="K18" i="56"/>
  <c r="K20" s="1"/>
  <c r="G8"/>
  <c r="G10" s="1"/>
  <c r="G78" i="14"/>
  <c r="C77"/>
  <c r="C9" i="56" s="1"/>
  <c r="D9"/>
  <c r="D10" s="1"/>
  <c r="H17"/>
  <c r="H20" s="1"/>
  <c r="H90" i="14"/>
  <c r="O10" i="56"/>
  <c r="C88" i="14"/>
  <c r="C18" i="56" s="1"/>
  <c r="Q14" i="48"/>
  <c r="Q76" i="14"/>
  <c r="P8" i="56" s="1"/>
  <c r="G22" i="14"/>
  <c r="O22"/>
  <c r="Q11" i="48"/>
  <c r="N78" i="14"/>
  <c r="N8" i="56"/>
  <c r="N10" s="1"/>
  <c r="E8"/>
  <c r="E10" s="1"/>
  <c r="M78" i="14"/>
  <c r="M8" i="56"/>
  <c r="M10" s="1"/>
  <c r="H78" i="14"/>
  <c r="H9" i="56"/>
  <c r="H10" s="1"/>
  <c r="Q87" i="14"/>
  <c r="P17" i="56" s="1"/>
  <c r="D17"/>
  <c r="K78" i="14"/>
  <c r="K8" i="56"/>
  <c r="K10" s="1"/>
  <c r="O78" i="14"/>
  <c r="O9" i="56"/>
  <c r="L90" i="14"/>
  <c r="L17" i="56"/>
  <c r="L20" s="1"/>
  <c r="G90" i="14"/>
  <c r="G18" i="56"/>
  <c r="G20" s="1"/>
  <c r="O90" i="14"/>
  <c r="O18" i="56"/>
  <c r="O20" s="1"/>
  <c r="F90" i="14"/>
  <c r="M20" i="56"/>
  <c r="L78" i="14"/>
  <c r="J76"/>
  <c r="N20" i="56"/>
  <c r="Q89" i="14"/>
  <c r="P19" i="56" s="1"/>
  <c r="I87" i="14"/>
  <c r="I17" i="56" s="1"/>
  <c r="I20" s="1"/>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J8"/>
  <c r="J10" s="1"/>
  <c r="J78" i="14"/>
  <c r="J90"/>
  <c r="J17" i="56"/>
  <c r="J20" s="1"/>
  <c r="Q90" i="14"/>
  <c r="B17" i="6" s="1"/>
  <c r="C87" i="14"/>
  <c r="C17" i="56" s="1"/>
  <c r="C20" s="1"/>
  <c r="P20"/>
  <c r="D20"/>
  <c r="C76" i="14"/>
  <c r="B87"/>
  <c r="B90" l="1"/>
  <c r="B17" i="56"/>
  <c r="B20" s="1"/>
  <c r="C8"/>
  <c r="C10" s="1"/>
  <c r="C78" i="14"/>
  <c r="C90"/>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24" i="48"/>
  <c r="F28"/>
  <c r="F32"/>
  <c r="F27"/>
  <c r="F30"/>
  <c r="F31"/>
  <c r="F29"/>
  <c r="N30"/>
  <c r="N31"/>
  <c r="N28"/>
  <c r="N27"/>
  <c r="N24"/>
  <c r="N32"/>
  <c r="N29"/>
  <c r="C19" i="14"/>
  <c r="B10" i="48"/>
  <c r="E28"/>
  <c r="E32"/>
  <c r="E29"/>
  <c r="E31"/>
  <c r="E24"/>
  <c r="E30"/>
  <c r="M12" i="13"/>
  <c r="N41" i="14" s="1"/>
  <c r="M17" i="48"/>
  <c r="L10" i="14"/>
  <c r="L16" s="1"/>
  <c r="L27" s="1"/>
  <c r="K5" i="48"/>
  <c r="D30"/>
  <c r="D31"/>
  <c r="D29"/>
  <c r="D28"/>
  <c r="D24"/>
  <c r="D32"/>
  <c r="L32"/>
  <c r="L27"/>
  <c r="L31"/>
  <c r="L28"/>
  <c r="L22"/>
  <c r="L30"/>
  <c r="L29"/>
  <c r="L24"/>
  <c r="Q10" i="14"/>
  <c r="P5" i="48"/>
  <c r="P23" s="1"/>
  <c r="K32"/>
  <c r="K31"/>
  <c r="K29"/>
  <c r="K25"/>
  <c r="K26"/>
  <c r="K24"/>
  <c r="K27"/>
  <c r="K28"/>
  <c r="K22"/>
  <c r="K30"/>
  <c r="J10" i="14"/>
  <c r="J16" s="1"/>
  <c r="J27" s="1"/>
  <c r="I5" i="48"/>
  <c r="J30"/>
  <c r="J24"/>
  <c r="J29"/>
  <c r="J32"/>
  <c r="J31"/>
  <c r="J28"/>
  <c r="J27"/>
  <c r="Q11" i="14"/>
  <c r="P4" i="48"/>
  <c r="B7"/>
  <c r="C24" i="14"/>
  <c r="C26" s="1"/>
  <c r="P11"/>
  <c r="O4" i="48"/>
  <c r="I32"/>
  <c r="I22"/>
  <c r="I25"/>
  <c r="I26"/>
  <c r="I28"/>
  <c r="I24"/>
  <c r="I27"/>
  <c r="I29"/>
  <c r="I31"/>
  <c r="I30"/>
  <c r="E11" i="14"/>
  <c r="D4" i="48"/>
  <c r="D22" s="1"/>
  <c r="H32"/>
  <c r="H26"/>
  <c r="H28"/>
  <c r="H25"/>
  <c r="H24"/>
  <c r="H22"/>
  <c r="H30"/>
  <c r="H29"/>
  <c r="H23"/>
  <c r="D11" i="14"/>
  <c r="C4" i="48"/>
  <c r="G32"/>
  <c r="G30"/>
  <c r="G29"/>
  <c r="G25"/>
  <c r="G24"/>
  <c r="G26"/>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15"/>
  <c r="P22"/>
  <c r="P10" i="14"/>
  <c r="O5" i="48"/>
  <c r="O23" s="1"/>
  <c r="M32"/>
  <c r="M22"/>
  <c r="M25"/>
  <c r="M29"/>
  <c r="M24"/>
  <c r="M26"/>
  <c r="M30"/>
  <c r="M23"/>
  <c r="G11" i="14"/>
  <c r="F4" i="48"/>
  <c r="F22" s="1"/>
  <c r="I18" i="14"/>
  <c r="H13" i="48"/>
  <c r="H31" s="1"/>
  <c r="K23"/>
  <c r="K15"/>
  <c r="Q13" i="14"/>
  <c r="Q16" s="1"/>
  <c r="Q27" s="1"/>
  <c r="P8" i="48"/>
  <c r="P26" s="1"/>
  <c r="O22"/>
  <c r="J63" i="14"/>
  <c r="J46"/>
  <c r="J61" s="1"/>
  <c r="L46"/>
  <c r="L61" s="1"/>
  <c r="I33" i="48"/>
  <c r="L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H19" i="14"/>
  <c r="G10" i="48"/>
  <c r="J4"/>
  <c r="K11" i="14"/>
  <c r="E7" i="48"/>
  <c r="E25" s="1"/>
  <c r="F24" i="14"/>
  <c r="F26" s="1"/>
  <c r="R18"/>
  <c r="E9" i="48"/>
  <c r="E27" s="1"/>
  <c r="F20" i="14"/>
  <c r="F22" s="1"/>
  <c r="G31" i="48"/>
  <c r="Q13"/>
  <c r="P13" i="14"/>
  <c r="O8" i="48"/>
  <c r="O26" s="1"/>
  <c r="M10"/>
  <c r="M28" s="1"/>
  <c r="N19" i="14"/>
  <c r="D9" i="48"/>
  <c r="D27" s="1"/>
  <c r="E20" i="14"/>
  <c r="E22" s="1"/>
  <c r="Q63"/>
  <c r="I52"/>
  <c r="I61" s="1"/>
  <c r="P16"/>
  <c r="P27" s="1"/>
  <c r="O15" i="48"/>
  <c r="M14" i="22"/>
  <c r="O33" i="48"/>
  <c r="E12" i="17"/>
  <c r="F54" i="14" s="1"/>
  <c r="F56" s="1"/>
  <c r="P15" i="48"/>
  <c r="H14" i="22"/>
  <c r="H52" i="14"/>
  <c r="H61" s="1"/>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F10" l="1"/>
  <c r="E5" i="48"/>
  <c r="E23" s="1"/>
  <c r="M9"/>
  <c r="N20" i="14"/>
  <c r="N22" s="1"/>
  <c r="N27" s="1"/>
  <c r="E22" i="48"/>
  <c r="Q4"/>
  <c r="G28"/>
  <c r="Q10"/>
  <c r="J22"/>
  <c r="G9"/>
  <c r="H20" i="14"/>
  <c r="H22" s="1"/>
  <c r="H27" s="1"/>
  <c r="C22"/>
  <c r="K10"/>
  <c r="J5" i="48"/>
  <c r="J23" s="1"/>
  <c r="I20" i="14"/>
  <c r="I22" s="1"/>
  <c r="I27" s="1"/>
  <c r="H9" i="48"/>
  <c r="H63" i="14"/>
  <c r="R19"/>
  <c r="M18" i="22"/>
  <c r="N50" i="14" s="1"/>
  <c r="N52" s="1"/>
  <c r="N61" s="1"/>
  <c r="I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N63" l="1"/>
  <c r="G27" i="48"/>
  <c r="G33" s="1"/>
  <c r="G15"/>
  <c r="F13" i="14"/>
  <c r="E8" i="48"/>
  <c r="K13" i="14"/>
  <c r="K16" s="1"/>
  <c r="K27" s="1"/>
  <c r="K63" s="1"/>
  <c r="J8" i="48"/>
  <c r="J26" s="1"/>
  <c r="J33" s="1"/>
  <c r="H27"/>
  <c r="H33" s="1"/>
  <c r="H15"/>
  <c r="M27"/>
  <c r="M33" s="1"/>
  <c r="M15"/>
  <c r="R20" i="14"/>
  <c r="R22" s="1"/>
  <c r="K46"/>
  <c r="K61" s="1"/>
  <c r="C27"/>
  <c r="B3" i="6" s="1"/>
  <c r="B12" s="1"/>
  <c r="F16" i="14"/>
  <c r="F27"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<sst xmlns="http://schemas.openxmlformats.org/spreadsheetml/2006/main" count="2483" uniqueCount="946">
  <si>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</si>
  <si>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</si>
  <si>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</si>
  <si>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</si>
  <si>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</si>
  <si>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</si>
  <si>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</si>
  <si>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</si>
  <si>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</si>
  <si>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</si>
  <si>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</si>
  <si>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</si>
  <si>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</si>
  <si>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</si>
  <si>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</si>
  <si>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</si>
  <si>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</si>
  <si>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</si>
  <si>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</si>
  <si>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</si>
  <si>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</si>
  <si>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</si>
  <si>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</si>
  <si>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</si>
  <si>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</si>
  <si>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</si>
  <si>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</si>
  <si>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</si>
  <si>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</si>
  <si>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</si>
  <si>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</si>
  <si>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</si>
  <si>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</si>
  <si>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</si>
  <si>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</si>
  <si>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</si>
  <si>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</si>
  <si>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</si>
  <si>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</si>
  <si>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</si>
  <si>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</si>
  <si>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</si>
  <si>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</si>
  <si>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</si>
  <si>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</si>
  <si>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</si>
  <si>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</si>
  <si>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</si>
  <si>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</si>
  <si>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</si>
  <si>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</si>
  <si>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</si>
  <si>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</si>
  <si>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</si>
  <si>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</si>
  <si>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</si>
  <si>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</si>
  <si>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</si>
  <si>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</si>
  <si>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</si>
  <si>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</si>
  <si>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</si>
  <si>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</si>
  <si>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</si>
  <si>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</si>
  <si>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</si>
  <si>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</si>
  <si>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</si>
  <si>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</si>
  <si>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</si>
  <si>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</si>
  <si>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</si>
  <si>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</si>
  <si>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</si>
  <si>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</si>
  <si>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</si>
  <si>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</si>
  <si>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</si>
  <si>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</si>
  <si>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</si>
  <si>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</si>
  <si>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</si>
  <si>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</si>
  <si>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</si>
  <si>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</si>
  <si>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</si>
  <si>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</si>
  <si>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</si>
  <si>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</si>
  <si>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</si>
  <si>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</si>
  <si>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</si>
  <si>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</si>
  <si>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</si>
  <si>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</si>
  <si>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</si>
  <si>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</si>
  <si>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</si>
  <si>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</si>
  <si>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</si>
  <si>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</si>
  <si>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</si>
  <si>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</si>
  <si>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</si>
  <si>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</si>
  <si>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</si>
  <si>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</si>
  <si>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</si>
  <si>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</si>
  <si>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</si>
  <si>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</si>
  <si>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</si>
  <si>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</si>
  <si>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</si>
  <si>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</si>
  <si>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</si>
  <si>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</si>
  <si>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</si>
  <si>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</si>
  <si>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</si>
  <si>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</si>
  <si>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</si>
  <si>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</si>
  <si>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</si>
  <si>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</si>
  <si>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</si>
  <si>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</si>
  <si>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</si>
  <si>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</si>
  <si>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</si>
  <si>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</si>
  <si>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</si>
  <si>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</si>
  <si>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</si>
  <si>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</si>
  <si>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</si>
  <si>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</si>
  <si>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</si>
  <si>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</si>
  <si>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</si>
  <si>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</si>
  <si>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</si>
  <si>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</si>
  <si>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</si>
  <si>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</si>
  <si>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</si>
  <si>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</si>
  <si>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</si>
  <si>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</si>
  <si>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</si>
  <si>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</si>
  <si>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</si>
  <si>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</si>
  <si>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</si>
  <si>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</si>
  <si>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</si>
  <si>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</si>
  <si>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</si>
  <si>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</si>
  <si>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</si>
  <si>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</si>
  <si>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</si>
  <si>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</si>
  <si>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</si>
  <si>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</si>
  <si>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</si>
  <si>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</si>
  <si>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</si>
  <si>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</si>
  <si>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</si>
  <si>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</si>
  <si>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</si>
  <si>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</si>
  <si>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</si>
  <si>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</si>
  <si>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</si>
  <si>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</si>
  <si>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</si>
  <si>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</si>
  <si>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</si>
  <si>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</si>
  <si>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</si>
  <si>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</si>
  <si>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</si>
  <si>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</si>
  <si>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</si>
  <si>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</si>
  <si>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</si>
  <si>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</si>
  <si>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</si>
  <si>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</si>
  <si>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</si>
  <si>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</si>
  <si>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</si>
  <si>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</si>
  <si>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</si>
  <si>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</si>
  <si>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</si>
  <si>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</si>
  <si>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</si>
  <si>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</si>
  <si>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</si>
  <si>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</si>
  <si>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</si>
  <si>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</si>
  <si>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</si>
  <si>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</si>
  <si>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</si>
  <si>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</si>
  <si>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</si>
  <si>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</si>
  <si>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</si>
  <si>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</si>
  <si>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</si>
  <si>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</si>
  <si>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</si>
  <si>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</si>
  <si>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</si>
  <si>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</si>
  <si>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</si>
  <si>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</si>
  <si>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</si>
  <si>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</si>
  <si>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</si>
  <si>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</si>
  <si>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</si>
  <si>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</si>
  <si>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</si>
  <si>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</si>
  <si>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</si>
  <si>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</si>
  <si>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</si>
  <si>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</si>
  <si>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</si>
  <si>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</si>
  <si>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</si>
  <si>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</si>
  <si>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</si>
  <si>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</si>
  <si>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</si>
  <si>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</si>
  <si>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</si>
  <si>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</si>
  <si>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</si>
  <si>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</si>
  <si>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</si>
  <si>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</si>
  <si>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</si>
  <si>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</si>
  <si>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</si>
  <si>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</si>
  <si>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</si>
  <si>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</si>
  <si>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</si>
  <si>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</si>
  <si>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</si>
  <si>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</si>
  <si>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</si>
  <si>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</si>
  <si>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</si>
  <si>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</si>
  <si>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</si>
  <si>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</si>
  <si>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</si>
  <si>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</si>
  <si>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</si>
  <si>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</si>
  <si>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</si>
  <si>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</si>
  <si>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</si>
  <si>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</si>
  <si>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</si>
  <si>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</si>
  <si>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</si>
  <si>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</si>
  <si>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</si>
  <si>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</si>
  <si>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</si>
  <si>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</si>
  <si>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</si>
  <si>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</si>
  <si>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</si>
  <si>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</si>
  <si>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</si>
  <si>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</si>
  <si>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</si>
  <si>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</si>
  <si>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</si>
  <si>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</si>
  <si>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</si>
  <si>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</si>
  <si>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</si>
  <si>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</si>
  <si>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</si>
  <si>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</si>
  <si>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</si>
  <si>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</si>
  <si>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</si>
  <si>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</si>
  <si>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</si>
  <si>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</si>
  <si>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</si>
  <si>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</si>
  <si>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</si>
  <si>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</si>
  <si>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</si>
  <si>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</si>
  <si>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</si>
  <si>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</si>
  <si>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</si>
  <si>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</si>
  <si>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</si>
  <si>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</si>
  <si>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</si>
  <si>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</si>
  <si>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</si>
  <si>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</si>
  <si>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</si>
  <si>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</si>
  <si>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</si>
  <si>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</si>
  <si>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</si>
  <si>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</si>
  <si>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</si>
  <si>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</si>
  <si>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</si>
  <si>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</si>
  <si>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</si>
  <si>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</si>
  <si>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</si>
  <si>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</si>
  <si>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</si>
  <si>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</si>
  <si>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</si>
  <si>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</si>
  <si>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</si>
  <si>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</si>
  <si>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</si>
  <si>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</si>
  <si>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</si>
  <si>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</si>
  <si>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</si>
  <si>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</si>
  <si>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</si>
  <si>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</si>
  <si>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</si>
  <si>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</si>
  <si>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</si>
  <si>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</si>
  <si>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</si>
  <si>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</si>
  <si>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</si>
  <si>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</si>
  <si>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</si>
  <si>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</si>
  <si>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</si>
  <si>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</si>
  <si>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</si>
  <si>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</si>
  <si>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</si>
  <si>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</si>
  <si>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</si>
  <si>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</si>
  <si>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</si>
  <si>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</si>
  <si>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</si>
  <si>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</si>
  <si>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</si>
  <si>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</si>
  <si>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</si>
  <si>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</si>
  <si>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</si>
  <si>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</si>
  <si>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</si>
  <si>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</si>
  <si>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</si>
  <si>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</si>
  <si>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</si>
  <si>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</si>
  <si>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</si>
  <si>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</si>
  <si>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</si>
  <si>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</si>
  <si>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</si>
  <si>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</si>
  <si>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</si>
  <si>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</si>
  <si>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</si>
  <si>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</si>
  <si>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</si>
  <si>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</si>
  <si>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</si>
  <si>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</si>
  <si>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</si>
  <si>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</si>
  <si>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</si>
  <si>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</si>
  <si>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</si>
  <si>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</si>
  <si>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</si>
  <si>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</si>
  <si>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</si>
  <si>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</si>
  <si>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</si>
  <si>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</si>
  <si>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</si>
  <si>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</si>
  <si>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</si>
  <si>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</si>
  <si>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</si>
  <si>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</si>
  <si>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</si>
  <si>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</si>
  <si>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</si>
  <si>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</si>
  <si>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</si>
  <si>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</si>
  <si>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</si>
  <si>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</si>
  <si>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</si>
  <si>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</si>
  <si>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</si>
  <si>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</si>
  <si>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</si>
  <si>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</si>
  <si>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</si>
  <si>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</si>
  <si>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</si>
  <si>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</si>
  <si>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</si>
  <si>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</si>
  <si>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</si>
  <si>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</si>
  <si>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</si>
  <si>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</si>
  <si>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</si>
  <si>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</si>
  <si>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</si>
  <si>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</si>
  <si>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</si>
  <si>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</si>
  <si>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</si>
  <si>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</si>
  <si>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</si>
  <si>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</si>
  <si>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</si>
  <si>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</si>
  <si>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</si>
  <si>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</si>
  <si>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</si>
  <si>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</si>
  <si>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</si>
  <si>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</si>
  <si>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</si>
  <si>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</si>
  <si>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</si>
  <si>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</si>
  <si>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</si>
  <si>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</si>
  <si>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</si>
  <si>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</si>
  <si>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</si>
  <si>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</si>
  <si>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</si>
  <si>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</si>
  <si>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</si>
  <si>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</si>
  <si>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</si>
  <si>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</si>
  <si>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</si>
  <si>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</si>
  <si>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</si>
  <si>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</si>
  <si>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</si>
  <si>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</si>
  <si>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</si>
  <si>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</si>
  <si>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</si>
  <si>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</si>
  <si>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</si>
  <si>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</si>
  <si>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</si>
  <si>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</si>
  <si>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</si>
  <si>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</si>
  <si>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</si>
  <si>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</si>
  <si>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</si>
  <si>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</si>
  <si>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</si>
  <si>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</si>
  <si>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</si>
  <si>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</si>
  <si>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</si>
  <si>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</si>
  <si>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</si>
  <si>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</si>
  <si>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</si>
  <si>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</si>
  <si>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</si>
  <si>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</si>
  <si>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</si>
  <si>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</si>
  <si>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</si>
  <si>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</si>
  <si>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</si>
  <si>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</si>
  <si>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</si>
  <si>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</si>
  <si>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</si>
  <si>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</si>
  <si>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</si>
  <si>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</si>
  <si>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</si>
  <si>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</si>
  <si>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</si>
  <si>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</si>
  <si>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</si>
  <si>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</si>
  <si>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</si>
  <si>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</si>
  <si>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</si>
  <si>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</si>
  <si>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</si>
  <si>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</si>
  <si>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</si>
  <si>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</si>
  <si>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</si>
  <si>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</si>
  <si>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</si>
  <si>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</si>
  <si>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</si>
  <si>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</si>
  <si>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</si>
  <si>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</si>
  <si>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</si>
  <si>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</si>
  <si>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</si>
  <si>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</si>
  <si>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</si>
  <si>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</si>
  <si>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</si>
  <si>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</si>
  <si>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</si>
  <si>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</si>
  <si>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</si>
  <si>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</si>
  <si>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</si>
  <si>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</si>
  <si>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</si>
  <si>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</si>
  <si>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</si>
  <si>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</si>
  <si>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</si>
  <si>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</si>
  <si>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</si>
  <si>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</si>
  <si>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</si>
  <si>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</si>
  <si>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</si>
  <si>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</si>
  <si>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</si>
  <si>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</si>
  <si>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</si>
  <si>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</si>
  <si>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</si>
  <si>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</si>
  <si>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</si>
  <si>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</si>
  <si>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</si>
  <si>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</si>
  <si>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</si>
  <si>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</si>
  <si>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</si>
  <si>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</si>
  <si>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</si>
  <si>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</si>
  <si>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</si>
  <si>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</si>
  <si>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</si>
  <si>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</si>
  <si>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</si>
  <si>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</si>
  <si>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</si>
  <si>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</si>
  <si>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</si>
  <si>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</si>
  <si>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</si>
  <si>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</si>
  <si>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</si>
  <si>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</si>
  <si>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</si>
  <si>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</si>
  <si>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</si>
  <si>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</si>
  <si>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</si>
  <si>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</si>
  <si>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</si>
  <si>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</si>
  <si>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</si>
  <si>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</si>
  <si>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</si>
  <si>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</si>
  <si>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</si>
  <si>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</si>
  <si>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</si>
  <si>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</si>
  <si>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</si>
  <si>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</si>
  <si>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</si>
  <si>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</si>
  <si>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</si>
  <si>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</si>
  <si>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</si>
  <si>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</si>
  <si>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</si>
  <si>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</si>
  <si>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</si>
  <si>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</si>
  <si>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</si>
  <si>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</si>
  <si>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</si>
  <si>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</si>
  <si>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</si>
  <si>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</si>
  <si>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</si>
  <si>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</si>
  <si>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</si>
  <si>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</si>
  <si>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</si>
  <si>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</si>
  <si>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</si>
  <si>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</si>
  <si>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</si>
  <si>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</si>
  <si>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</si>
  <si>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</si>
  <si>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</si>
  <si>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</si>
  <si>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</si>
  <si>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</si>
  <si>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</si>
  <si>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</si>
  <si>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</si>
  <si>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</si>
  <si>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</si>
  <si>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</si>
  <si>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</si>
  <si>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</si>
  <si>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</si>
  <si>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</si>
  <si>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</si>
  <si>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</si>
  <si>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</si>
  <si>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</si>
  <si>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</si>
  <si>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</si>
  <si>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</si>
  <si>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</si>
  <si>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</si>
  <si>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</si>
  <si>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</si>
  <si>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</si>
  <si>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</si>
  <si>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</si>
  <si>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</si>
  <si>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</si>
  <si>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</si>
  <si>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</si>
  <si>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</si>
  <si>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</si>
  <si>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</si>
  <si>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</si>
  <si>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</si>
  <si>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</si>
  <si>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</si>
  <si>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</si>
  <si>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</si>
  <si>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</si>
  <si>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</si>
  <si>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</si>
  <si>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</si>
  <si>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</si>
  <si>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</si>
  <si>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</si>
  <si>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</si>
  <si>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</si>
  <si>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</si>
  <si>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</si>
  <si>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</si>
  <si>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</si>
  <si>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</si>
  <si>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</si>
  <si>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</si>
  <si>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</si>
  <si>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</si>
  <si>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</si>
  <si>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</si>
  <si>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</si>
  <si>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</si>
  <si>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</si>
  <si>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</si>
  <si>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</si>
  <si>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</si>
  <si>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</si>
  <si>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</si>
  <si>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</si>
  <si>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</si>
  <si>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</si>
  <si>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</si>
  <si>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</si>
  <si>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</si>
  <si>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</si>
  <si>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</si>
  <si>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</si>
  <si>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</si>
  <si>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</si>
  <si>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</si>
  <si>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</si>
  <si>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</si>
  <si>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</si>
  <si>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</si>
  <si>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</si>
  <si>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</si>
  <si>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</si>
  <si>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</si>
  <si>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</si>
  <si>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</si>
  <si>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</si>
  <si>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</si>
  <si>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</si>
  <si>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</si>
  <si>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</si>
  <si>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</si>
  <si>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</si>
  <si>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</si>
  <si>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</si>
  <si>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</si>
  <si>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</si>
  <si>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</si>
  <si>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</si>
  <si>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</si>
  <si>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</si>
  <si>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</si>
  <si>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</si>
  <si>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</si>
  <si>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</si>
  <si>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</si>
  <si>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</si>
  <si>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</si>
  <si>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</si>
  <si>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</si>
  <si>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</si>
  <si>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</si>
  <si>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</si>
  <si>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</si>
  <si>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</si>
  <si>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</si>
  <si>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</si>
  <si>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</si>
  <si>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</si>
  <si>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</si>
  <si>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</si>
  <si>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</si>
  <si>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</si>
  <si>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</si>
  <si>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</si>
  <si>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</si>
  <si>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</si>
  <si>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</si>
  <si>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</si>
  <si>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</si>
  <si>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</si>
  <si>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</si>
  <si>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</si>
  <si>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</si>
  <si>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</si>
  <si>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</si>
  <si>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</si>
  <si>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</si>
  <si>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</si>
  <si>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</si>
  <si>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</si>
  <si>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</si>
  <si>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</si>
  <si>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</si>
  <si>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</si>
  <si>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</si>
  <si>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</si>
  <si>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</si>
  <si>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</si>
  <si>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</si>
  <si>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</si>
  <si>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</si>
  <si>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</si>
  <si>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</si>
  <si>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</si>
  <si>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</si>
  <si>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</si>
  <si>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</si>
  <si>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</si>
  <si>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</si>
  <si>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</si>
  <si>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</si>
  <si>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</si>
  <si>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</si>
  <si>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</si>
  <si>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</si>
  <si>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</si>
  <si>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</si>
  <si>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</si>
  <si>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</si>
  <si>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</si>
  <si>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</si>
  <si>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</si>
  <si>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</si>
  <si>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</si>
  <si>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</si>
  <si>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</si>
  <si>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</si>
  <si>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</si>
  <si>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</si>
  <si>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</si>
  <si>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</si>
  <si>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</si>
  <si>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</si>
  <si>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</si>
  <si>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</si>
  <si>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</si>
  <si>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</si>
  <si>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</si>
  <si>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</si>
  <si>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</si>
  <si>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</si>
  <si>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</si>
  <si>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</si>
  <si>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</si>
  <si>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</si>
  <si>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</si>
  <si>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</si>
  <si>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</si>
  <si>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</si>
  <si>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</si>
  <si>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</si>
  <si>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</si>
  <si>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</si>
  <si>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</si>
  <si>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</si>
  <si>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</si>
  <si>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</si>
  <si>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</si>
  <si>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</si>
  <si>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</si>
  <si>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</si>
  <si>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</si>
  <si>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</si>
  <si>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</si>
  <si>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</si>
  <si>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</si>
  <si>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</si>
  <si>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</si>
  <si>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</si>
  <si>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</si>
  <si>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</si>
  <si>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</si>
  <si>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</si>
  <si>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</si>
  <si>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</si>
  <si>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</si>
  <si>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</si>
  <si>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</si>
  <si>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</si>
  <si>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</si>
  <si>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</si>
  <si>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</si>
  <si>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</si>
  <si>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</si>
  <si>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</si>
  <si>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</si>
  <si>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</si>
  <si>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</si>
  <si>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</si>
  <si>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</si>
  <si>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</si>
  <si>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</si>
  <si>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</si>
  <si>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</si>
  <si>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</si>
  <si>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</si>
  <si>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</si>
  <si>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</si>
  <si>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</si>
  <si>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</si>
  <si>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</si>
  <si>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</si>
  <si>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</si>
  <si>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</si>
  <si>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</si>
  <si>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</si>
  <si>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</si>
  <si>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</si>
  <si>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</si>
  <si>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</si>
  <si>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</si>
  <si>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</si>
  <si>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</si>
  <si>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</si>
  <si>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</si>
  <si>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</si>
  <si>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</si>
  <si>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</si>
  <si>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</si>
  <si>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</si>
  <si>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</si>
  <si>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</si>
  <si>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</si>
  <si>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</si>
  <si>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</si>
  <si>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</si>
  <si>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</si>
  <si>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</si>
  <si>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</si>
  <si>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</si>
  <si>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</si>
  <si>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</si>
  <si>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</si>
  <si>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</si>
  <si>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</si>
  <si>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</si>
  <si>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</si>
  <si>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</si>
  <si>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</si>
  <si>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</si>
  <si>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</si>
  <si>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</si>
  <si>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</si>
  <si>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</si>
  <si>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</si>
  <si>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</si>
  <si>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</si>
  <si>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31004</t>
  </si>
  <si>
    <t>BLANKENBERGE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</si>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</sst>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31004</v>
      </c>
      <c r="B6" s="397"/>
      <c r="C6" s="398"/>
    </row>
    <row r="7" spans="1:7" s="395" customFormat="1" ht="15.75" customHeight="1">
      <c r="A7" s="399" t="str">
        <f>txtMunicipality</f>
        <v>BLANKENBERGE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0.21584010609291979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0.21584010609291979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9787</v>
      </c>
      <c r="C9" s="338">
        <v>10266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1071</v>
      </c>
    </row>
    <row r="15" spans="1:6">
      <c r="A15" s="1286" t="s">
        <v>184</v>
      </c>
      <c r="B15" s="335">
        <v>4</v>
      </c>
    </row>
    <row r="16" spans="1:6">
      <c r="A16" s="1286" t="s">
        <v>6</v>
      </c>
      <c r="B16" s="335">
        <v>128</v>
      </c>
    </row>
    <row r="17" spans="1:6">
      <c r="A17" s="1286" t="s">
        <v>7</v>
      </c>
      <c r="B17" s="335">
        <v>130</v>
      </c>
    </row>
    <row r="18" spans="1:6">
      <c r="A18" s="1286" t="s">
        <v>8</v>
      </c>
      <c r="B18" s="335">
        <v>178</v>
      </c>
    </row>
    <row r="19" spans="1:6">
      <c r="A19" s="1286" t="s">
        <v>9</v>
      </c>
      <c r="B19" s="335">
        <v>206</v>
      </c>
    </row>
    <row r="20" spans="1:6">
      <c r="A20" s="1286" t="s">
        <v>10</v>
      </c>
      <c r="B20" s="335">
        <v>239</v>
      </c>
    </row>
    <row r="21" spans="1:6">
      <c r="A21" s="1286" t="s">
        <v>11</v>
      </c>
      <c r="B21" s="335">
        <v>1345</v>
      </c>
    </row>
    <row r="22" spans="1:6">
      <c r="A22" s="1286" t="s">
        <v>12</v>
      </c>
      <c r="B22" s="335">
        <v>5155</v>
      </c>
    </row>
    <row r="23" spans="1:6">
      <c r="A23" s="1286" t="s">
        <v>13</v>
      </c>
      <c r="B23" s="335">
        <v>45</v>
      </c>
    </row>
    <row r="24" spans="1:6">
      <c r="A24" s="1286" t="s">
        <v>14</v>
      </c>
      <c r="B24" s="335">
        <v>6</v>
      </c>
    </row>
    <row r="25" spans="1:6">
      <c r="A25" s="1286" t="s">
        <v>15</v>
      </c>
      <c r="B25" s="335">
        <v>498</v>
      </c>
    </row>
    <row r="26" spans="1:6">
      <c r="A26" s="1286" t="s">
        <v>16</v>
      </c>
      <c r="B26" s="335">
        <v>30</v>
      </c>
    </row>
    <row r="27" spans="1:6">
      <c r="A27" s="1286" t="s">
        <v>17</v>
      </c>
      <c r="B27" s="335">
        <v>2</v>
      </c>
    </row>
    <row r="28" spans="1:6" s="341" customFormat="1">
      <c r="A28" s="1287" t="s">
        <v>18</v>
      </c>
      <c r="B28" s="1287">
        <v>2</v>
      </c>
    </row>
    <row r="29" spans="1:6">
      <c r="A29" s="1287" t="s">
        <v>942</v>
      </c>
      <c r="B29" s="1287">
        <v>70</v>
      </c>
      <c r="C29" s="341"/>
      <c r="D29" s="341"/>
      <c r="E29" s="341"/>
      <c r="F29" s="341"/>
    </row>
    <row r="30" spans="1:6">
      <c r="A30" s="1282" t="s">
        <v>943</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12693.669887923799</v>
      </c>
    </row>
    <row r="37" spans="1:6">
      <c r="A37" s="1286" t="s">
        <v>25</v>
      </c>
      <c r="B37" s="1286" t="s">
        <v>28</v>
      </c>
      <c r="C37" s="335">
        <v>0</v>
      </c>
      <c r="D37" s="335">
        <v>0</v>
      </c>
      <c r="E37" s="335">
        <v>0</v>
      </c>
      <c r="F37" s="335">
        <v>0</v>
      </c>
    </row>
    <row r="38" spans="1:6">
      <c r="A38" s="1286" t="s">
        <v>25</v>
      </c>
      <c r="B38" s="1286" t="s">
        <v>29</v>
      </c>
      <c r="C38" s="335">
        <v>1</v>
      </c>
      <c r="D38" s="335">
        <v>113548.508449424</v>
      </c>
      <c r="E38" s="335">
        <v>0</v>
      </c>
      <c r="F38" s="335">
        <v>0</v>
      </c>
    </row>
    <row r="39" spans="1:6">
      <c r="A39" s="1286" t="s">
        <v>30</v>
      </c>
      <c r="B39" s="1286" t="s">
        <v>31</v>
      </c>
      <c r="C39" s="335">
        <v>10576</v>
      </c>
      <c r="D39" s="335">
        <v>123451933.69894999</v>
      </c>
      <c r="E39" s="335">
        <v>16009</v>
      </c>
      <c r="F39" s="335">
        <v>39769213.042849898</v>
      </c>
    </row>
    <row r="40" spans="1:6">
      <c r="A40" s="1286" t="s">
        <v>30</v>
      </c>
      <c r="B40" s="1286" t="s">
        <v>29</v>
      </c>
      <c r="C40" s="335">
        <v>0</v>
      </c>
      <c r="D40" s="335">
        <v>0</v>
      </c>
      <c r="E40" s="335">
        <v>1</v>
      </c>
      <c r="F40" s="335">
        <v>2797.3737471926001</v>
      </c>
    </row>
    <row r="41" spans="1:6">
      <c r="A41" s="1286" t="s">
        <v>32</v>
      </c>
      <c r="B41" s="1286" t="s">
        <v>33</v>
      </c>
      <c r="C41" s="335">
        <v>138</v>
      </c>
      <c r="D41" s="335">
        <v>1610372.8236209301</v>
      </c>
      <c r="E41" s="335">
        <v>266</v>
      </c>
      <c r="F41" s="335">
        <v>1218883.75961354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17</v>
      </c>
      <c r="F44" s="335">
        <v>164051.05200196101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21794.028221451001</v>
      </c>
      <c r="E47" s="335">
        <v>7</v>
      </c>
      <c r="F47" s="335">
        <v>80115.272289985704</v>
      </c>
    </row>
    <row r="48" spans="1:6">
      <c r="A48" s="1286" t="s">
        <v>32</v>
      </c>
      <c r="B48" s="1286" t="s">
        <v>29</v>
      </c>
      <c r="C48" s="335">
        <v>27</v>
      </c>
      <c r="D48" s="335">
        <v>1151534.22267176</v>
      </c>
      <c r="E48" s="335">
        <v>33</v>
      </c>
      <c r="F48" s="335">
        <v>269436.50429652299</v>
      </c>
    </row>
    <row r="49" spans="1:6">
      <c r="A49" s="1286" t="s">
        <v>32</v>
      </c>
      <c r="B49" s="1286" t="s">
        <v>40</v>
      </c>
      <c r="C49" s="335">
        <v>0</v>
      </c>
      <c r="D49" s="335">
        <v>0</v>
      </c>
      <c r="E49" s="335">
        <v>0</v>
      </c>
      <c r="F49" s="335">
        <v>0</v>
      </c>
    </row>
    <row r="50" spans="1:6">
      <c r="A50" s="1286" t="s">
        <v>32</v>
      </c>
      <c r="B50" s="1286" t="s">
        <v>41</v>
      </c>
      <c r="C50" s="335">
        <v>16</v>
      </c>
      <c r="D50" s="335">
        <v>592494.28538159304</v>
      </c>
      <c r="E50" s="335">
        <v>29</v>
      </c>
      <c r="F50" s="335">
        <v>667690.86563512799</v>
      </c>
    </row>
    <row r="51" spans="1:6">
      <c r="A51" s="1286" t="s">
        <v>42</v>
      </c>
      <c r="B51" s="1286" t="s">
        <v>43</v>
      </c>
      <c r="C51" s="335">
        <v>4</v>
      </c>
      <c r="D51" s="335">
        <v>53604.1880003189</v>
      </c>
      <c r="E51" s="335">
        <v>22</v>
      </c>
      <c r="F51" s="335">
        <v>378751.857186332</v>
      </c>
    </row>
    <row r="52" spans="1:6">
      <c r="A52" s="1286" t="s">
        <v>42</v>
      </c>
      <c r="B52" s="1286" t="s">
        <v>29</v>
      </c>
      <c r="C52" s="335">
        <v>2</v>
      </c>
      <c r="D52" s="335">
        <v>48986.003121608002</v>
      </c>
      <c r="E52" s="335">
        <v>9</v>
      </c>
      <c r="F52" s="335">
        <v>32269.368510507102</v>
      </c>
    </row>
    <row r="53" spans="1:6">
      <c r="A53" s="1286" t="s">
        <v>44</v>
      </c>
      <c r="B53" s="1286" t="s">
        <v>45</v>
      </c>
      <c r="C53" s="335">
        <v>266</v>
      </c>
      <c r="D53" s="335">
        <v>7965315.4177443897</v>
      </c>
      <c r="E53" s="335">
        <v>578</v>
      </c>
      <c r="F53" s="335">
        <v>2182936.6909806398</v>
      </c>
    </row>
    <row r="54" spans="1:6">
      <c r="A54" s="1286" t="s">
        <v>46</v>
      </c>
      <c r="B54" s="1286" t="s">
        <v>47</v>
      </c>
      <c r="C54" s="335">
        <v>0</v>
      </c>
      <c r="D54" s="335">
        <v>0</v>
      </c>
      <c r="E54" s="335">
        <v>2</v>
      </c>
      <c r="F54" s="335">
        <v>1772752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91</v>
      </c>
      <c r="D57" s="335">
        <v>7339638.8133789496</v>
      </c>
      <c r="E57" s="335">
        <v>260</v>
      </c>
      <c r="F57" s="335">
        <v>6340884.7731901696</v>
      </c>
    </row>
    <row r="58" spans="1:6">
      <c r="A58" s="1286" t="s">
        <v>49</v>
      </c>
      <c r="B58" s="1286" t="s">
        <v>51</v>
      </c>
      <c r="C58" s="335">
        <v>31</v>
      </c>
      <c r="D58" s="335">
        <v>1492020.9273256599</v>
      </c>
      <c r="E58" s="335">
        <v>45</v>
      </c>
      <c r="F58" s="335">
        <v>903630.23623405199</v>
      </c>
    </row>
    <row r="59" spans="1:6">
      <c r="A59" s="1286" t="s">
        <v>49</v>
      </c>
      <c r="B59" s="1286" t="s">
        <v>52</v>
      </c>
      <c r="C59" s="335">
        <v>240</v>
      </c>
      <c r="D59" s="335">
        <v>6366775.1737513104</v>
      </c>
      <c r="E59" s="335">
        <v>462</v>
      </c>
      <c r="F59" s="335">
        <v>10769027.7064279</v>
      </c>
    </row>
    <row r="60" spans="1:6">
      <c r="A60" s="1286" t="s">
        <v>49</v>
      </c>
      <c r="B60" s="1286" t="s">
        <v>53</v>
      </c>
      <c r="C60" s="335">
        <v>285</v>
      </c>
      <c r="D60" s="335">
        <v>21484822.690910298</v>
      </c>
      <c r="E60" s="335">
        <v>438</v>
      </c>
      <c r="F60" s="335">
        <v>15872722.9576235</v>
      </c>
    </row>
    <row r="61" spans="1:6">
      <c r="A61" s="1286" t="s">
        <v>49</v>
      </c>
      <c r="B61" s="1286" t="s">
        <v>54</v>
      </c>
      <c r="C61" s="335">
        <v>342</v>
      </c>
      <c r="D61" s="335">
        <v>20724302.337901399</v>
      </c>
      <c r="E61" s="335">
        <v>1117</v>
      </c>
      <c r="F61" s="335">
        <v>7868793.0433855802</v>
      </c>
    </row>
    <row r="62" spans="1:6">
      <c r="A62" s="1286" t="s">
        <v>49</v>
      </c>
      <c r="B62" s="1286" t="s">
        <v>55</v>
      </c>
      <c r="C62" s="335">
        <v>7</v>
      </c>
      <c r="D62" s="335">
        <v>1672100.0021298099</v>
      </c>
      <c r="E62" s="335">
        <v>12</v>
      </c>
      <c r="F62" s="335">
        <v>513741.22238489398</v>
      </c>
    </row>
    <row r="63" spans="1:6">
      <c r="A63" s="1286" t="s">
        <v>49</v>
      </c>
      <c r="B63" s="1286" t="s">
        <v>29</v>
      </c>
      <c r="C63" s="335">
        <v>91</v>
      </c>
      <c r="D63" s="335">
        <v>6815900.7566160699</v>
      </c>
      <c r="E63" s="335">
        <v>85</v>
      </c>
      <c r="F63" s="335">
        <v>4233044.2413522303</v>
      </c>
    </row>
    <row r="64" spans="1:6">
      <c r="A64" s="1286" t="s">
        <v>56</v>
      </c>
      <c r="B64" s="1286" t="s">
        <v>57</v>
      </c>
      <c r="C64" s="335">
        <v>0</v>
      </c>
      <c r="D64" s="335">
        <v>0</v>
      </c>
      <c r="E64" s="335">
        <v>0</v>
      </c>
      <c r="F64" s="335">
        <v>0</v>
      </c>
    </row>
    <row r="65" spans="1:6">
      <c r="A65" s="1286" t="s">
        <v>56</v>
      </c>
      <c r="B65" s="1286" t="s">
        <v>29</v>
      </c>
      <c r="C65" s="335">
        <v>3</v>
      </c>
      <c r="D65" s="335">
        <v>54918.6375738352</v>
      </c>
      <c r="E65" s="335">
        <v>1</v>
      </c>
      <c r="F65" s="335">
        <v>15984.2391388662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172236.93726810199</v>
      </c>
      <c r="E68" s="335">
        <v>20</v>
      </c>
      <c r="F68" s="335">
        <v>1951735.19807599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30204131</v>
      </c>
      <c r="E73" s="335">
        <v>32682016.793456338</v>
      </c>
    </row>
    <row r="74" spans="1:6">
      <c r="A74" s="1286" t="s">
        <v>64</v>
      </c>
      <c r="B74" s="1286" t="s">
        <v>772</v>
      </c>
      <c r="C74" s="1297" t="s">
        <v>766</v>
      </c>
      <c r="D74" s="335">
        <v>2526758.2160575832</v>
      </c>
      <c r="E74" s="335">
        <v>2703703.1123822075</v>
      </c>
    </row>
    <row r="75" spans="1:6">
      <c r="A75" s="1286" t="s">
        <v>65</v>
      </c>
      <c r="B75" s="1286" t="s">
        <v>771</v>
      </c>
      <c r="C75" s="1297" t="s">
        <v>767</v>
      </c>
      <c r="D75" s="335">
        <v>3936870</v>
      </c>
      <c r="E75" s="335">
        <v>4191559.1006153799</v>
      </c>
    </row>
    <row r="76" spans="1:6">
      <c r="A76" s="1286" t="s">
        <v>65</v>
      </c>
      <c r="B76" s="1286" t="s">
        <v>772</v>
      </c>
      <c r="C76" s="1297" t="s">
        <v>768</v>
      </c>
      <c r="D76" s="335">
        <v>500328.21605758334</v>
      </c>
      <c r="E76" s="335">
        <v>564811.34522573266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99369.567884833363</v>
      </c>
      <c r="C83" s="335">
        <v>93789.801308087044</v>
      </c>
    </row>
    <row r="84" spans="1:6">
      <c r="A84" s="1282" t="s">
        <v>337</v>
      </c>
      <c r="B84" s="338">
        <v>229208.42228560464</v>
      </c>
      <c r="C84" s="338">
        <v>231794.81043736063</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1540.9071660135949</v>
      </c>
    </row>
    <row r="92" spans="1:6">
      <c r="A92" s="1282" t="s">
        <v>69</v>
      </c>
      <c r="B92" s="338">
        <v>686.26010934957014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5834</v>
      </c>
    </row>
    <row r="98" spans="1:6">
      <c r="A98" s="1286" t="s">
        <v>72</v>
      </c>
      <c r="B98" s="335">
        <v>2</v>
      </c>
    </row>
    <row r="99" spans="1:6">
      <c r="A99" s="1286" t="s">
        <v>73</v>
      </c>
      <c r="B99" s="335">
        <v>23</v>
      </c>
    </row>
    <row r="100" spans="1:6">
      <c r="A100" s="1286" t="s">
        <v>74</v>
      </c>
      <c r="B100" s="335">
        <v>1053</v>
      </c>
    </row>
    <row r="101" spans="1:6">
      <c r="A101" s="1286" t="s">
        <v>75</v>
      </c>
      <c r="B101" s="335">
        <v>28</v>
      </c>
    </row>
    <row r="102" spans="1:6">
      <c r="A102" s="1286" t="s">
        <v>76</v>
      </c>
      <c r="B102" s="335">
        <v>279</v>
      </c>
    </row>
    <row r="103" spans="1:6">
      <c r="A103" s="1286" t="s">
        <v>77</v>
      </c>
      <c r="B103" s="335">
        <v>58</v>
      </c>
    </row>
    <row r="104" spans="1:6">
      <c r="A104" s="1286" t="s">
        <v>78</v>
      </c>
      <c r="B104" s="335">
        <v>885</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95390.327149920195</v>
      </c>
      <c r="C3" s="44" t="s">
        <v>170</v>
      </c>
      <c r="D3" s="44"/>
      <c r="E3" s="157"/>
      <c r="F3" s="44"/>
      <c r="G3" s="44"/>
      <c r="H3" s="44"/>
      <c r="I3" s="44"/>
      <c r="J3" s="44"/>
      <c r="K3" s="97"/>
    </row>
    <row r="4" spans="1:11">
      <c r="A4" s="365" t="s">
        <v>171</v>
      </c>
      <c r="B4" s="50">
        <f>IF(ISERROR('SEAP template'!B78),0,'SEAP template'!B78)</f>
        <v>2227.1672753631651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0.21584010609291979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1772.752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1772.752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0.21584010609291979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382.63097975643575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39772.010416597092</v>
      </c>
      <c r="C5" s="18">
        <f>IF(ISERROR('Eigen informatie GS &amp; warmtenet'!B57),0,'Eigen informatie GS &amp; warmtenet'!B57)</f>
        <v>0</v>
      </c>
      <c r="D5" s="31">
        <f>(SUM(HH_hh_gas_kWh,HH_rest_gas_kWh)/1000)*0.902</f>
        <v>111353.64419645289</v>
      </c>
      <c r="E5" s="18">
        <f>B46*B57</f>
        <v>0</v>
      </c>
      <c r="F5" s="18">
        <f>B51*B62</f>
        <v>0</v>
      </c>
      <c r="G5" s="19"/>
      <c r="H5" s="18"/>
      <c r="I5" s="18"/>
      <c r="J5" s="18">
        <f>B50*B61+C50*C61</f>
        <v>0</v>
      </c>
      <c r="K5" s="18"/>
      <c r="L5" s="18"/>
      <c r="M5" s="18"/>
      <c r="N5" s="18">
        <f>B48*B59+C48*C59</f>
        <v>0</v>
      </c>
      <c r="O5" s="18">
        <f>B69*B70*B71</f>
        <v>53.153333333333336</v>
      </c>
      <c r="P5" s="18">
        <f>B77*B78*B79/1000-B77*B78*B79/1000/B80</f>
        <v>38.133333333333333</v>
      </c>
    </row>
    <row r="6" spans="1:16">
      <c r="A6" s="17" t="s">
        <v>639</v>
      </c>
      <c r="B6" s="780">
        <f>kWh_PV_kleiner_dan_10kW</f>
        <v>1540.9071660135949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41312.917582610688</v>
      </c>
      <c r="C8" s="22">
        <f>C5</f>
        <v>0</v>
      </c>
      <c r="D8" s="22">
        <f>D5</f>
        <v>111353.64419645289</v>
      </c>
      <c r="E8" s="22">
        <f>E5</f>
        <v>0</v>
      </c>
      <c r="F8" s="22">
        <f>F5</f>
        <v>0</v>
      </c>
      <c r="G8" s="22"/>
      <c r="H8" s="22"/>
      <c r="I8" s="22"/>
      <c r="J8" s="22">
        <f>J5</f>
        <v>0</v>
      </c>
      <c r="K8" s="22"/>
      <c r="L8" s="22">
        <f>L5</f>
        <v>0</v>
      </c>
      <c r="M8" s="22">
        <f>M5</f>
        <v>0</v>
      </c>
      <c r="N8" s="22">
        <f>N5</f>
        <v>0</v>
      </c>
      <c r="O8" s="22">
        <f>O5</f>
        <v>53.153333333333336</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0.21584010609291979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8916.9845140387424</v>
      </c>
      <c r="C12" s="24">
        <f ca="1">C10*C8</f>
        <v>0</v>
      </c>
      <c r="D12" s="24">
        <f>D8*D10</f>
        <v>22493.436127683486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5834</v>
      </c>
      <c r="C18" s="169" t="s">
        <v>111</v>
      </c>
      <c r="D18" s="231"/>
      <c r="E18" s="16"/>
    </row>
    <row r="19" spans="1:7">
      <c r="A19" s="174" t="s">
        <v>72</v>
      </c>
      <c r="B19" s="38">
        <f>aantalw2001_ander</f>
        <v>2</v>
      </c>
      <c r="C19" s="169" t="s">
        <v>111</v>
      </c>
      <c r="D19" s="232"/>
      <c r="E19" s="16"/>
    </row>
    <row r="20" spans="1:7">
      <c r="A20" s="174" t="s">
        <v>73</v>
      </c>
      <c r="B20" s="38">
        <f>aantalw2001_propaan</f>
        <v>23</v>
      </c>
      <c r="C20" s="170">
        <f>IF(ISERROR(B20/SUM($B$20,$B$21,$B$22)*100),0,B20/SUM($B$20,$B$21,$B$22)*100)</f>
        <v>2.083333333333333</v>
      </c>
      <c r="D20" s="232"/>
      <c r="E20" s="16"/>
    </row>
    <row r="21" spans="1:7">
      <c r="A21" s="174" t="s">
        <v>74</v>
      </c>
      <c r="B21" s="38">
        <f>aantalw2001_elektriciteit</f>
        <v>1053</v>
      </c>
      <c r="C21" s="170">
        <f>IF(ISERROR(B21/SUM($B$20,$B$21,$B$22)*100),0,B21/SUM($B$20,$B$21,$B$22)*100)</f>
        <v>95.380434782608688</v>
      </c>
      <c r="D21" s="232"/>
      <c r="E21" s="16"/>
    </row>
    <row r="22" spans="1:7">
      <c r="A22" s="174" t="s">
        <v>75</v>
      </c>
      <c r="B22" s="38">
        <f>aantalw2001_hout</f>
        <v>28</v>
      </c>
      <c r="C22" s="170">
        <f>IF(ISERROR(B22/SUM($B$20,$B$21,$B$22)*100),0,B22/SUM($B$20,$B$21,$B$22)*100)</f>
        <v>2.5362318840579712</v>
      </c>
      <c r="D22" s="232"/>
      <c r="E22" s="16"/>
    </row>
    <row r="23" spans="1:7">
      <c r="A23" s="174" t="s">
        <v>76</v>
      </c>
      <c r="B23" s="38">
        <f>aantalw2001_niet_gespec</f>
        <v>279</v>
      </c>
      <c r="C23" s="169" t="s">
        <v>111</v>
      </c>
      <c r="D23" s="231"/>
      <c r="E23" s="16"/>
    </row>
    <row r="24" spans="1:7">
      <c r="A24" s="174" t="s">
        <v>77</v>
      </c>
      <c r="B24" s="38">
        <f>aantalw2001_steenkool</f>
        <v>58</v>
      </c>
      <c r="C24" s="169" t="s">
        <v>111</v>
      </c>
      <c r="D24" s="232"/>
      <c r="E24" s="16"/>
    </row>
    <row r="25" spans="1:7">
      <c r="A25" s="174" t="s">
        <v>78</v>
      </c>
      <c r="B25" s="38">
        <f>aantalw2001_stookolie</f>
        <v>885</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9787</v>
      </c>
      <c r="C28" s="37"/>
      <c r="D28" s="231"/>
    </row>
    <row r="29" spans="1:7" s="16" customFormat="1">
      <c r="A29" s="233" t="s">
        <v>666</v>
      </c>
      <c r="B29" s="38">
        <f>SUM(HH_hh_gas_aantal,HH_rest_gas_aantal)</f>
        <v>10576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10576</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10576</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46501.844180598331</v>
      </c>
      <c r="C5" s="18">
        <f>IF(ISERROR('Eigen informatie GS &amp; warmtenet'!B58),0,'Eigen informatie GS &amp; warmtenet'!B58)</f>
        <v>0</v>
      </c>
      <c r="D5" s="31">
        <f>SUM(D6:D12)</f>
        <v>59437.795753216182</v>
      </c>
      <c r="E5" s="18">
        <f>SUM(E6:E12)</f>
        <v>984.24816112339295</v>
      </c>
      <c r="F5" s="18">
        <f>SUM(F6:F12)</f>
        <v>9954.977042090035</v>
      </c>
      <c r="G5" s="19"/>
      <c r="H5" s="18"/>
      <c r="I5" s="18"/>
      <c r="J5" s="18">
        <f>SUM(J6:J12)</f>
        <v>0</v>
      </c>
      <c r="K5" s="18"/>
      <c r="L5" s="18"/>
      <c r="M5" s="18"/>
      <c r="N5" s="18">
        <f>SUM(N6:N12)</f>
        <v>4002.550383884623</v>
      </c>
      <c r="O5" s="18">
        <f>B38*B39*B40</f>
        <v>0</v>
      </c>
      <c r="P5" s="18">
        <f>B46*B47*B48/1000-B46*B47*B48/1000/B49</f>
        <v>0</v>
      </c>
      <c r="R5" s="33"/>
    </row>
    <row r="6" spans="1:18">
      <c r="A6" s="33" t="s">
        <v>54</v>
      </c>
      <c r="B6" s="38">
        <f>B26</f>
        <v>7868.7930433855799</v>
      </c>
      <c r="C6" s="34"/>
      <c r="D6" s="38">
        <f>IF(ISERROR(TER_kantoor_gas_kWh/1000),0,TER_kantoor_gas_kWh/1000)*0.902</f>
        <v>18693.320708787061</v>
      </c>
      <c r="E6" s="34">
        <f>$C$26*'E Balans VL '!I12/100/3.6*1000000</f>
        <v>12.914284198506248</v>
      </c>
      <c r="F6" s="34">
        <f>$C$26*('E Balans VL '!L12+'E Balans VL '!N12)/100/3.6*1000000</f>
        <v>927.54555716893583</v>
      </c>
      <c r="G6" s="35"/>
      <c r="H6" s="34"/>
      <c r="I6" s="34"/>
      <c r="J6" s="34">
        <f>$C$26*('E Balans VL '!D12+'E Balans VL '!E12)/100/3.6*1000000</f>
        <v>0</v>
      </c>
      <c r="K6" s="34"/>
      <c r="L6" s="34"/>
      <c r="M6" s="34"/>
      <c r="N6" s="34">
        <f>$C$26*'E Balans VL '!Y12/100/3.6*1000000</f>
        <v>1.5898523726304705</v>
      </c>
      <c r="O6" s="34"/>
      <c r="P6" s="34"/>
      <c r="R6" s="33"/>
    </row>
    <row r="7" spans="1:18">
      <c r="A7" s="33" t="s">
        <v>53</v>
      </c>
      <c r="B7" s="38">
        <f t="shared" ref="B7:B12" si="0">B27</f>
        <v>15872.7229576235</v>
      </c>
      <c r="C7" s="34"/>
      <c r="D7" s="38">
        <f>IF(ISERROR(TER_horeca_gas_kWh/1000),0,TER_horeca_gas_kWh/1000)*0.902</f>
        <v>19379.310067201091</v>
      </c>
      <c r="E7" s="34">
        <f>$C$27*'E Balans VL '!I9/100/3.6*1000000</f>
        <v>823.67946401947972</v>
      </c>
      <c r="F7" s="34">
        <f>$C$27*('E Balans VL '!L9+'E Balans VL '!N9)/100/3.6*1000000</f>
        <v>3622.1668962345429</v>
      </c>
      <c r="G7" s="35"/>
      <c r="H7" s="34"/>
      <c r="I7" s="34"/>
      <c r="J7" s="34">
        <f>$C$27*('E Balans VL '!D9+'E Balans VL '!E9)/100/3.6*1000000</f>
        <v>0</v>
      </c>
      <c r="K7" s="34"/>
      <c r="L7" s="34"/>
      <c r="M7" s="34"/>
      <c r="N7" s="34">
        <f>$C$27*'E Balans VL '!Y9/100/3.6*1000000</f>
        <v>1.676152270332401</v>
      </c>
      <c r="O7" s="34"/>
      <c r="P7" s="34"/>
      <c r="R7" s="33"/>
    </row>
    <row r="8" spans="1:18">
      <c r="A8" s="6" t="s">
        <v>52</v>
      </c>
      <c r="B8" s="38">
        <f t="shared" si="0"/>
        <v>10769.0277064279</v>
      </c>
      <c r="C8" s="34"/>
      <c r="D8" s="38">
        <f>IF(ISERROR(TER_handel_gas_kWh/1000),0,TER_handel_gas_kWh/1000)*0.902</f>
        <v>5742.831206723683</v>
      </c>
      <c r="E8" s="34">
        <f>$C$28*'E Balans VL '!I13/100/3.6*1000000</f>
        <v>57.992537536733572</v>
      </c>
      <c r="F8" s="34">
        <f>$C$28*('E Balans VL '!L13+'E Balans VL '!N13)/100/3.6*1000000</f>
        <v>2196.1247760203169</v>
      </c>
      <c r="G8" s="35"/>
      <c r="H8" s="34"/>
      <c r="I8" s="34"/>
      <c r="J8" s="34">
        <f>$C$28*('E Balans VL '!D13+'E Balans VL '!E13)/100/3.6*1000000</f>
        <v>0</v>
      </c>
      <c r="K8" s="34"/>
      <c r="L8" s="34"/>
      <c r="M8" s="34"/>
      <c r="N8" s="34">
        <f>$C$28*'E Balans VL '!Y13/100/3.6*1000000</f>
        <v>53.548687823468903</v>
      </c>
      <c r="O8" s="34"/>
      <c r="P8" s="34"/>
      <c r="R8" s="33"/>
    </row>
    <row r="9" spans="1:18">
      <c r="A9" s="33" t="s">
        <v>51</v>
      </c>
      <c r="B9" s="38">
        <f t="shared" si="0"/>
        <v>903.63023623405195</v>
      </c>
      <c r="C9" s="34"/>
      <c r="D9" s="38">
        <f>IF(ISERROR(TER_gezond_gas_kWh/1000),0,TER_gezond_gas_kWh/1000)*0.902</f>
        <v>1345.8028764477451</v>
      </c>
      <c r="E9" s="34">
        <f>$C$29*'E Balans VL '!I10/100/3.6*1000000</f>
        <v>0.8955078401484633</v>
      </c>
      <c r="F9" s="34">
        <f>$C$29*('E Balans VL '!L10+'E Balans VL '!N10)/100/3.6*1000000</f>
        <v>313.53364583090001</v>
      </c>
      <c r="G9" s="35"/>
      <c r="H9" s="34"/>
      <c r="I9" s="34"/>
      <c r="J9" s="34">
        <f>$C$29*('E Balans VL '!D10+'E Balans VL '!E10)/100/3.6*1000000</f>
        <v>0</v>
      </c>
      <c r="K9" s="34"/>
      <c r="L9" s="34"/>
      <c r="M9" s="34"/>
      <c r="N9" s="34">
        <f>$C$29*'E Balans VL '!Y10/100/3.6*1000000</f>
        <v>7.7865034645167635</v>
      </c>
      <c r="O9" s="34"/>
      <c r="P9" s="34"/>
      <c r="R9" s="33"/>
    </row>
    <row r="10" spans="1:18">
      <c r="A10" s="33" t="s">
        <v>50</v>
      </c>
      <c r="B10" s="38">
        <f t="shared" si="0"/>
        <v>6340.8847731901697</v>
      </c>
      <c r="C10" s="34"/>
      <c r="D10" s="38">
        <f>IF(ISERROR(TER_ander_gas_kWh/1000),0,TER_ander_gas_kWh/1000)*0.902</f>
        <v>6620.3542096678129</v>
      </c>
      <c r="E10" s="34">
        <f>$C$30*'E Balans VL '!I14/100/3.6*1000000</f>
        <v>51.87477470770024</v>
      </c>
      <c r="F10" s="34">
        <f>$C$30*('E Balans VL '!L14+'E Balans VL '!N14)/100/3.6*1000000</f>
        <v>1853.8165595700982</v>
      </c>
      <c r="G10" s="35"/>
      <c r="H10" s="34"/>
      <c r="I10" s="34"/>
      <c r="J10" s="34">
        <f>$C$30*('E Balans VL '!D14+'E Balans VL '!E14)/100/3.6*1000000</f>
        <v>0</v>
      </c>
      <c r="K10" s="34"/>
      <c r="L10" s="34"/>
      <c r="M10" s="34"/>
      <c r="N10" s="34">
        <f>$C$30*'E Balans VL '!Y14/100/3.6*1000000</f>
        <v>3657.8585197495954</v>
      </c>
      <c r="O10" s="34"/>
      <c r="P10" s="34"/>
      <c r="R10" s="33"/>
    </row>
    <row r="11" spans="1:18">
      <c r="A11" s="33" t="s">
        <v>55</v>
      </c>
      <c r="B11" s="38">
        <f t="shared" si="0"/>
        <v>513.74122238489394</v>
      </c>
      <c r="C11" s="34"/>
      <c r="D11" s="38">
        <f>IF(ISERROR(TER_onderwijs_gas_kWh/1000),0,TER_onderwijs_gas_kWh/1000)*0.902</f>
        <v>1508.2342019210887</v>
      </c>
      <c r="E11" s="34">
        <f>$C$31*'E Balans VL '!I11/100/3.6*1000000</f>
        <v>0.3166484125837547</v>
      </c>
      <c r="F11" s="34">
        <f>$C$31*('E Balans VL '!L11+'E Balans VL '!N11)/100/3.6*1000000</f>
        <v>198.62067644320987</v>
      </c>
      <c r="G11" s="35"/>
      <c r="H11" s="34"/>
      <c r="I11" s="34"/>
      <c r="J11" s="34">
        <f>$C$31*('E Balans VL '!D11+'E Balans VL '!E11)/100/3.6*1000000</f>
        <v>0</v>
      </c>
      <c r="K11" s="34"/>
      <c r="L11" s="34"/>
      <c r="M11" s="34"/>
      <c r="N11" s="34">
        <f>$C$31*'E Balans VL '!Y11/100/3.6*1000000</f>
        <v>1.6710901040247341</v>
      </c>
      <c r="O11" s="34"/>
      <c r="P11" s="34"/>
      <c r="R11" s="33"/>
    </row>
    <row r="12" spans="1:18">
      <c r="A12" s="33" t="s">
        <v>260</v>
      </c>
      <c r="B12" s="38">
        <f t="shared" si="0"/>
        <v>4233.0442413522305</v>
      </c>
      <c r="C12" s="34"/>
      <c r="D12" s="38">
        <f>IF(ISERROR(TER_rest_gas_kWh/1000),0,TER_rest_gas_kWh/1000)*0.902</f>
        <v>6147.9424824676953</v>
      </c>
      <c r="E12" s="34">
        <f>$C$32*'E Balans VL '!I8/100/3.6*1000000</f>
        <v>36.574944408240995</v>
      </c>
      <c r="F12" s="34">
        <f>$C$32*('E Balans VL '!L8+'E Balans VL '!N8)/100/3.6*1000000</f>
        <v>843.16893082203046</v>
      </c>
      <c r="G12" s="35"/>
      <c r="H12" s="34"/>
      <c r="I12" s="34"/>
      <c r="J12" s="34">
        <f>$C$32*('E Balans VL '!D8+'E Balans VL '!E8)/100/3.6*1000000</f>
        <v>0</v>
      </c>
      <c r="K12" s="34"/>
      <c r="L12" s="34"/>
      <c r="M12" s="34"/>
      <c r="N12" s="34">
        <f>$C$32*'E Balans VL '!Y8/100/3.6*1000000</f>
        <v>278.41957810005431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46501.844180598331</v>
      </c>
      <c r="C16" s="22">
        <f t="shared" ca="1" si="1"/>
        <v>0</v>
      </c>
      <c r="D16" s="22">
        <f t="shared" ca="1" si="1"/>
        <v>59437.795753216182</v>
      </c>
      <c r="E16" s="22">
        <f t="shared" si="1"/>
        <v>984.24816112339295</v>
      </c>
      <c r="F16" s="22">
        <f t="shared" ca="1" si="1"/>
        <v>9954.977042090035</v>
      </c>
      <c r="G16" s="22">
        <f t="shared" si="1"/>
        <v>0</v>
      </c>
      <c r="H16" s="22">
        <f t="shared" si="1"/>
        <v>0</v>
      </c>
      <c r="I16" s="22">
        <f t="shared" si="1"/>
        <v>0</v>
      </c>
      <c r="J16" s="22">
        <f t="shared" si="1"/>
        <v>0</v>
      </c>
      <c r="K16" s="22">
        <f t="shared" si="1"/>
        <v>0</v>
      </c>
      <c r="L16" s="22">
        <f t="shared" ca="1" si="1"/>
        <v>0</v>
      </c>
      <c r="M16" s="22">
        <f t="shared" si="1"/>
        <v>0</v>
      </c>
      <c r="N16" s="22">
        <f t="shared" ca="1" si="1"/>
        <v>4002.550383884623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0.21584010609291979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10036.962981456769</v>
      </c>
      <c r="C20" s="24">
        <f t="shared" ref="C20:P20" ca="1" si="2">C16*C18</f>
        <v>0</v>
      </c>
      <c r="D20" s="24">
        <f t="shared" ca="1" si="2"/>
        <v>12006.43474214967</v>
      </c>
      <c r="E20" s="24">
        <f t="shared" si="2"/>
        <v>223.4243325750102</v>
      </c>
      <c r="F20" s="24">
        <f t="shared" ca="1" si="2"/>
        <v>2657.9788702380397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7868.7930433855799</v>
      </c>
      <c r="C26" s="40">
        <f>IF(ISERROR(B26*3.6/1000000/'E Balans VL '!Z12*100),0,B26*3.6/1000000/'E Balans VL '!Z12*100)</f>
        <v>0.16720620921617571</v>
      </c>
      <c r="D26" s="240" t="s">
        <v>707</v>
      </c>
      <c r="F26" s="6"/>
    </row>
    <row r="27" spans="1:18">
      <c r="A27" s="234" t="s">
        <v>53</v>
      </c>
      <c r="B27" s="34">
        <f>IF(ISERROR(TER_horeca_ele_kWh/1000),0,TER_horeca_ele_kWh/1000)</f>
        <v>15872.7229576235</v>
      </c>
      <c r="C27" s="40">
        <f>IF(ISERROR(B27*3.6/1000000/'E Balans VL '!Z9*100),0,B27*3.6/1000000/'E Balans VL '!Z9*100)</f>
        <v>1.2493060399993052</v>
      </c>
      <c r="D27" s="240" t="s">
        <v>707</v>
      </c>
      <c r="F27" s="6"/>
    </row>
    <row r="28" spans="1:18">
      <c r="A28" s="174" t="s">
        <v>52</v>
      </c>
      <c r="B28" s="34">
        <f>IF(ISERROR(TER_handel_ele_kWh/1000),0,TER_handel_ele_kWh/1000)</f>
        <v>10769.0277064279</v>
      </c>
      <c r="C28" s="40">
        <f>IF(ISERROR(B28*3.6/1000000/'E Balans VL '!Z13*100),0,B28*3.6/1000000/'E Balans VL '!Z13*100)</f>
        <v>0.30164622941313834</v>
      </c>
      <c r="D28" s="240" t="s">
        <v>707</v>
      </c>
      <c r="F28" s="6"/>
    </row>
    <row r="29" spans="1:18">
      <c r="A29" s="234" t="s">
        <v>51</v>
      </c>
      <c r="B29" s="34">
        <f>IF(ISERROR(TER_gezond_ele_kWh/1000),0,TER_gezond_ele_kWh/1000)</f>
        <v>903.63023623405195</v>
      </c>
      <c r="C29" s="40">
        <f>IF(ISERROR(B29*3.6/1000000/'E Balans VL '!Z10*100),0,B29*3.6/1000000/'E Balans VL '!Z10*100)</f>
        <v>0.11560163189219418</v>
      </c>
      <c r="D29" s="240" t="s">
        <v>707</v>
      </c>
      <c r="F29" s="6"/>
    </row>
    <row r="30" spans="1:18">
      <c r="A30" s="234" t="s">
        <v>50</v>
      </c>
      <c r="B30" s="34">
        <f>IF(ISERROR(TER_ander_ele_kWh/1000),0,TER_ander_ele_kWh/1000)</f>
        <v>6340.8847731901697</v>
      </c>
      <c r="C30" s="40">
        <f>IF(ISERROR(B30*3.6/1000000/'E Balans VL '!Z14*100),0,B30*3.6/1000000/'E Balans VL '!Z14*100)</f>
        <v>0.47424475180617598</v>
      </c>
      <c r="D30" s="240" t="s">
        <v>707</v>
      </c>
      <c r="F30" s="6"/>
    </row>
    <row r="31" spans="1:18">
      <c r="A31" s="234" t="s">
        <v>55</v>
      </c>
      <c r="B31" s="34">
        <f>IF(ISERROR(TER_onderwijs_ele_kWh/1000),0,TER_onderwijs_ele_kWh/1000)</f>
        <v>513.74122238489394</v>
      </c>
      <c r="C31" s="40">
        <f>IF(ISERROR(B31*3.6/1000000/'E Balans VL '!Z11*100),0,B31*3.6/1000000/'E Balans VL '!Z11*100)</f>
        <v>0.10847712457155041</v>
      </c>
      <c r="D31" s="240" t="s">
        <v>707</v>
      </c>
    </row>
    <row r="32" spans="1:18">
      <c r="A32" s="234" t="s">
        <v>260</v>
      </c>
      <c r="B32" s="34">
        <f>IF(ISERROR(TER_rest_ele_kWh/1000),0,TER_rest_ele_kWh/1000)</f>
        <v>4233.0442413522305</v>
      </c>
      <c r="C32" s="40">
        <f>IF(ISERROR(B32*3.6/1000000/'E Balans VL '!Z8*100),0,B32*3.6/1000000/'E Balans VL '!Z8*100)</f>
        <v>3.4871530890260259E-2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2400.1774538371374</v>
      </c>
      <c r="C5" s="18">
        <f>IF(ISERROR('Eigen informatie GS &amp; warmtenet'!B59),0,'Eigen informatie GS &amp; warmtenet'!B59)</f>
        <v>0</v>
      </c>
      <c r="D5" s="31">
        <f>SUM(D6:D15)</f>
        <v>3045.3282146259526</v>
      </c>
      <c r="E5" s="18">
        <f>SUM(E6:E15)</f>
        <v>20.254377124709485</v>
      </c>
      <c r="F5" s="18">
        <f>SUM(F6:F15)</f>
        <v>1131.7642807296536</v>
      </c>
      <c r="G5" s="19"/>
      <c r="H5" s="18"/>
      <c r="I5" s="18"/>
      <c r="J5" s="18">
        <f>SUM(J6:J15)</f>
        <v>4.1630579151016018</v>
      </c>
      <c r="K5" s="18"/>
      <c r="L5" s="18"/>
      <c r="M5" s="18"/>
      <c r="N5" s="18">
        <f>SUM(N6:N15)</f>
        <v>140.55086251477402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164.05105200196101</v>
      </c>
      <c r="C8" s="34"/>
      <c r="D8" s="38">
        <f>IF( ISERROR(IND_metaal_Gas_kWH/1000),0,IND_metaal_Gas_kWH/1000)*0.902</f>
        <v>0</v>
      </c>
      <c r="E8" s="34">
        <f>C30*'E Balans VL '!I18/100/3.6*1000000</f>
        <v>1.4939833665555304</v>
      </c>
      <c r="F8" s="34">
        <f>C30*'E Balans VL '!L18/100/3.6*1000000+C30*'E Balans VL '!N18/100/3.6*1000000</f>
        <v>21.63708793397204</v>
      </c>
      <c r="G8" s="35"/>
      <c r="H8" s="34"/>
      <c r="I8" s="34"/>
      <c r="J8" s="41">
        <f>C30*'E Balans VL '!D18/100/3.6*1000000+C30*'E Balans VL '!E18/100/3.6*1000000</f>
        <v>2.6901990592817464</v>
      </c>
      <c r="K8" s="34"/>
      <c r="L8" s="34"/>
      <c r="M8" s="34"/>
      <c r="N8" s="34">
        <f>C30*'E Balans VL '!Y18/100/3.6*1000000</f>
        <v>0.56377829661750367</v>
      </c>
      <c r="O8" s="34"/>
      <c r="P8" s="34"/>
      <c r="R8" s="33"/>
    </row>
    <row r="9" spans="1:18">
      <c r="A9" s="6" t="s">
        <v>33</v>
      </c>
      <c r="B9" s="38">
        <f t="shared" si="0"/>
        <v>1218.88375961354</v>
      </c>
      <c r="C9" s="34"/>
      <c r="D9" s="38">
        <f>IF( ISERROR(IND_andere_gas_kWh/1000),0,IND_andere_gas_kWh/1000)*0.902</f>
        <v>1452.5562869060791</v>
      </c>
      <c r="E9" s="34">
        <f>C31*'E Balans VL '!I19/100/3.6*1000000</f>
        <v>7.0453302776782056</v>
      </c>
      <c r="F9" s="34">
        <f>C31*'E Balans VL '!L19/100/3.6*1000000+C31*'E Balans VL '!N19/100/3.6*1000000</f>
        <v>969.68068113820357</v>
      </c>
      <c r="G9" s="35"/>
      <c r="H9" s="34"/>
      <c r="I9" s="34"/>
      <c r="J9" s="41">
        <f>C31*'E Balans VL '!D19/100/3.6*1000000+C31*'E Balans VL '!E19/100/3.6*1000000</f>
        <v>0.11529286468211435</v>
      </c>
      <c r="K9" s="34"/>
      <c r="L9" s="34"/>
      <c r="M9" s="34"/>
      <c r="N9" s="34">
        <f>C31*'E Balans VL '!Y19/100/3.6*1000000</f>
        <v>92.348890533162518</v>
      </c>
      <c r="O9" s="34"/>
      <c r="P9" s="34"/>
      <c r="R9" s="33"/>
    </row>
    <row r="10" spans="1:18">
      <c r="A10" s="6" t="s">
        <v>41</v>
      </c>
      <c r="B10" s="38">
        <f t="shared" si="0"/>
        <v>667.69086563512803</v>
      </c>
      <c r="C10" s="34"/>
      <c r="D10" s="38">
        <f>IF( ISERROR(IND_voed_gas_kWh/1000),0,IND_voed_gas_kWh/1000)*0.902</f>
        <v>534.42984541419696</v>
      </c>
      <c r="E10" s="34">
        <f>C32*'E Balans VL '!I20/100/3.6*1000000</f>
        <v>6.5651479895292582</v>
      </c>
      <c r="F10" s="34">
        <f>C32*'E Balans VL '!L20/100/3.6*1000000+C32*'E Balans VL '!N20/100/3.6*1000000</f>
        <v>74.15578576021359</v>
      </c>
      <c r="G10" s="35"/>
      <c r="H10" s="34"/>
      <c r="I10" s="34"/>
      <c r="J10" s="41">
        <f>C32*'E Balans VL '!D20/100/3.6*1000000+C32*'E Balans VL '!E20/100/3.6*1000000</f>
        <v>2.631672814882005E-3</v>
      </c>
      <c r="K10" s="34"/>
      <c r="L10" s="34"/>
      <c r="M10" s="34"/>
      <c r="N10" s="34">
        <f>C32*'E Balans VL '!Y20/100/3.6*1000000</f>
        <v>9.8869311455895872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80.115272289985697</v>
      </c>
      <c r="C13" s="34"/>
      <c r="D13" s="38">
        <f>IF( ISERROR(IND_papier_gas_kWh/1000),0,IND_papier_gas_kWh/1000)*0.902</f>
        <v>19.658213455748804</v>
      </c>
      <c r="E13" s="34">
        <f>C35*'E Balans VL '!I23/100/3.6*1000000</f>
        <v>2.7288423338317216</v>
      </c>
      <c r="F13" s="34">
        <f>C35*'E Balans VL '!L23/100/3.6*1000000+C35*'E Balans VL '!N23/100/3.6*1000000</f>
        <v>13.233162717338763</v>
      </c>
      <c r="G13" s="35"/>
      <c r="H13" s="34"/>
      <c r="I13" s="34"/>
      <c r="J13" s="41">
        <f>C35*'E Balans VL '!D23/100/3.6*1000000+C35*'E Balans VL '!E23/100/3.6*1000000</f>
        <v>0</v>
      </c>
      <c r="K13" s="34"/>
      <c r="L13" s="34"/>
      <c r="M13" s="34"/>
      <c r="N13" s="34">
        <f>C35*'E Balans VL '!Y23/100/3.6*1000000</f>
        <v>29.480271677665687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269.43650429652297</v>
      </c>
      <c r="C15" s="34"/>
      <c r="D15" s="38">
        <f>IF( ISERROR(IND_rest_gas_kWh/1000),0,IND_rest_gas_kWh/1000)*0.902</f>
        <v>1038.6838688499276</v>
      </c>
      <c r="E15" s="34">
        <f>C37*'E Balans VL '!I15/100/3.6*1000000</f>
        <v>2.4210731571147699</v>
      </c>
      <c r="F15" s="34">
        <f>C37*'E Balans VL '!L15/100/3.6*1000000+C37*'E Balans VL '!N15/100/3.6*1000000</f>
        <v>53.057563179925602</v>
      </c>
      <c r="G15" s="35"/>
      <c r="H15" s="34"/>
      <c r="I15" s="34"/>
      <c r="J15" s="41">
        <f>C37*'E Balans VL '!D15/100/3.6*1000000+C37*'E Balans VL '!E15/100/3.6*1000000</f>
        <v>1.3549343183228588</v>
      </c>
      <c r="K15" s="34"/>
      <c r="L15" s="34"/>
      <c r="M15" s="34"/>
      <c r="N15" s="34">
        <f>C37*'E Balans VL '!Y15/100/3.6*1000000</f>
        <v>8.2709908617387509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2400.1774538371374</v>
      </c>
      <c r="C18" s="22">
        <f>C5+C16</f>
        <v>0</v>
      </c>
      <c r="D18" s="22">
        <f>MAX((D5+D16),0)</f>
        <v>3045.3282146259526</v>
      </c>
      <c r="E18" s="22">
        <f>MAX((E5+E16),0)</f>
        <v>20.254377124709485</v>
      </c>
      <c r="F18" s="22">
        <f>MAX((F5+F16),0)</f>
        <v>1131.7642807296536</v>
      </c>
      <c r="G18" s="22"/>
      <c r="H18" s="22"/>
      <c r="I18" s="22"/>
      <c r="J18" s="22">
        <f>MAX((J5+J16),0)</f>
        <v>4.1630579151016018</v>
      </c>
      <c r="K18" s="22"/>
      <c r="L18" s="22">
        <f>MAX((L5+L16),0)</f>
        <v>0</v>
      </c>
      <c r="M18" s="22"/>
      <c r="N18" s="22">
        <f>MAX((N5+N16),0)</f>
        <v>140.55086251477402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0.21584010609291979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518.05455627804179</v>
      </c>
      <c r="C22" s="24">
        <f ca="1">C18*C20</f>
        <v>0</v>
      </c>
      <c r="D22" s="24">
        <f>D18*D20</f>
        <v>615.15629935444247</v>
      </c>
      <c r="E22" s="24">
        <f>E18*E20</f>
        <v>4.5977436073090532</v>
      </c>
      <c r="F22" s="24">
        <f>F18*F20</f>
        <v>302.18106295481755</v>
      </c>
      <c r="G22" s="24"/>
      <c r="H22" s="24"/>
      <c r="I22" s="24"/>
      <c r="J22" s="24">
        <f>J18*J20</f>
        <v>1.473722501945967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164.05105200196101</v>
      </c>
      <c r="C30" s="40">
        <f>IF(ISERROR(B30*3.6/1000000/'E Balans VL '!Z18*100),0,B30*3.6/1000000/'E Balans VL '!Z18*100)</f>
        <v>9.1283440439363685E-3</v>
      </c>
      <c r="D30" s="240" t="s">
        <v>707</v>
      </c>
    </row>
    <row r="31" spans="1:18">
      <c r="A31" s="6" t="s">
        <v>33</v>
      </c>
      <c r="B31" s="38">
        <f>IF( ISERROR(IND_ander_ele_kWh/1000),0,IND_ander_ele_kWh/1000)</f>
        <v>1218.88375961354</v>
      </c>
      <c r="C31" s="40">
        <f>IF(ISERROR(B31*3.6/1000000/'E Balans VL '!Z19*100),0,B31*3.6/1000000/'E Balans VL '!Z19*100)</f>
        <v>5.6662704826704671E-2</v>
      </c>
      <c r="D31" s="240" t="s">
        <v>707</v>
      </c>
    </row>
    <row r="32" spans="1:18">
      <c r="A32" s="174" t="s">
        <v>41</v>
      </c>
      <c r="B32" s="38">
        <f>IF( ISERROR(IND_voed_ele_kWh/1000),0,IND_voed_ele_kWh/1000)</f>
        <v>667.69086563512803</v>
      </c>
      <c r="C32" s="40">
        <f>IF(ISERROR(B32*3.6/1000000/'E Balans VL '!Z20*100),0,B32*3.6/1000000/'E Balans VL '!Z20*100)</f>
        <v>2.3601523641390801E-2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80.115272289985697</v>
      </c>
      <c r="C35" s="40">
        <f>IF(ISERROR(B35*3.6/1000000/'E Balans VL '!Z22*100),0,B35*3.6/1000000/'E Balans VL '!Z22*100)</f>
        <v>1.610091055593272E-2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269.43650429652297</v>
      </c>
      <c r="C37" s="40">
        <f>IF(ISERROR(B37*3.6/1000000/'E Balans VL '!Z15*100),0,B37*3.6/1000000/'E Balans VL '!Z15*100)</f>
        <v>2.0346436253418586E-3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411.02122569683911</v>
      </c>
      <c r="C5" s="18">
        <f>'Eigen informatie GS &amp; warmtenet'!B60</f>
        <v>0</v>
      </c>
      <c r="D5" s="31">
        <f>IF(ISERROR(SUM(LB_lb_gas_kWh,LB_rest_gas_kWh)/1000),0,SUM(LB_lb_gas_kWh,LB_rest_gas_kWh)/1000)*0.902</f>
        <v>92.53635239197807</v>
      </c>
      <c r="E5" s="18">
        <f>B17*'E Balans VL '!I25/3.6*1000000/100</f>
        <v>3.872095339319193</v>
      </c>
      <c r="F5" s="18">
        <f>B17*('E Balans VL '!L25/3.6*1000000+'E Balans VL '!N25/3.6*1000000)/100</f>
        <v>1341.2986654139779</v>
      </c>
      <c r="G5" s="19"/>
      <c r="H5" s="18"/>
      <c r="I5" s="18"/>
      <c r="J5" s="18">
        <f>('E Balans VL '!D25+'E Balans VL '!E25)/3.6*1000000*landbouw!B17/100</f>
        <v>50.845324825556766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411.02122569683911</v>
      </c>
      <c r="C8" s="22">
        <f>C5+C6</f>
        <v>0</v>
      </c>
      <c r="D8" s="22">
        <f>MAX((D5+D6),0)</f>
        <v>92.53635239197807</v>
      </c>
      <c r="E8" s="22">
        <f>MAX((E5+E6),0)</f>
        <v>3.872095339319193</v>
      </c>
      <c r="F8" s="22">
        <f>MAX((F5+F6),0)</f>
        <v>1341.2986654139779</v>
      </c>
      <c r="G8" s="22"/>
      <c r="H8" s="22"/>
      <c r="I8" s="22"/>
      <c r="J8" s="22">
        <f>MAX((J5+J6),0)</f>
        <v>50.845324825556766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0.21584010609291979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88.714864960847677</v>
      </c>
      <c r="C12" s="24">
        <f ca="1">C8*C10</f>
        <v>0</v>
      </c>
      <c r="D12" s="24">
        <f>D8*D10</f>
        <v>18.69234318317957</v>
      </c>
      <c r="E12" s="24">
        <f>E8*E10</f>
        <v>0.87896564202545679</v>
      </c>
      <c r="F12" s="24">
        <f>F8*F10</f>
        <v>358.1267436655321</v>
      </c>
      <c r="G12" s="24"/>
      <c r="H12" s="24"/>
      <c r="I12" s="24"/>
      <c r="J12" s="24">
        <f>J8*J10</f>
        <v>17.999244988247096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5.5645706050121535E-2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69.411430214969116</v>
      </c>
      <c r="C26" s="250">
        <f>B26*'GWP N2O_CH4'!B5</f>
        <v>1457.6400345143513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41.749888481394478</v>
      </c>
      <c r="C27" s="250">
        <f>B27*'GWP N2O_CH4'!B5</f>
        <v>876.74765810928409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1.0533794204877938</v>
      </c>
      <c r="C28" s="250">
        <f>B28*'GWP N2O_CH4'!B4</f>
        <v>326.54762035121604</v>
      </c>
      <c r="D28" s="51"/>
    </row>
    <row r="29" spans="1:4">
      <c r="A29" s="42" t="s">
        <v>277</v>
      </c>
      <c r="B29" s="250">
        <f>B34*'ha_N2O bodem landbouw'!B4</f>
        <v>5.9069557587844406</v>
      </c>
      <c r="C29" s="250">
        <f>B29*'GWP N2O_CH4'!B4</f>
        <v>1831.1562852231766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1.5946921023283101E-3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2.5859795032848197E-6</v>
      </c>
      <c r="C5" s="447" t="s">
        <v>211</v>
      </c>
      <c r="D5" s="432">
        <f>SUM(D6:D11)</f>
        <v>6.893316934326878E-6</v>
      </c>
      <c r="E5" s="432">
        <f>SUM(E6:E11)</f>
        <v>4.0220338665609772E-4</v>
      </c>
      <c r="F5" s="445" t="s">
        <v>211</v>
      </c>
      <c r="G5" s="432">
        <f>SUM(G6:G11)</f>
        <v>8.7516978931813441E-2</v>
      </c>
      <c r="H5" s="432">
        <f>SUM(H6:H11)</f>
        <v>1.5367352289198884E-2</v>
      </c>
      <c r="I5" s="447" t="s">
        <v>211</v>
      </c>
      <c r="J5" s="447" t="s">
        <v>211</v>
      </c>
      <c r="K5" s="447" t="s">
        <v>211</v>
      </c>
      <c r="L5" s="447" t="s">
        <v>211</v>
      </c>
      <c r="M5" s="432">
        <f>SUM(M6:M11)</f>
        <v>4.6001126381719189E-3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2.2877848156979823E-6</v>
      </c>
      <c r="C6" s="433"/>
      <c r="D6" s="433">
        <f>vkm_2011_GW_PW*SUMIFS(TableVerdeelsleutelVkm[CNG],TableVerdeelsleutelVkm[Voertuigtype],"Lichte voertuigen")*SUMIFS(TableECFTransport[EnergieConsumptieFactor (PJ per km)],TableECFTransport[Index],CONCATENATE($A6,"_CNG_CNG"))</f>
        <v>5.5868088337103106E-6</v>
      </c>
      <c r="E6" s="435">
        <f>vkm_2011_GW_PW*SUMIFS(TableVerdeelsleutelVkm[LPG],TableVerdeelsleutelVkm[Voertuigtype],"Lichte voertuigen")*SUMIFS(TableECFTransport[EnergieConsumptieFactor (PJ per km)],TableECFTransport[Index],CONCATENATE($A6,"_LPG_LPG"))</f>
        <v>3.3115715581073741E-4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4.7872662431825044E-2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1.2546049467266715E-2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2.7056611867237981E-3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2.3492636732207622E-2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9.4783630205248545E-6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1.0465896978489391E-3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2.9819468758683756E-7</v>
      </c>
      <c r="C8" s="433"/>
      <c r="D8" s="435">
        <f>vkm_2011_NGW_PW*SUMIFS(TableVerdeelsleutelVkm[CNG],TableVerdeelsleutelVkm[Voertuigtype],"Lichte voertuigen")*SUMIFS(TableECFTransport[EnergieConsumptieFactor (PJ per km)],TableECFTransport[Index],CONCATENATE($A8,"_CNG_CNG"))</f>
        <v>1.3065081006165672E-6</v>
      </c>
      <c r="E8" s="435">
        <f>vkm_2011_NGW_PW*SUMIFS(TableVerdeelsleutelVkm[LPG],TableVerdeelsleutelVkm[Voertuigtype],"Lichte voertuigen")*SUMIFS(TableECFTransport[EnergieConsumptieFactor (PJ per km)],TableECFTransport[Index],CONCATENATE($A8,"_LPG_LPG"))</f>
        <v>7.104623084536028E-5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9.7024514969163787E-3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2.8095588983678699E-3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5.6056601816344923E-4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6.4492282708643938E-3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2.2655605437749484E-6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2.8729573543573235E-4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0.71832763980133885</v>
      </c>
      <c r="C14" s="22"/>
      <c r="D14" s="22">
        <f t="shared" ref="D14:M14" si="0">((D5)*10^9/3600)+D12</f>
        <v>1.9148102595352439</v>
      </c>
      <c r="E14" s="22">
        <f t="shared" si="0"/>
        <v>111.72316296002714</v>
      </c>
      <c r="F14" s="22"/>
      <c r="G14" s="22">
        <f t="shared" si="0"/>
        <v>24310.27192550373</v>
      </c>
      <c r="H14" s="22">
        <f t="shared" si="0"/>
        <v>4268.7089692219124</v>
      </c>
      <c r="I14" s="22"/>
      <c r="J14" s="22"/>
      <c r="K14" s="22"/>
      <c r="L14" s="22"/>
      <c r="M14" s="22">
        <f t="shared" si="0"/>
        <v>1277.8090661588662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0.21584010609291979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0.15504391398419765</v>
      </c>
      <c r="C18" s="24"/>
      <c r="D18" s="24">
        <f t="shared" ref="D18:M18" si="1">D14*D16</f>
        <v>0.38679167242611928</v>
      </c>
      <c r="E18" s="24">
        <f t="shared" si="1"/>
        <v>25.361157991926163</v>
      </c>
      <c r="F18" s="24"/>
      <c r="G18" s="24">
        <f t="shared" si="1"/>
        <v>6490.8426041094963</v>
      </c>
      <c r="H18" s="24">
        <f t="shared" si="1"/>
        <v>1062.9085333362561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2.9086548788043228E-3</v>
      </c>
      <c r="C50" s="323">
        <f t="shared" ref="C50:P50" si="2">SUM(C51:C52)</f>
        <v>0</v>
      </c>
      <c r="D50" s="323">
        <f t="shared" si="2"/>
        <v>0</v>
      </c>
      <c r="E50" s="323">
        <f t="shared" si="2"/>
        <v>0</v>
      </c>
      <c r="F50" s="323">
        <f t="shared" si="2"/>
        <v>0</v>
      </c>
      <c r="G50" s="323">
        <f t="shared" si="2"/>
        <v>1.3024635961087227E-3</v>
      </c>
      <c r="H50" s="323">
        <f t="shared" si="2"/>
        <v>0</v>
      </c>
      <c r="I50" s="323">
        <f t="shared" si="2"/>
        <v>0</v>
      </c>
      <c r="J50" s="323">
        <f t="shared" si="2"/>
        <v>0</v>
      </c>
      <c r="K50" s="323">
        <f t="shared" si="2"/>
        <v>0</v>
      </c>
      <c r="L50" s="323">
        <f t="shared" si="2"/>
        <v>0</v>
      </c>
      <c r="M50" s="323">
        <f t="shared" si="2"/>
        <v>5.7193325053229822E-5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1.3024635961087227E-3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5.7193325053229822E-5</v>
      </c>
      <c r="N51" s="325"/>
      <c r="O51" s="325"/>
      <c r="P51" s="328"/>
    </row>
    <row r="52" spans="1:18">
      <c r="A52" s="4" t="s">
        <v>330</v>
      </c>
      <c r="B52" s="329">
        <f>vkm_2011_tram*SUMIFS(TableECFTransport[EnergieConsumptieFactor (PJ per km)],TableECFTransport[Index],"Tram_gemiddeld_Electric_Electric")</f>
        <v>2.9086548788043228E-3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807.9596885567563</v>
      </c>
      <c r="C54" s="22">
        <f t="shared" ref="C54:P54" si="3">(C50)*10^9/3600</f>
        <v>0</v>
      </c>
      <c r="D54" s="22">
        <f t="shared" si="3"/>
        <v>0</v>
      </c>
      <c r="E54" s="22">
        <f t="shared" si="3"/>
        <v>0</v>
      </c>
      <c r="F54" s="22">
        <f t="shared" si="3"/>
        <v>0</v>
      </c>
      <c r="G54" s="22">
        <f t="shared" si="3"/>
        <v>361.7954433635341</v>
      </c>
      <c r="H54" s="22">
        <f t="shared" si="3"/>
        <v>0</v>
      </c>
      <c r="I54" s="22">
        <f t="shared" si="3"/>
        <v>0</v>
      </c>
      <c r="J54" s="22">
        <f t="shared" si="3"/>
        <v>0</v>
      </c>
      <c r="K54" s="22">
        <f t="shared" si="3"/>
        <v>0</v>
      </c>
      <c r="L54" s="22">
        <f t="shared" si="3"/>
        <v>0</v>
      </c>
      <c r="M54" s="22">
        <f t="shared" si="3"/>
        <v>15.887034737008284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0.21584010609291979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174.39010489689272</v>
      </c>
      <c r="C58" s="24">
        <f t="shared" ref="C58:P58" ca="1" si="4">C54*C56</f>
        <v>0</v>
      </c>
      <c r="D58" s="24">
        <f t="shared" si="4"/>
        <v>0</v>
      </c>
      <c r="E58" s="24">
        <f t="shared" si="4"/>
        <v>0</v>
      </c>
      <c r="F58" s="24">
        <f t="shared" si="4"/>
        <v>0</v>
      </c>
      <c r="G58" s="24">
        <f t="shared" si="4"/>
        <v>96.599383378063607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48274.596180598332</v>
      </c>
      <c r="D10" s="688">
        <f ca="1">tertiair!C16</f>
        <v>0</v>
      </c>
      <c r="E10" s="688">
        <f ca="1">tertiair!D16</f>
        <v>59437.795753216182</v>
      </c>
      <c r="F10" s="688">
        <f>tertiair!E16</f>
        <v>984.24816112339295</v>
      </c>
      <c r="G10" s="688">
        <f ca="1">tertiair!F16</f>
        <v>9954.977042090035</v>
      </c>
      <c r="H10" s="688">
        <f>tertiair!G16</f>
        <v>0</v>
      </c>
      <c r="I10" s="688">
        <f>tertiair!H16</f>
        <v>0</v>
      </c>
      <c r="J10" s="688">
        <f>tertiair!I16</f>
        <v>0</v>
      </c>
      <c r="K10" s="688">
        <f>tertiair!J16</f>
        <v>0</v>
      </c>
      <c r="L10" s="688">
        <f>tertiair!K16</f>
        <v>0</v>
      </c>
      <c r="M10" s="688">
        <f ca="1">tertiair!L16</f>
        <v>0</v>
      </c>
      <c r="N10" s="688">
        <f>tertiair!M16</f>
        <v>0</v>
      </c>
      <c r="O10" s="688">
        <f ca="1">tertiair!N16</f>
        <v>4002.550383884623</v>
      </c>
      <c r="P10" s="688">
        <f>tertiair!O16</f>
        <v>0</v>
      </c>
      <c r="Q10" s="689">
        <f>tertiair!P16</f>
        <v>0</v>
      </c>
      <c r="R10" s="691">
        <f ca="1">SUM(C10:Q10)</f>
        <v>122654.16752091255</v>
      </c>
      <c r="S10" s="68"/>
    </row>
    <row r="11" spans="1:19" s="457" customFormat="1">
      <c r="A11" s="803" t="s">
        <v>225</v>
      </c>
      <c r="B11" s="808"/>
      <c r="C11" s="688">
        <f>huishoudens!B8</f>
        <v>41312.917582610688</v>
      </c>
      <c r="D11" s="688">
        <f>huishoudens!C8</f>
        <v>0</v>
      </c>
      <c r="E11" s="688">
        <f>huishoudens!D8</f>
        <v>111353.64419645289</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53.153333333333336</v>
      </c>
      <c r="Q11" s="689">
        <f>huishoudens!P8</f>
        <v>38.133333333333333</v>
      </c>
      <c r="R11" s="691">
        <f>SUM(C11:Q11)</f>
        <v>152757.84844573023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2400.1774538371374</v>
      </c>
      <c r="D13" s="688">
        <f>industrie!C18</f>
        <v>0</v>
      </c>
      <c r="E13" s="688">
        <f>industrie!D18</f>
        <v>3045.3282146259526</v>
      </c>
      <c r="F13" s="688">
        <f>industrie!E18</f>
        <v>20.254377124709485</v>
      </c>
      <c r="G13" s="688">
        <f>industrie!F18</f>
        <v>1131.7642807296536</v>
      </c>
      <c r="H13" s="688">
        <f>industrie!G18</f>
        <v>0</v>
      </c>
      <c r="I13" s="688">
        <f>industrie!H18</f>
        <v>0</v>
      </c>
      <c r="J13" s="688">
        <f>industrie!I18</f>
        <v>0</v>
      </c>
      <c r="K13" s="688">
        <f>industrie!J18</f>
        <v>4.1630579151016018</v>
      </c>
      <c r="L13" s="688">
        <f>industrie!K18</f>
        <v>0</v>
      </c>
      <c r="M13" s="688">
        <f>industrie!L18</f>
        <v>0</v>
      </c>
      <c r="N13" s="688">
        <f>industrie!M18</f>
        <v>0</v>
      </c>
      <c r="O13" s="688">
        <f>industrie!N18</f>
        <v>140.55086251477402</v>
      </c>
      <c r="P13" s="688">
        <f>industrie!O18</f>
        <v>0</v>
      </c>
      <c r="Q13" s="689">
        <f>industrie!P18</f>
        <v>0</v>
      </c>
      <c r="R13" s="691">
        <f>SUM(C13:Q13)</f>
        <v>6742.238246747328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91987.691217046158</v>
      </c>
      <c r="D16" s="721">
        <f t="shared" ref="D16:R16" ca="1" si="0">SUM(D9:D15)</f>
        <v>0</v>
      </c>
      <c r="E16" s="721">
        <f t="shared" ca="1" si="0"/>
        <v>173836.768164295</v>
      </c>
      <c r="F16" s="721">
        <f t="shared" si="0"/>
        <v>1004.5025382481024</v>
      </c>
      <c r="G16" s="721">
        <f t="shared" ca="1" si="0"/>
        <v>11086.741322819689</v>
      </c>
      <c r="H16" s="721">
        <f t="shared" si="0"/>
        <v>0</v>
      </c>
      <c r="I16" s="721">
        <f t="shared" si="0"/>
        <v>0</v>
      </c>
      <c r="J16" s="721">
        <f t="shared" si="0"/>
        <v>0</v>
      </c>
      <c r="K16" s="721">
        <f t="shared" si="0"/>
        <v>4.1630579151016018</v>
      </c>
      <c r="L16" s="721">
        <f t="shared" si="0"/>
        <v>0</v>
      </c>
      <c r="M16" s="721">
        <f t="shared" ca="1" si="0"/>
        <v>0</v>
      </c>
      <c r="N16" s="721">
        <f t="shared" si="0"/>
        <v>0</v>
      </c>
      <c r="O16" s="721">
        <f t="shared" ca="1" si="0"/>
        <v>4143.1012463993966</v>
      </c>
      <c r="P16" s="721">
        <f t="shared" si="0"/>
        <v>53.153333333333336</v>
      </c>
      <c r="Q16" s="721">
        <f t="shared" si="0"/>
        <v>38.133333333333333</v>
      </c>
      <c r="R16" s="721">
        <f t="shared" ca="1" si="0"/>
        <v>282154.25421339012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807.9596885567563</v>
      </c>
      <c r="D19" s="688">
        <f>transport!C54</f>
        <v>0</v>
      </c>
      <c r="E19" s="688">
        <f>transport!D54</f>
        <v>0</v>
      </c>
      <c r="F19" s="688">
        <f>transport!E54</f>
        <v>0</v>
      </c>
      <c r="G19" s="688">
        <f>transport!F54</f>
        <v>0</v>
      </c>
      <c r="H19" s="688">
        <f>transport!G54</f>
        <v>361.7954433635341</v>
      </c>
      <c r="I19" s="688">
        <f>transport!H54</f>
        <v>0</v>
      </c>
      <c r="J19" s="688">
        <f>transport!I54</f>
        <v>0</v>
      </c>
      <c r="K19" s="688">
        <f>transport!J54</f>
        <v>0</v>
      </c>
      <c r="L19" s="688">
        <f>transport!K54</f>
        <v>0</v>
      </c>
      <c r="M19" s="688">
        <f>transport!L54</f>
        <v>0</v>
      </c>
      <c r="N19" s="688">
        <f>transport!M54</f>
        <v>15.887034737008284</v>
      </c>
      <c r="O19" s="688">
        <f>transport!N54</f>
        <v>0</v>
      </c>
      <c r="P19" s="688">
        <f>transport!O54</f>
        <v>0</v>
      </c>
      <c r="Q19" s="689">
        <f>transport!P54</f>
        <v>0</v>
      </c>
      <c r="R19" s="691">
        <f>SUM(C19:Q19)</f>
        <v>1185.6421666572985</v>
      </c>
      <c r="S19" s="68"/>
    </row>
    <row r="20" spans="1:19" s="457" customFormat="1">
      <c r="A20" s="803" t="s">
        <v>307</v>
      </c>
      <c r="B20" s="808"/>
      <c r="C20" s="688">
        <f>transport!B14</f>
        <v>0.71832763980133885</v>
      </c>
      <c r="D20" s="688">
        <f>transport!C14</f>
        <v>0</v>
      </c>
      <c r="E20" s="688">
        <f>transport!D14</f>
        <v>1.9148102595352439</v>
      </c>
      <c r="F20" s="688">
        <f>transport!E14</f>
        <v>111.72316296002714</v>
      </c>
      <c r="G20" s="688">
        <f>transport!F14</f>
        <v>0</v>
      </c>
      <c r="H20" s="688">
        <f>transport!G14</f>
        <v>24310.27192550373</v>
      </c>
      <c r="I20" s="688">
        <f>transport!H14</f>
        <v>4268.7089692219124</v>
      </c>
      <c r="J20" s="688">
        <f>transport!I14</f>
        <v>0</v>
      </c>
      <c r="K20" s="688">
        <f>transport!J14</f>
        <v>0</v>
      </c>
      <c r="L20" s="688">
        <f>transport!K14</f>
        <v>0</v>
      </c>
      <c r="M20" s="688">
        <f>transport!L14</f>
        <v>0</v>
      </c>
      <c r="N20" s="688">
        <f>transport!M14</f>
        <v>1277.8090661588662</v>
      </c>
      <c r="O20" s="688">
        <f>transport!N14</f>
        <v>0</v>
      </c>
      <c r="P20" s="688">
        <f>transport!O14</f>
        <v>0</v>
      </c>
      <c r="Q20" s="689">
        <f>transport!P14</f>
        <v>0</v>
      </c>
      <c r="R20" s="691">
        <f>SUM(C20:Q20)</f>
        <v>29971.14626174387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808.67801619655768</v>
      </c>
      <c r="D22" s="806">
        <f t="shared" ref="D22:R22" si="1">SUM(D18:D21)</f>
        <v>0</v>
      </c>
      <c r="E22" s="806">
        <f t="shared" si="1"/>
        <v>1.9148102595352439</v>
      </c>
      <c r="F22" s="806">
        <f t="shared" si="1"/>
        <v>111.72316296002714</v>
      </c>
      <c r="G22" s="806">
        <f t="shared" si="1"/>
        <v>0</v>
      </c>
      <c r="H22" s="806">
        <f t="shared" si="1"/>
        <v>24672.067368867265</v>
      </c>
      <c r="I22" s="806">
        <f t="shared" si="1"/>
        <v>4268.7089692219124</v>
      </c>
      <c r="J22" s="806">
        <f t="shared" si="1"/>
        <v>0</v>
      </c>
      <c r="K22" s="806">
        <f t="shared" si="1"/>
        <v>0</v>
      </c>
      <c r="L22" s="806">
        <f t="shared" si="1"/>
        <v>0</v>
      </c>
      <c r="M22" s="806">
        <f t="shared" si="1"/>
        <v>0</v>
      </c>
      <c r="N22" s="806">
        <f t="shared" si="1"/>
        <v>1293.6961008958745</v>
      </c>
      <c r="O22" s="806">
        <f t="shared" si="1"/>
        <v>0</v>
      </c>
      <c r="P22" s="806">
        <f t="shared" si="1"/>
        <v>0</v>
      </c>
      <c r="Q22" s="806">
        <f t="shared" si="1"/>
        <v>0</v>
      </c>
      <c r="R22" s="806">
        <f t="shared" si="1"/>
        <v>31156.788428401167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411.02122569683911</v>
      </c>
      <c r="D24" s="688">
        <f>+landbouw!C8</f>
        <v>0</v>
      </c>
      <c r="E24" s="688">
        <f>+landbouw!D8</f>
        <v>92.53635239197807</v>
      </c>
      <c r="F24" s="688">
        <f>+landbouw!E8</f>
        <v>3.872095339319193</v>
      </c>
      <c r="G24" s="688">
        <f>+landbouw!F8</f>
        <v>1341.2986654139779</v>
      </c>
      <c r="H24" s="688">
        <f>+landbouw!G8</f>
        <v>0</v>
      </c>
      <c r="I24" s="688">
        <f>+landbouw!H8</f>
        <v>0</v>
      </c>
      <c r="J24" s="688">
        <f>+landbouw!I8</f>
        <v>0</v>
      </c>
      <c r="K24" s="688">
        <f>+landbouw!J8</f>
        <v>50.845324825556766</v>
      </c>
      <c r="L24" s="688">
        <f>+landbouw!K8</f>
        <v>0</v>
      </c>
      <c r="M24" s="688">
        <f>+landbouw!L8</f>
        <v>0</v>
      </c>
      <c r="N24" s="688">
        <f>+landbouw!M8</f>
        <v>0</v>
      </c>
      <c r="O24" s="688">
        <f>+landbouw!N8</f>
        <v>0</v>
      </c>
      <c r="P24" s="688">
        <f>+landbouw!O8</f>
        <v>0</v>
      </c>
      <c r="Q24" s="689">
        <f>+landbouw!P8</f>
        <v>0</v>
      </c>
      <c r="R24" s="691">
        <f>SUM(C24:Q24)</f>
        <v>1899.5736636676711</v>
      </c>
      <c r="S24" s="68"/>
    </row>
    <row r="25" spans="1:19" s="457" customFormat="1" ht="15" thickBot="1">
      <c r="A25" s="825" t="s">
        <v>912</v>
      </c>
      <c r="B25" s="1001"/>
      <c r="C25" s="1002">
        <f>IF(Onbekend_ele_kWh="---",0,Onbekend_ele_kWh)/1000+IF(REST_rest_ele_kWh="---",0,REST_rest_ele_kWh)/1000</f>
        <v>2182.9366909806399</v>
      </c>
      <c r="D25" s="1002"/>
      <c r="E25" s="1002">
        <f>IF(onbekend_gas_kWh="---",0,onbekend_gas_kWh)/1000+IF(REST_rest_gas_kWh="---",0,REST_rest_gas_kWh)/1000</f>
        <v>7965.3154177443894</v>
      </c>
      <c r="F25" s="1002"/>
      <c r="G25" s="1002"/>
      <c r="H25" s="1002"/>
      <c r="I25" s="1002"/>
      <c r="J25" s="1002"/>
      <c r="K25" s="1002"/>
      <c r="L25" s="1002"/>
      <c r="M25" s="1002"/>
      <c r="N25" s="1002"/>
      <c r="O25" s="1002"/>
      <c r="P25" s="1002"/>
      <c r="Q25" s="1003"/>
      <c r="R25" s="691">
        <f>SUM(C25:Q25)</f>
        <v>10148.25210872503</v>
      </c>
      <c r="S25" s="68"/>
    </row>
    <row r="26" spans="1:19" s="457" customFormat="1" ht="15.75" thickBot="1">
      <c r="A26" s="694" t="s">
        <v>913</v>
      </c>
      <c r="B26" s="811"/>
      <c r="C26" s="806">
        <f>SUM(C24:C25)</f>
        <v>2593.9579166774793</v>
      </c>
      <c r="D26" s="806">
        <f t="shared" ref="D26:R26" si="2">SUM(D24:D25)</f>
        <v>0</v>
      </c>
      <c r="E26" s="806">
        <f t="shared" si="2"/>
        <v>8057.8517701363671</v>
      </c>
      <c r="F26" s="806">
        <f t="shared" si="2"/>
        <v>3.872095339319193</v>
      </c>
      <c r="G26" s="806">
        <f t="shared" si="2"/>
        <v>1341.2986654139779</v>
      </c>
      <c r="H26" s="806">
        <f t="shared" si="2"/>
        <v>0</v>
      </c>
      <c r="I26" s="806">
        <f t="shared" si="2"/>
        <v>0</v>
      </c>
      <c r="J26" s="806">
        <f t="shared" si="2"/>
        <v>0</v>
      </c>
      <c r="K26" s="806">
        <f t="shared" si="2"/>
        <v>50.845324825556766</v>
      </c>
      <c r="L26" s="806">
        <f t="shared" si="2"/>
        <v>0</v>
      </c>
      <c r="M26" s="806">
        <f t="shared" si="2"/>
        <v>0</v>
      </c>
      <c r="N26" s="806">
        <f t="shared" si="2"/>
        <v>0</v>
      </c>
      <c r="O26" s="806">
        <f t="shared" si="2"/>
        <v>0</v>
      </c>
      <c r="P26" s="806">
        <f t="shared" si="2"/>
        <v>0</v>
      </c>
      <c r="Q26" s="806">
        <f t="shared" si="2"/>
        <v>0</v>
      </c>
      <c r="R26" s="806">
        <f t="shared" si="2"/>
        <v>12047.825772392702</v>
      </c>
      <c r="S26" s="68"/>
    </row>
    <row r="27" spans="1:19" s="457" customFormat="1" ht="17.25" thickTop="1" thickBot="1">
      <c r="A27" s="695" t="s">
        <v>116</v>
      </c>
      <c r="B27" s="798"/>
      <c r="C27" s="696">
        <f ca="1">C22+C16+C26</f>
        <v>95390.327149920195</v>
      </c>
      <c r="D27" s="696">
        <f t="shared" ref="D27:R27" ca="1" si="3">D22+D16+D26</f>
        <v>0</v>
      </c>
      <c r="E27" s="696">
        <f t="shared" ca="1" si="3"/>
        <v>181896.5347446909</v>
      </c>
      <c r="F27" s="696">
        <f t="shared" si="3"/>
        <v>1120.0977965474488</v>
      </c>
      <c r="G27" s="696">
        <f t="shared" ca="1" si="3"/>
        <v>12428.039988233668</v>
      </c>
      <c r="H27" s="696">
        <f t="shared" si="3"/>
        <v>24672.067368867265</v>
      </c>
      <c r="I27" s="696">
        <f t="shared" si="3"/>
        <v>4268.7089692219124</v>
      </c>
      <c r="J27" s="696">
        <f t="shared" si="3"/>
        <v>0</v>
      </c>
      <c r="K27" s="696">
        <f t="shared" si="3"/>
        <v>55.008382740658369</v>
      </c>
      <c r="L27" s="696">
        <f t="shared" si="3"/>
        <v>0</v>
      </c>
      <c r="M27" s="696">
        <f t="shared" ca="1" si="3"/>
        <v>0</v>
      </c>
      <c r="N27" s="696">
        <f t="shared" si="3"/>
        <v>1293.6961008958745</v>
      </c>
      <c r="O27" s="696">
        <f t="shared" ca="1" si="3"/>
        <v>4143.1012463993966</v>
      </c>
      <c r="P27" s="696">
        <f t="shared" si="3"/>
        <v>53.153333333333336</v>
      </c>
      <c r="Q27" s="696">
        <f t="shared" si="3"/>
        <v>38.133333333333333</v>
      </c>
      <c r="R27" s="696">
        <f t="shared" ca="1" si="3"/>
        <v>325358.86841418396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10419.593961213204</v>
      </c>
      <c r="D40" s="688">
        <f ca="1">tertiair!C20</f>
        <v>0</v>
      </c>
      <c r="E40" s="688">
        <f ca="1">tertiair!D20</f>
        <v>12006.43474214967</v>
      </c>
      <c r="F40" s="688">
        <f>tertiair!E20</f>
        <v>223.4243325750102</v>
      </c>
      <c r="G40" s="688">
        <f ca="1">tertiair!F20</f>
        <v>2657.9788702380397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25307.431906175923</v>
      </c>
    </row>
    <row r="41" spans="1:18">
      <c r="A41" s="816" t="s">
        <v>225</v>
      </c>
      <c r="B41" s="823"/>
      <c r="C41" s="688">
        <f ca="1">huishoudens!B12</f>
        <v>8916.9845140387424</v>
      </c>
      <c r="D41" s="688">
        <f ca="1">huishoudens!C12</f>
        <v>0</v>
      </c>
      <c r="E41" s="688">
        <f>huishoudens!D12</f>
        <v>22493.436127683486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31410.42064172223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518.05455627804179</v>
      </c>
      <c r="D43" s="688">
        <f ca="1">industrie!C22</f>
        <v>0</v>
      </c>
      <c r="E43" s="688">
        <f>industrie!D22</f>
        <v>615.15629935444247</v>
      </c>
      <c r="F43" s="688">
        <f>industrie!E22</f>
        <v>4.5977436073090532</v>
      </c>
      <c r="G43" s="688">
        <f>industrie!F22</f>
        <v>302.18106295481755</v>
      </c>
      <c r="H43" s="688">
        <f>industrie!G22</f>
        <v>0</v>
      </c>
      <c r="I43" s="688">
        <f>industrie!H22</f>
        <v>0</v>
      </c>
      <c r="J43" s="688">
        <f>industrie!I22</f>
        <v>0</v>
      </c>
      <c r="K43" s="688">
        <f>industrie!J22</f>
        <v>1.473722501945967</v>
      </c>
      <c r="L43" s="688">
        <f>industrie!K22</f>
        <v>0</v>
      </c>
      <c r="M43" s="688">
        <f>industrie!L22</f>
        <v>0</v>
      </c>
      <c r="N43" s="688">
        <f>industrie!M22</f>
        <v>0</v>
      </c>
      <c r="O43" s="688">
        <f>industrie!N22</f>
        <v>0</v>
      </c>
      <c r="P43" s="688">
        <f>industrie!O22</f>
        <v>0</v>
      </c>
      <c r="Q43" s="763">
        <f>industrie!P22</f>
        <v>0</v>
      </c>
      <c r="R43" s="843">
        <f t="shared" ca="1" si="4"/>
        <v>1441.4633846965569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19854.633031529989</v>
      </c>
      <c r="D46" s="721">
        <f t="shared" ref="D46:Q46" ca="1" si="5">SUM(D39:D45)</f>
        <v>0</v>
      </c>
      <c r="E46" s="721">
        <f t="shared" ca="1" si="5"/>
        <v>35115.027169187597</v>
      </c>
      <c r="F46" s="721">
        <f t="shared" si="5"/>
        <v>228.02207618231924</v>
      </c>
      <c r="G46" s="721">
        <f t="shared" ca="1" si="5"/>
        <v>2960.1599331928574</v>
      </c>
      <c r="H46" s="721">
        <f t="shared" si="5"/>
        <v>0</v>
      </c>
      <c r="I46" s="721">
        <f t="shared" si="5"/>
        <v>0</v>
      </c>
      <c r="J46" s="721">
        <f t="shared" si="5"/>
        <v>0</v>
      </c>
      <c r="K46" s="721">
        <f t="shared" si="5"/>
        <v>1.473722501945967</v>
      </c>
      <c r="L46" s="721">
        <f t="shared" si="5"/>
        <v>0</v>
      </c>
      <c r="M46" s="721">
        <f t="shared" ca="1" si="5"/>
        <v>0</v>
      </c>
      <c r="N46" s="721">
        <f t="shared" si="5"/>
        <v>0</v>
      </c>
      <c r="O46" s="721">
        <f t="shared" ca="1" si="5"/>
        <v>0</v>
      </c>
      <c r="P46" s="721">
        <f t="shared" si="5"/>
        <v>0</v>
      </c>
      <c r="Q46" s="721">
        <f t="shared" si="5"/>
        <v>0</v>
      </c>
      <c r="R46" s="721">
        <f ca="1">SUM(R39:R45)</f>
        <v>58159.315932594713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174.39010489689272</v>
      </c>
      <c r="D49" s="688">
        <f ca="1">transport!C58</f>
        <v>0</v>
      </c>
      <c r="E49" s="688">
        <f>transport!D58</f>
        <v>0</v>
      </c>
      <c r="F49" s="688">
        <f>transport!E58</f>
        <v>0</v>
      </c>
      <c r="G49" s="688">
        <f>transport!F58</f>
        <v>0</v>
      </c>
      <c r="H49" s="688">
        <f>transport!G58</f>
        <v>96.599383378063607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270.98948827495633</v>
      </c>
    </row>
    <row r="50" spans="1:18">
      <c r="A50" s="819" t="s">
        <v>307</v>
      </c>
      <c r="B50" s="829"/>
      <c r="C50" s="1008">
        <f ca="1">transport!B18</f>
        <v>0.15504391398419765</v>
      </c>
      <c r="D50" s="1008">
        <f>transport!C18</f>
        <v>0</v>
      </c>
      <c r="E50" s="1008">
        <f>transport!D18</f>
        <v>0.38679167242611928</v>
      </c>
      <c r="F50" s="1008">
        <f>transport!E18</f>
        <v>25.361157991926163</v>
      </c>
      <c r="G50" s="1008">
        <f>transport!F18</f>
        <v>0</v>
      </c>
      <c r="H50" s="1008">
        <f>transport!G18</f>
        <v>6490.8426041094963</v>
      </c>
      <c r="I50" s="1008">
        <f>transport!H18</f>
        <v>1062.9085333362561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7579.6541310240891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174.54514881087692</v>
      </c>
      <c r="D52" s="721">
        <f t="shared" ref="D52:Q52" ca="1" si="6">SUM(D48:D51)</f>
        <v>0</v>
      </c>
      <c r="E52" s="721">
        <f t="shared" si="6"/>
        <v>0.38679167242611928</v>
      </c>
      <c r="F52" s="721">
        <f t="shared" si="6"/>
        <v>25.361157991926163</v>
      </c>
      <c r="G52" s="721">
        <f t="shared" si="6"/>
        <v>0</v>
      </c>
      <c r="H52" s="721">
        <f t="shared" si="6"/>
        <v>6587.4419874875603</v>
      </c>
      <c r="I52" s="721">
        <f t="shared" si="6"/>
        <v>1062.9085333362561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7850.6436192990459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88.714864960847677</v>
      </c>
      <c r="D54" s="1008">
        <f ca="1">+landbouw!C12</f>
        <v>0</v>
      </c>
      <c r="E54" s="1008">
        <f>+landbouw!D12</f>
        <v>18.69234318317957</v>
      </c>
      <c r="F54" s="1008">
        <f>+landbouw!E12</f>
        <v>0.87896564202545679</v>
      </c>
      <c r="G54" s="1008">
        <f>+landbouw!F12</f>
        <v>358.1267436655321</v>
      </c>
      <c r="H54" s="1008">
        <f>+landbouw!G12</f>
        <v>0</v>
      </c>
      <c r="I54" s="1008">
        <f>+landbouw!H12</f>
        <v>0</v>
      </c>
      <c r="J54" s="1008">
        <f>+landbouw!I12</f>
        <v>0</v>
      </c>
      <c r="K54" s="1008">
        <f>+landbouw!J12</f>
        <v>17.999244988247096</v>
      </c>
      <c r="L54" s="1008">
        <f>+landbouw!K12</f>
        <v>0</v>
      </c>
      <c r="M54" s="1008">
        <f>+landbouw!L12</f>
        <v>0</v>
      </c>
      <c r="N54" s="1008">
        <f>+landbouw!M12</f>
        <v>0</v>
      </c>
      <c r="O54" s="1008">
        <f>+landbouw!N12</f>
        <v>0</v>
      </c>
      <c r="P54" s="1008">
        <f>+landbouw!O12</f>
        <v>0</v>
      </c>
      <c r="Q54" s="1009">
        <f>+landbouw!P12</f>
        <v>0</v>
      </c>
      <c r="R54" s="720">
        <f ca="1">SUM(C54:Q54)</f>
        <v>484.41216243983189</v>
      </c>
    </row>
    <row r="55" spans="1:18" ht="15" thickBot="1">
      <c r="A55" s="819" t="s">
        <v>912</v>
      </c>
      <c r="B55" s="829"/>
      <c r="C55" s="1008">
        <f ca="1">C25*'EF ele_warmte'!B12</f>
        <v>471.1652869753886</v>
      </c>
      <c r="D55" s="1008"/>
      <c r="E55" s="1008">
        <f>E25*EF_CO2_aardgas</f>
        <v>1608.9937143843667</v>
      </c>
      <c r="F55" s="1008"/>
      <c r="G55" s="1008"/>
      <c r="H55" s="1008"/>
      <c r="I55" s="1008"/>
      <c r="J55" s="1008"/>
      <c r="K55" s="1008"/>
      <c r="L55" s="1008"/>
      <c r="M55" s="1008"/>
      <c r="N55" s="1008"/>
      <c r="O55" s="1008"/>
      <c r="P55" s="1008"/>
      <c r="Q55" s="1009"/>
      <c r="R55" s="720">
        <f ca="1">SUM(C55:Q55)</f>
        <v>2080.1590013597552</v>
      </c>
    </row>
    <row r="56" spans="1:18" ht="15.75" thickBot="1">
      <c r="A56" s="817" t="s">
        <v>913</v>
      </c>
      <c r="B56" s="830"/>
      <c r="C56" s="721">
        <f ca="1">SUM(C54:C55)</f>
        <v>559.8801519362363</v>
      </c>
      <c r="D56" s="721">
        <f t="shared" ref="D56:Q56" ca="1" si="7">SUM(D54:D55)</f>
        <v>0</v>
      </c>
      <c r="E56" s="721">
        <f t="shared" si="7"/>
        <v>1627.6860575675464</v>
      </c>
      <c r="F56" s="721">
        <f t="shared" si="7"/>
        <v>0.87896564202545679</v>
      </c>
      <c r="G56" s="721">
        <f t="shared" si="7"/>
        <v>358.1267436655321</v>
      </c>
      <c r="H56" s="721">
        <f t="shared" si="7"/>
        <v>0</v>
      </c>
      <c r="I56" s="721">
        <f t="shared" si="7"/>
        <v>0</v>
      </c>
      <c r="J56" s="721">
        <f t="shared" si="7"/>
        <v>0</v>
      </c>
      <c r="K56" s="721">
        <f t="shared" si="7"/>
        <v>17.999244988247096</v>
      </c>
      <c r="L56" s="721">
        <f t="shared" si="7"/>
        <v>0</v>
      </c>
      <c r="M56" s="721">
        <f t="shared" si="7"/>
        <v>0</v>
      </c>
      <c r="N56" s="721">
        <f t="shared" si="7"/>
        <v>0</v>
      </c>
      <c r="O56" s="721">
        <f t="shared" si="7"/>
        <v>0</v>
      </c>
      <c r="P56" s="721">
        <f t="shared" si="7"/>
        <v>0</v>
      </c>
      <c r="Q56" s="722">
        <f t="shared" si="7"/>
        <v>0</v>
      </c>
      <c r="R56" s="723">
        <f ca="1">SUM(R54:R55)</f>
        <v>2564.5711637995869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20589.058332277102</v>
      </c>
      <c r="D61" s="729">
        <f t="shared" ref="D61:Q61" ca="1" si="8">D46+D52+D56</f>
        <v>0</v>
      </c>
      <c r="E61" s="729">
        <f t="shared" ca="1" si="8"/>
        <v>36743.100018427569</v>
      </c>
      <c r="F61" s="729">
        <f t="shared" si="8"/>
        <v>254.26219981627085</v>
      </c>
      <c r="G61" s="729">
        <f t="shared" ca="1" si="8"/>
        <v>3318.2866768583895</v>
      </c>
      <c r="H61" s="729">
        <f t="shared" si="8"/>
        <v>6587.4419874875603</v>
      </c>
      <c r="I61" s="729">
        <f t="shared" si="8"/>
        <v>1062.9085333362561</v>
      </c>
      <c r="J61" s="729">
        <f t="shared" si="8"/>
        <v>0</v>
      </c>
      <c r="K61" s="729">
        <f t="shared" si="8"/>
        <v>19.472967490193064</v>
      </c>
      <c r="L61" s="729">
        <f t="shared" si="8"/>
        <v>0</v>
      </c>
      <c r="M61" s="729">
        <f t="shared" ca="1" si="8"/>
        <v>0</v>
      </c>
      <c r="N61" s="729">
        <f t="shared" si="8"/>
        <v>0</v>
      </c>
      <c r="O61" s="729">
        <f t="shared" ca="1" si="8"/>
        <v>0</v>
      </c>
      <c r="P61" s="729">
        <f t="shared" si="8"/>
        <v>0</v>
      </c>
      <c r="Q61" s="729">
        <f t="shared" si="8"/>
        <v>0</v>
      </c>
      <c r="R61" s="729">
        <f ca="1">R46+R52+R56</f>
        <v>68574.530715693341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0.21584010609291979</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2227.1672753631651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2227.1672753631651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2227.1672753631651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2227.1672753631651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41312.917582610688</v>
      </c>
      <c r="C4" s="461">
        <f>huishoudens!C8</f>
        <v>0</v>
      </c>
      <c r="D4" s="461">
        <f>huishoudens!D8</f>
        <v>111353.64419645289</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53.153333333333336</v>
      </c>
      <c r="P4" s="462">
        <f>huishoudens!P8</f>
        <v>38.133333333333333</v>
      </c>
      <c r="Q4" s="463">
        <f>SUM(B4:P4)</f>
        <v>152757.84844573023</v>
      </c>
    </row>
    <row r="5" spans="1:17">
      <c r="A5" s="460" t="s">
        <v>156</v>
      </c>
      <c r="B5" s="461">
        <f ca="1">tertiair!B16</f>
        <v>46501.844180598331</v>
      </c>
      <c r="C5" s="461">
        <f ca="1">tertiair!C16</f>
        <v>0</v>
      </c>
      <c r="D5" s="461">
        <f ca="1">tertiair!D16</f>
        <v>59437.795753216182</v>
      </c>
      <c r="E5" s="461">
        <f>tertiair!E16</f>
        <v>984.24816112339295</v>
      </c>
      <c r="F5" s="461">
        <f ca="1">tertiair!F16</f>
        <v>9954.977042090035</v>
      </c>
      <c r="G5" s="461">
        <f>tertiair!G16</f>
        <v>0</v>
      </c>
      <c r="H5" s="461">
        <f>tertiair!H16</f>
        <v>0</v>
      </c>
      <c r="I5" s="461">
        <f>tertiair!I16</f>
        <v>0</v>
      </c>
      <c r="J5" s="461">
        <f>tertiair!J16</f>
        <v>0</v>
      </c>
      <c r="K5" s="461">
        <f>tertiair!K16</f>
        <v>0</v>
      </c>
      <c r="L5" s="461">
        <f ca="1">tertiair!L16</f>
        <v>0</v>
      </c>
      <c r="M5" s="461">
        <f>tertiair!M16</f>
        <v>0</v>
      </c>
      <c r="N5" s="461">
        <f ca="1">tertiair!N16</f>
        <v>4002.550383884623</v>
      </c>
      <c r="O5" s="461">
        <f>tertiair!O16</f>
        <v>0</v>
      </c>
      <c r="P5" s="462">
        <f>tertiair!P16</f>
        <v>0</v>
      </c>
      <c r="Q5" s="460">
        <f t="shared" ref="Q5:Q14" ca="1" si="0">SUM(B5:P5)</f>
        <v>120881.41552091256</v>
      </c>
    </row>
    <row r="6" spans="1:17">
      <c r="A6" s="460" t="s">
        <v>194</v>
      </c>
      <c r="B6" s="461">
        <f>'openbare verlichting'!B8</f>
        <v>1772.752</v>
      </c>
      <c r="C6" s="461"/>
      <c r="D6" s="461"/>
      <c r="E6" s="461"/>
      <c r="F6" s="461"/>
      <c r="G6" s="461"/>
      <c r="H6" s="461"/>
      <c r="I6" s="461"/>
      <c r="J6" s="461"/>
      <c r="K6" s="461"/>
      <c r="L6" s="461"/>
      <c r="M6" s="461"/>
      <c r="N6" s="461"/>
      <c r="O6" s="461"/>
      <c r="P6" s="462"/>
      <c r="Q6" s="460">
        <f t="shared" si="0"/>
        <v>1772.752</v>
      </c>
    </row>
    <row r="7" spans="1:17">
      <c r="A7" s="460" t="s">
        <v>112</v>
      </c>
      <c r="B7" s="461">
        <f>landbouw!B8</f>
        <v>411.02122569683911</v>
      </c>
      <c r="C7" s="461">
        <f>landbouw!C8</f>
        <v>0</v>
      </c>
      <c r="D7" s="461">
        <f>landbouw!D8</f>
        <v>92.53635239197807</v>
      </c>
      <c r="E7" s="461">
        <f>landbouw!E8</f>
        <v>3.872095339319193</v>
      </c>
      <c r="F7" s="461">
        <f>landbouw!F8</f>
        <v>1341.2986654139779</v>
      </c>
      <c r="G7" s="461">
        <f>landbouw!G8</f>
        <v>0</v>
      </c>
      <c r="H7" s="461">
        <f>landbouw!H8</f>
        <v>0</v>
      </c>
      <c r="I7" s="461">
        <f>landbouw!I8</f>
        <v>0</v>
      </c>
      <c r="J7" s="461">
        <f>landbouw!J8</f>
        <v>50.845324825556766</v>
      </c>
      <c r="K7" s="461">
        <f>landbouw!K8</f>
        <v>0</v>
      </c>
      <c r="L7" s="461">
        <f>landbouw!L8</f>
        <v>0</v>
      </c>
      <c r="M7" s="461">
        <f>landbouw!M8</f>
        <v>0</v>
      </c>
      <c r="N7" s="461">
        <f>landbouw!N8</f>
        <v>0</v>
      </c>
      <c r="O7" s="461">
        <f>landbouw!O8</f>
        <v>0</v>
      </c>
      <c r="P7" s="462">
        <f>landbouw!P8</f>
        <v>0</v>
      </c>
      <c r="Q7" s="460">
        <f t="shared" si="0"/>
        <v>1899.5736636676711</v>
      </c>
    </row>
    <row r="8" spans="1:17">
      <c r="A8" s="460" t="s">
        <v>685</v>
      </c>
      <c r="B8" s="461">
        <f>industrie!B18</f>
        <v>2400.1774538371374</v>
      </c>
      <c r="C8" s="461">
        <f>industrie!C18</f>
        <v>0</v>
      </c>
      <c r="D8" s="461">
        <f>industrie!D18</f>
        <v>3045.3282146259526</v>
      </c>
      <c r="E8" s="461">
        <f>industrie!E18</f>
        <v>20.254377124709485</v>
      </c>
      <c r="F8" s="461">
        <f>industrie!F18</f>
        <v>1131.7642807296536</v>
      </c>
      <c r="G8" s="461">
        <f>industrie!G18</f>
        <v>0</v>
      </c>
      <c r="H8" s="461">
        <f>industrie!H18</f>
        <v>0</v>
      </c>
      <c r="I8" s="461">
        <f>industrie!I18</f>
        <v>0</v>
      </c>
      <c r="J8" s="461">
        <f>industrie!J18</f>
        <v>4.1630579151016018</v>
      </c>
      <c r="K8" s="461">
        <f>industrie!K18</f>
        <v>0</v>
      </c>
      <c r="L8" s="461">
        <f>industrie!L18</f>
        <v>0</v>
      </c>
      <c r="M8" s="461">
        <f>industrie!M18</f>
        <v>0</v>
      </c>
      <c r="N8" s="461">
        <f>industrie!N18</f>
        <v>140.55086251477402</v>
      </c>
      <c r="O8" s="461">
        <f>industrie!O18</f>
        <v>0</v>
      </c>
      <c r="P8" s="462">
        <f>industrie!P18</f>
        <v>0</v>
      </c>
      <c r="Q8" s="460">
        <f t="shared" si="0"/>
        <v>6742.238246747328</v>
      </c>
    </row>
    <row r="9" spans="1:17" s="466" customFormat="1">
      <c r="A9" s="464" t="s">
        <v>579</v>
      </c>
      <c r="B9" s="465">
        <f>transport!B14</f>
        <v>0.71832763980133885</v>
      </c>
      <c r="C9" s="465">
        <f>transport!C14</f>
        <v>0</v>
      </c>
      <c r="D9" s="465">
        <f>transport!D14</f>
        <v>1.9148102595352439</v>
      </c>
      <c r="E9" s="465">
        <f>transport!E14</f>
        <v>111.72316296002714</v>
      </c>
      <c r="F9" s="465">
        <f>transport!F14</f>
        <v>0</v>
      </c>
      <c r="G9" s="465">
        <f>transport!G14</f>
        <v>24310.27192550373</v>
      </c>
      <c r="H9" s="465">
        <f>transport!H14</f>
        <v>4268.7089692219124</v>
      </c>
      <c r="I9" s="465">
        <f>transport!I14</f>
        <v>0</v>
      </c>
      <c r="J9" s="465">
        <f>transport!J14</f>
        <v>0</v>
      </c>
      <c r="K9" s="465">
        <f>transport!K14</f>
        <v>0</v>
      </c>
      <c r="L9" s="465">
        <f>transport!L14</f>
        <v>0</v>
      </c>
      <c r="M9" s="465">
        <f>transport!M14</f>
        <v>1277.8090661588662</v>
      </c>
      <c r="N9" s="465">
        <f>transport!N14</f>
        <v>0</v>
      </c>
      <c r="O9" s="465">
        <f>transport!O14</f>
        <v>0</v>
      </c>
      <c r="P9" s="465">
        <f>transport!P14</f>
        <v>0</v>
      </c>
      <c r="Q9" s="464">
        <f>SUM(B9:P9)</f>
        <v>29971.14626174387</v>
      </c>
    </row>
    <row r="10" spans="1:17">
      <c r="A10" s="460" t="s">
        <v>569</v>
      </c>
      <c r="B10" s="461">
        <f>transport!B54</f>
        <v>807.9596885567563</v>
      </c>
      <c r="C10" s="461">
        <f>transport!C54</f>
        <v>0</v>
      </c>
      <c r="D10" s="461">
        <f>transport!D54</f>
        <v>0</v>
      </c>
      <c r="E10" s="461">
        <f>transport!E54</f>
        <v>0</v>
      </c>
      <c r="F10" s="461">
        <f>transport!F54</f>
        <v>0</v>
      </c>
      <c r="G10" s="461">
        <f>transport!G54</f>
        <v>361.7954433635341</v>
      </c>
      <c r="H10" s="461">
        <f>transport!H54</f>
        <v>0</v>
      </c>
      <c r="I10" s="461">
        <f>transport!I54</f>
        <v>0</v>
      </c>
      <c r="J10" s="461">
        <f>transport!J54</f>
        <v>0</v>
      </c>
      <c r="K10" s="461">
        <f>transport!K54</f>
        <v>0</v>
      </c>
      <c r="L10" s="461">
        <f>transport!L54</f>
        <v>0</v>
      </c>
      <c r="M10" s="461">
        <f>transport!M54</f>
        <v>15.887034737008284</v>
      </c>
      <c r="N10" s="461">
        <f>transport!N54</f>
        <v>0</v>
      </c>
      <c r="O10" s="461">
        <f>transport!O54</f>
        <v>0</v>
      </c>
      <c r="P10" s="462">
        <f>transport!P54</f>
        <v>0</v>
      </c>
      <c r="Q10" s="460">
        <f t="shared" si="0"/>
        <v>1185.6421666572985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2182.9366909806399</v>
      </c>
      <c r="C14" s="468"/>
      <c r="D14" s="468">
        <f>'SEAP template'!E25</f>
        <v>7965.3154177443894</v>
      </c>
      <c r="E14" s="468"/>
      <c r="F14" s="468"/>
      <c r="G14" s="468"/>
      <c r="H14" s="468"/>
      <c r="I14" s="468"/>
      <c r="J14" s="468"/>
      <c r="K14" s="468"/>
      <c r="L14" s="468"/>
      <c r="M14" s="468"/>
      <c r="N14" s="468"/>
      <c r="O14" s="468"/>
      <c r="P14" s="469"/>
      <c r="Q14" s="460">
        <f t="shared" si="0"/>
        <v>10148.25210872503</v>
      </c>
    </row>
    <row r="15" spans="1:17" s="473" customFormat="1">
      <c r="A15" s="470" t="s">
        <v>573</v>
      </c>
      <c r="B15" s="471">
        <f ca="1">SUM(B4:B14)</f>
        <v>95390.32714992018</v>
      </c>
      <c r="C15" s="471">
        <f t="shared" ref="C15:Q15" ca="1" si="1">SUM(C4:C14)</f>
        <v>0</v>
      </c>
      <c r="D15" s="471">
        <f t="shared" ca="1" si="1"/>
        <v>181896.5347446909</v>
      </c>
      <c r="E15" s="471">
        <f t="shared" si="1"/>
        <v>1120.0977965474488</v>
      </c>
      <c r="F15" s="471">
        <f t="shared" ca="1" si="1"/>
        <v>12428.039988233668</v>
      </c>
      <c r="G15" s="471">
        <f t="shared" si="1"/>
        <v>24672.067368867265</v>
      </c>
      <c r="H15" s="471">
        <f t="shared" si="1"/>
        <v>4268.7089692219124</v>
      </c>
      <c r="I15" s="471">
        <f t="shared" si="1"/>
        <v>0</v>
      </c>
      <c r="J15" s="471">
        <f t="shared" si="1"/>
        <v>55.008382740658369</v>
      </c>
      <c r="K15" s="471">
        <f t="shared" si="1"/>
        <v>0</v>
      </c>
      <c r="L15" s="471">
        <f t="shared" ca="1" si="1"/>
        <v>0</v>
      </c>
      <c r="M15" s="471">
        <f t="shared" si="1"/>
        <v>1293.6961008958745</v>
      </c>
      <c r="N15" s="471">
        <f t="shared" ca="1" si="1"/>
        <v>4143.1012463993966</v>
      </c>
      <c r="O15" s="471">
        <f t="shared" si="1"/>
        <v>53.153333333333336</v>
      </c>
      <c r="P15" s="471">
        <f t="shared" si="1"/>
        <v>38.133333333333333</v>
      </c>
      <c r="Q15" s="471">
        <f t="shared" ca="1" si="1"/>
        <v>325358.86841418396</v>
      </c>
    </row>
    <row r="17" spans="1:17">
      <c r="A17" s="474" t="s">
        <v>574</v>
      </c>
      <c r="B17" s="778">
        <f ca="1">huishoudens!B10</f>
        <v>0.21584010609291979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8916.9845140387424</v>
      </c>
      <c r="C22" s="461">
        <f t="shared" ref="C22:C32" ca="1" si="3">C4*$C$17</f>
        <v>0</v>
      </c>
      <c r="D22" s="461">
        <f t="shared" ref="D22:D32" si="4">D4*$D$17</f>
        <v>22493.436127683486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31410.42064172223</v>
      </c>
    </row>
    <row r="23" spans="1:17">
      <c r="A23" s="460" t="s">
        <v>156</v>
      </c>
      <c r="B23" s="461">
        <f t="shared" ca="1" si="2"/>
        <v>10036.962981456769</v>
      </c>
      <c r="C23" s="461">
        <f t="shared" ca="1" si="3"/>
        <v>0</v>
      </c>
      <c r="D23" s="461">
        <f t="shared" ca="1" si="4"/>
        <v>12006.43474214967</v>
      </c>
      <c r="E23" s="461">
        <f t="shared" si="5"/>
        <v>223.4243325750102</v>
      </c>
      <c r="F23" s="461">
        <f t="shared" ca="1" si="6"/>
        <v>2657.9788702380397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24924.800926419488</v>
      </c>
    </row>
    <row r="24" spans="1:17">
      <c r="A24" s="460" t="s">
        <v>194</v>
      </c>
      <c r="B24" s="461">
        <f t="shared" ca="1" si="2"/>
        <v>382.63097975643575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382.63097975643575</v>
      </c>
    </row>
    <row r="25" spans="1:17">
      <c r="A25" s="460" t="s">
        <v>112</v>
      </c>
      <c r="B25" s="461">
        <f t="shared" ca="1" si="2"/>
        <v>88.714864960847677</v>
      </c>
      <c r="C25" s="461">
        <f t="shared" ca="1" si="3"/>
        <v>0</v>
      </c>
      <c r="D25" s="461">
        <f t="shared" si="4"/>
        <v>18.69234318317957</v>
      </c>
      <c r="E25" s="461">
        <f t="shared" si="5"/>
        <v>0.87896564202545679</v>
      </c>
      <c r="F25" s="461">
        <f t="shared" si="6"/>
        <v>358.1267436655321</v>
      </c>
      <c r="G25" s="461">
        <f t="shared" si="7"/>
        <v>0</v>
      </c>
      <c r="H25" s="461">
        <f t="shared" si="8"/>
        <v>0</v>
      </c>
      <c r="I25" s="461">
        <f t="shared" si="9"/>
        <v>0</v>
      </c>
      <c r="J25" s="461">
        <f t="shared" si="10"/>
        <v>17.999244988247096</v>
      </c>
      <c r="K25" s="461">
        <f t="shared" si="11"/>
        <v>0</v>
      </c>
      <c r="L25" s="461">
        <f t="shared" si="12"/>
        <v>0</v>
      </c>
      <c r="M25" s="461">
        <f t="shared" si="13"/>
        <v>0</v>
      </c>
      <c r="N25" s="461">
        <f t="shared" si="14"/>
        <v>0</v>
      </c>
      <c r="O25" s="461">
        <f t="shared" si="15"/>
        <v>0</v>
      </c>
      <c r="P25" s="462">
        <f t="shared" si="16"/>
        <v>0</v>
      </c>
      <c r="Q25" s="460">
        <f t="shared" ca="1" si="17"/>
        <v>484.41216243983189</v>
      </c>
    </row>
    <row r="26" spans="1:17">
      <c r="A26" s="460" t="s">
        <v>685</v>
      </c>
      <c r="B26" s="461">
        <f t="shared" ca="1" si="2"/>
        <v>518.05455627804179</v>
      </c>
      <c r="C26" s="461">
        <f t="shared" ca="1" si="3"/>
        <v>0</v>
      </c>
      <c r="D26" s="461">
        <f t="shared" si="4"/>
        <v>615.15629935444247</v>
      </c>
      <c r="E26" s="461">
        <f t="shared" si="5"/>
        <v>4.5977436073090532</v>
      </c>
      <c r="F26" s="461">
        <f t="shared" si="6"/>
        <v>302.18106295481755</v>
      </c>
      <c r="G26" s="461">
        <f t="shared" si="7"/>
        <v>0</v>
      </c>
      <c r="H26" s="461">
        <f t="shared" si="8"/>
        <v>0</v>
      </c>
      <c r="I26" s="461">
        <f t="shared" si="9"/>
        <v>0</v>
      </c>
      <c r="J26" s="461">
        <f t="shared" si="10"/>
        <v>1.473722501945967</v>
      </c>
      <c r="K26" s="461">
        <f t="shared" si="11"/>
        <v>0</v>
      </c>
      <c r="L26" s="461">
        <f t="shared" si="12"/>
        <v>0</v>
      </c>
      <c r="M26" s="461">
        <f t="shared" si="13"/>
        <v>0</v>
      </c>
      <c r="N26" s="461">
        <f t="shared" si="14"/>
        <v>0</v>
      </c>
      <c r="O26" s="461">
        <f t="shared" si="15"/>
        <v>0</v>
      </c>
      <c r="P26" s="462">
        <f t="shared" si="16"/>
        <v>0</v>
      </c>
      <c r="Q26" s="460">
        <f t="shared" ca="1" si="17"/>
        <v>1441.4633846965569</v>
      </c>
    </row>
    <row r="27" spans="1:17" s="466" customFormat="1">
      <c r="A27" s="464" t="s">
        <v>579</v>
      </c>
      <c r="B27" s="772">
        <f t="shared" ca="1" si="2"/>
        <v>0.15504391398419765</v>
      </c>
      <c r="C27" s="465">
        <f t="shared" ca="1" si="3"/>
        <v>0</v>
      </c>
      <c r="D27" s="465">
        <f t="shared" si="4"/>
        <v>0.38679167242611928</v>
      </c>
      <c r="E27" s="465">
        <f t="shared" si="5"/>
        <v>25.361157991926163</v>
      </c>
      <c r="F27" s="465">
        <f t="shared" si="6"/>
        <v>0</v>
      </c>
      <c r="G27" s="465">
        <f t="shared" si="7"/>
        <v>6490.8426041094963</v>
      </c>
      <c r="H27" s="465">
        <f t="shared" si="8"/>
        <v>1062.9085333362561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7579.6541310240891</v>
      </c>
    </row>
    <row r="28" spans="1:17">
      <c r="A28" s="460" t="s">
        <v>569</v>
      </c>
      <c r="B28" s="461">
        <f t="shared" ca="1" si="2"/>
        <v>174.39010489689272</v>
      </c>
      <c r="C28" s="461">
        <f t="shared" ca="1" si="3"/>
        <v>0</v>
      </c>
      <c r="D28" s="461">
        <f t="shared" si="4"/>
        <v>0</v>
      </c>
      <c r="E28" s="461">
        <f t="shared" si="5"/>
        <v>0</v>
      </c>
      <c r="F28" s="461">
        <f t="shared" si="6"/>
        <v>0</v>
      </c>
      <c r="G28" s="461">
        <f t="shared" si="7"/>
        <v>96.599383378063607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270.98948827495633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471.1652869753886</v>
      </c>
      <c r="C32" s="461">
        <f t="shared" ca="1" si="3"/>
        <v>0</v>
      </c>
      <c r="D32" s="461">
        <f t="shared" si="4"/>
        <v>1608.9937143843667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2080.1590013597552</v>
      </c>
    </row>
    <row r="33" spans="1:17" s="473" customFormat="1">
      <c r="A33" s="470" t="s">
        <v>573</v>
      </c>
      <c r="B33" s="471">
        <f ca="1">SUM(B22:B32)</f>
        <v>20589.058332277098</v>
      </c>
      <c r="C33" s="471">
        <f t="shared" ref="C33:Q33" ca="1" si="18">SUM(C22:C32)</f>
        <v>0</v>
      </c>
      <c r="D33" s="471">
        <f t="shared" ca="1" si="18"/>
        <v>36743.100018427569</v>
      </c>
      <c r="E33" s="471">
        <f t="shared" si="18"/>
        <v>254.26219981627088</v>
      </c>
      <c r="F33" s="471">
        <f t="shared" ca="1" si="18"/>
        <v>3318.2866768583895</v>
      </c>
      <c r="G33" s="471">
        <f t="shared" si="18"/>
        <v>6587.4419874875603</v>
      </c>
      <c r="H33" s="471">
        <f t="shared" si="18"/>
        <v>1062.9085333362561</v>
      </c>
      <c r="I33" s="471">
        <f t="shared" si="18"/>
        <v>0</v>
      </c>
      <c r="J33" s="471">
        <f t="shared" si="18"/>
        <v>19.472967490193064</v>
      </c>
      <c r="K33" s="471">
        <f t="shared" si="18"/>
        <v>0</v>
      </c>
      <c r="L33" s="471">
        <f t="shared" ca="1" si="18"/>
        <v>0</v>
      </c>
      <c r="M33" s="471">
        <f t="shared" si="18"/>
        <v>0</v>
      </c>
      <c r="N33" s="471">
        <f t="shared" ca="1" si="18"/>
        <v>0</v>
      </c>
      <c r="O33" s="471">
        <f t="shared" si="18"/>
        <v>0</v>
      </c>
      <c r="P33" s="471">
        <f t="shared" si="18"/>
        <v>0</v>
      </c>
      <c r="Q33" s="471">
        <f t="shared" ca="1" si="18"/>
        <v>68574.530715693341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2227.1672753631651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2227.1672753631651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0.21584010609291979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0.21584010609291979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2019-06-29T16:12:40Z</dcterms:modified>
</cp:coreProperties>
</file>