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E101"/>
  <c r="E8" s="1"/>
  <c r="E10" s="1"/>
  <c r="G101"/>
  <c r="N6" i="17"/>
  <c r="L6"/>
  <c r="F6"/>
  <c r="D6"/>
  <c r="C6"/>
  <c r="N16" i="16"/>
  <c r="L16"/>
  <c r="F16"/>
  <c r="D16"/>
  <c r="C16"/>
  <c r="B16"/>
  <c r="B13" i="15"/>
  <c r="H101" i="18" l="1"/>
  <c r="D101"/>
  <c r="F101"/>
  <c r="I8" s="1"/>
  <c r="C10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N26" s="1"/>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J26"/>
  <c r="I26"/>
  <c r="E25"/>
  <c r="D14" i="48" s="1"/>
  <c r="C25" i="14"/>
  <c r="B14" i="48" s="1"/>
  <c r="L26" i="14"/>
  <c r="H26"/>
  <c r="O22"/>
  <c r="G22"/>
  <c r="R12"/>
  <c r="F13" i="15"/>
  <c r="D13"/>
  <c r="C13"/>
  <c r="I10" i="18" l="1"/>
  <c r="I76" i="14"/>
  <c r="I8" i="56" s="1"/>
  <c r="I10" s="1"/>
  <c r="Q14" i="48"/>
  <c r="H78" i="14"/>
  <c r="H9" i="56"/>
  <c r="H10" s="1"/>
  <c r="Q87" i="14"/>
  <c r="P17" i="56" s="1"/>
  <c r="P20" s="1"/>
  <c r="D17"/>
  <c r="D20" s="1"/>
  <c r="K78" i="14"/>
  <c r="K8" i="56"/>
  <c r="K10" s="1"/>
  <c r="O78" i="14"/>
  <c r="O9" i="56"/>
  <c r="L90" i="14"/>
  <c r="L17" i="56"/>
  <c r="L20" s="1"/>
  <c r="G90" i="14"/>
  <c r="G18" i="56"/>
  <c r="G20" s="1"/>
  <c r="O90" i="14"/>
  <c r="O18" i="56"/>
  <c r="O20" s="1"/>
  <c r="Q88" i="14"/>
  <c r="P18" i="56" s="1"/>
  <c r="D18"/>
  <c r="K90" i="14"/>
  <c r="K18" i="56"/>
  <c r="K20" s="1"/>
  <c r="L78" i="14"/>
  <c r="J76"/>
  <c r="G78"/>
  <c r="Q89"/>
  <c r="P19" i="56" s="1"/>
  <c r="Q76" i="14"/>
  <c r="P8" i="56" s="1"/>
  <c r="L10"/>
  <c r="H20"/>
  <c r="F78" i="14"/>
  <c r="G10" i="56"/>
  <c r="O10"/>
  <c r="C88" i="14"/>
  <c r="C18" i="56" s="1"/>
  <c r="N78" i="14"/>
  <c r="N8" i="56"/>
  <c r="N10" s="1"/>
  <c r="C76" i="14"/>
  <c r="C8" i="56" s="1"/>
  <c r="C10" s="1"/>
  <c r="E8"/>
  <c r="E10" s="1"/>
  <c r="M78" i="14"/>
  <c r="M8" i="56"/>
  <c r="M10" s="1"/>
  <c r="C77" i="14"/>
  <c r="C9" i="56" s="1"/>
  <c r="D9"/>
  <c r="D10" s="1"/>
  <c r="F90" i="14"/>
  <c r="M20" i="56"/>
  <c r="N20"/>
  <c r="I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B76" i="14"/>
  <c r="C78"/>
  <c r="C90"/>
  <c r="B87"/>
  <c r="B8" i="56" l="1"/>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28"/>
  <c r="F32"/>
  <c r="F30"/>
  <c r="F27"/>
  <c r="F29"/>
  <c r="F31"/>
  <c r="N30"/>
  <c r="N31"/>
  <c r="N28"/>
  <c r="N24"/>
  <c r="N32"/>
  <c r="N29"/>
  <c r="N27"/>
  <c r="C19" i="14"/>
  <c r="B10" i="48"/>
  <c r="E32"/>
  <c r="E28"/>
  <c r="E31"/>
  <c r="E29"/>
  <c r="E30"/>
  <c r="E24"/>
  <c r="M12" i="13"/>
  <c r="N41" i="14" s="1"/>
  <c r="M17" i="48"/>
  <c r="K5"/>
  <c r="L10" i="14"/>
  <c r="L16" s="1"/>
  <c r="L27" s="1"/>
  <c r="D30" i="48"/>
  <c r="D28"/>
  <c r="D32"/>
  <c r="D31"/>
  <c r="D24"/>
  <c r="D29"/>
  <c r="L32"/>
  <c r="L27"/>
  <c r="L31"/>
  <c r="L28"/>
  <c r="L22"/>
  <c r="L30"/>
  <c r="L24"/>
  <c r="L29"/>
  <c r="P5"/>
  <c r="P23" s="1"/>
  <c r="Q10" i="14"/>
  <c r="K31" i="48"/>
  <c r="K28"/>
  <c r="K32"/>
  <c r="K27"/>
  <c r="K29"/>
  <c r="K26"/>
  <c r="K22"/>
  <c r="K30"/>
  <c r="K25"/>
  <c r="K24"/>
  <c r="J10" i="14"/>
  <c r="J16" s="1"/>
  <c r="J27" s="1"/>
  <c r="I5" i="48"/>
  <c r="J27"/>
  <c r="J24"/>
  <c r="J32"/>
  <c r="J30"/>
  <c r="J31"/>
  <c r="J28"/>
  <c r="J29"/>
  <c r="P4"/>
  <c r="Q11" i="14"/>
  <c r="B7" i="48"/>
  <c r="C24" i="14"/>
  <c r="C26" s="1"/>
  <c r="P11"/>
  <c r="O4" i="48"/>
  <c r="I32"/>
  <c r="I31"/>
  <c r="I25"/>
  <c r="I29"/>
  <c r="I26"/>
  <c r="I22"/>
  <c r="I27"/>
  <c r="I30"/>
  <c r="I28"/>
  <c r="I24"/>
  <c r="E11" i="14"/>
  <c r="D4" i="48"/>
  <c r="D22" s="1"/>
  <c r="H29"/>
  <c r="H26"/>
  <c r="H32"/>
  <c r="H25"/>
  <c r="H22"/>
  <c r="H30"/>
  <c r="H28"/>
  <c r="H24"/>
  <c r="H23"/>
  <c r="D11" i="14"/>
  <c r="C4" i="48"/>
  <c r="G32"/>
  <c r="G25"/>
  <c r="G26"/>
  <c r="G24"/>
  <c r="G29"/>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P22" i="48"/>
  <c r="I15"/>
  <c r="I23"/>
  <c r="I33" s="1"/>
  <c r="P10" i="14"/>
  <c r="O5" i="48"/>
  <c r="O23" s="1"/>
  <c r="M32"/>
  <c r="M22"/>
  <c r="M30"/>
  <c r="M29"/>
  <c r="M25"/>
  <c r="M26"/>
  <c r="M24"/>
  <c r="M23"/>
  <c r="K23"/>
  <c r="K15"/>
  <c r="G11" i="14"/>
  <c r="F4" i="48"/>
  <c r="F22" s="1"/>
  <c r="I18" i="14"/>
  <c r="H13" i="48"/>
  <c r="H31" s="1"/>
  <c r="Q13" i="14"/>
  <c r="Q16" s="1"/>
  <c r="Q27" s="1"/>
  <c r="P8" i="48"/>
  <c r="P26" s="1"/>
  <c r="O22"/>
  <c r="J46" i="14"/>
  <c r="J61" s="1"/>
  <c r="J63" s="1"/>
  <c r="L46"/>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J4"/>
  <c r="K11" i="14"/>
  <c r="E7" i="48"/>
  <c r="E25" s="1"/>
  <c r="F24" i="14"/>
  <c r="F26" s="1"/>
  <c r="R18"/>
  <c r="F20"/>
  <c r="F22" s="1"/>
  <c r="E9" i="48"/>
  <c r="E27" s="1"/>
  <c r="G31"/>
  <c r="Q13"/>
  <c r="P13" i="14"/>
  <c r="O8" i="48"/>
  <c r="O26" s="1"/>
  <c r="N19" i="14"/>
  <c r="M10" i="48"/>
  <c r="M28" s="1"/>
  <c r="E20" i="14"/>
  <c r="E22" s="1"/>
  <c r="D9" i="48"/>
  <c r="D27" s="1"/>
  <c r="Q63" i="14"/>
  <c r="I52"/>
  <c r="I61" s="1"/>
  <c r="P16"/>
  <c r="P27" s="1"/>
  <c r="O15" i="48"/>
  <c r="P15"/>
  <c r="M14" i="22"/>
  <c r="O33" i="48"/>
  <c r="P33"/>
  <c r="E12" i="17"/>
  <c r="F54" i="14" s="1"/>
  <c r="F56" s="1"/>
  <c r="H14" i="22"/>
  <c r="H52" i="14"/>
  <c r="H61" s="1"/>
  <c r="D16"/>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N52" l="1"/>
  <c r="N61" s="1"/>
  <c r="F10"/>
  <c r="E5" i="48"/>
  <c r="E23" s="1"/>
  <c r="E22"/>
  <c r="Q4"/>
  <c r="M9"/>
  <c r="N20" i="14"/>
  <c r="N22" s="1"/>
  <c r="N27" s="1"/>
  <c r="N63" s="1"/>
  <c r="G28" i="48"/>
  <c r="Q10"/>
  <c r="J22"/>
  <c r="H20" i="14"/>
  <c r="H22" s="1"/>
  <c r="H27" s="1"/>
  <c r="G9" i="48"/>
  <c r="K10" i="14"/>
  <c r="J5" i="48"/>
  <c r="J23" s="1"/>
  <c r="C22" i="14"/>
  <c r="H9" i="48"/>
  <c r="I20" i="14"/>
  <c r="I22" s="1"/>
  <c r="I27" s="1"/>
  <c r="H63"/>
  <c r="R19"/>
  <c r="M18" i="22"/>
  <c r="N50" i="14" s="1"/>
  <c r="I63"/>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G27"/>
  <c r="G33" s="1"/>
  <c r="G15"/>
  <c r="M27"/>
  <c r="M33" s="1"/>
  <c r="M15"/>
  <c r="H27"/>
  <c r="H33" s="1"/>
  <c r="H15"/>
  <c r="K13" i="14"/>
  <c r="K16" s="1"/>
  <c r="K27" s="1"/>
  <c r="K63" s="1"/>
  <c r="J8" i="48"/>
  <c r="J26" s="1"/>
  <c r="J33" s="1"/>
  <c r="R10" i="14"/>
  <c r="R20"/>
  <c r="R22" s="1"/>
  <c r="K46"/>
  <c r="K61" s="1"/>
  <c r="F16"/>
  <c r="F27" s="1"/>
  <c r="Q9"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<sst xmlns="http://schemas.openxmlformats.org/spreadsheetml/2006/main" count="2483" uniqueCount="946">
  <si>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</si>
  <si>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</si>
  <si>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</si>
  <si>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</si>
  <si>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</si>
  <si>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</si>
  <si>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</si>
  <si>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</si>
  <si>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</si>
  <si>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</si>
  <si>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</si>
  <si>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</si>
  <si>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</si>
  <si>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</si>
  <si>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</si>
  <si>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</si>
  <si>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</si>
  <si>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</si>
  <si>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</si>
  <si>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</si>
  <si>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</si>
  <si>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</si>
  <si>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</si>
  <si>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</si>
  <si>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</si>
  <si>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</si>
  <si>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</si>
  <si>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</si>
  <si>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</si>
  <si>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</si>
  <si>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</si>
  <si>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</si>
  <si>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</si>
  <si>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</si>
  <si>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</si>
  <si>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</si>
  <si>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</si>
  <si>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</si>
  <si>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</si>
  <si>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</si>
  <si>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</si>
  <si>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</si>
  <si>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</si>
  <si>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</si>
  <si>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</si>
  <si>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</si>
  <si>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</si>
  <si>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</si>
  <si>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</si>
  <si>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</si>
  <si>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</si>
  <si>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</si>
  <si>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</si>
  <si>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</si>
  <si>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</si>
  <si>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</si>
  <si>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</si>
  <si>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</si>
  <si>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</si>
  <si>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</si>
  <si>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</si>
  <si>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</si>
  <si>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</si>
  <si>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</si>
  <si>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</si>
  <si>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</si>
  <si>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</si>
  <si>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</si>
  <si>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</si>
  <si>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</si>
  <si>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</si>
  <si>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</si>
  <si>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</si>
  <si>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</si>
  <si>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</si>
  <si>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</si>
  <si>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</si>
  <si>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</si>
  <si>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</si>
  <si>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</si>
  <si>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</si>
  <si>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</si>
  <si>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</si>
  <si>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</si>
  <si>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</si>
  <si>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</si>
  <si>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</si>
  <si>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</si>
  <si>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</si>
  <si>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</si>
  <si>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</si>
  <si>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</si>
  <si>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</si>
  <si>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</si>
  <si>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</si>
  <si>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</si>
  <si>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</si>
  <si>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</si>
  <si>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</si>
  <si>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</si>
  <si>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</si>
  <si>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</si>
  <si>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</si>
  <si>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</si>
  <si>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</si>
  <si>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</si>
  <si>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</si>
  <si>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</si>
  <si>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</si>
  <si>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</si>
  <si>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</si>
  <si>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</si>
  <si>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</si>
  <si>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</si>
  <si>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</si>
  <si>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</si>
  <si>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</si>
  <si>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</si>
  <si>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</si>
  <si>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</si>
  <si>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</si>
  <si>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</si>
  <si>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</si>
  <si>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</si>
  <si>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</si>
  <si>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</si>
  <si>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</si>
  <si>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</si>
  <si>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</si>
  <si>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</si>
  <si>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</si>
  <si>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</si>
  <si>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</si>
  <si>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</si>
  <si>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</si>
  <si>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</si>
  <si>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</si>
  <si>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</si>
  <si>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</si>
  <si>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</si>
  <si>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</si>
  <si>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</si>
  <si>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</si>
  <si>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</si>
  <si>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</si>
  <si>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</si>
  <si>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</si>
  <si>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</si>
  <si>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</si>
  <si>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</si>
  <si>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</si>
  <si>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</si>
  <si>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</si>
  <si>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</si>
  <si>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</si>
  <si>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</si>
  <si>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</si>
  <si>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</si>
  <si>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</si>
  <si>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</si>
  <si>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</si>
  <si>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</si>
  <si>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</si>
  <si>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</si>
  <si>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</si>
  <si>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</si>
  <si>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</si>
  <si>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</si>
  <si>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</si>
  <si>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</si>
  <si>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</si>
  <si>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</si>
  <si>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</si>
  <si>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</si>
  <si>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</si>
  <si>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</si>
  <si>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</si>
  <si>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</si>
  <si>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</si>
  <si>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</si>
  <si>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</si>
  <si>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</si>
  <si>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</si>
  <si>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</si>
  <si>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</si>
  <si>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</si>
  <si>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</si>
  <si>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</si>
  <si>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</si>
  <si>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</si>
  <si>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</si>
  <si>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</si>
  <si>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</si>
  <si>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</si>
  <si>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</si>
  <si>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</si>
  <si>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</si>
  <si>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</si>
  <si>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</si>
  <si>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</si>
  <si>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</si>
  <si>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</si>
  <si>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</si>
  <si>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</si>
  <si>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</si>
  <si>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</si>
  <si>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</si>
  <si>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</si>
  <si>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</si>
  <si>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</si>
  <si>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</si>
  <si>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</si>
  <si>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</si>
  <si>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</si>
  <si>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</si>
  <si>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</si>
  <si>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</si>
  <si>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</si>
  <si>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</si>
  <si>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</si>
  <si>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</si>
  <si>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</si>
  <si>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</si>
  <si>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</si>
  <si>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</si>
  <si>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</si>
  <si>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</si>
  <si>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</si>
  <si>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</si>
  <si>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</si>
  <si>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</si>
  <si>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</si>
  <si>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</si>
  <si>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</si>
  <si>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</si>
  <si>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</si>
  <si>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</si>
  <si>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</si>
  <si>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</si>
  <si>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</si>
  <si>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</si>
  <si>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</si>
  <si>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</si>
  <si>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</si>
  <si>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</si>
  <si>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</si>
  <si>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</si>
  <si>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</si>
  <si>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</si>
  <si>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</si>
  <si>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</si>
  <si>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</si>
  <si>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</si>
  <si>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</si>
  <si>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</si>
  <si>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</si>
  <si>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</si>
  <si>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</si>
  <si>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</si>
  <si>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</si>
  <si>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</si>
  <si>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</si>
  <si>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</si>
  <si>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</si>
  <si>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</si>
  <si>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</si>
  <si>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</si>
  <si>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</si>
  <si>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</si>
  <si>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</si>
  <si>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</si>
  <si>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</si>
  <si>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</si>
  <si>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</si>
  <si>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</si>
  <si>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</si>
  <si>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</si>
  <si>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</si>
  <si>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</si>
  <si>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</si>
  <si>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</si>
  <si>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</si>
  <si>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</si>
  <si>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</si>
  <si>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</si>
  <si>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</si>
  <si>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</si>
  <si>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</si>
  <si>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</si>
  <si>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</si>
  <si>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</si>
  <si>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</si>
  <si>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</si>
  <si>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</si>
  <si>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</si>
  <si>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</si>
  <si>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</si>
  <si>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</si>
  <si>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</si>
  <si>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</si>
  <si>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</si>
  <si>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</si>
  <si>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</si>
  <si>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</si>
  <si>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</si>
  <si>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</si>
  <si>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</si>
  <si>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</si>
  <si>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</si>
  <si>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</si>
  <si>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</si>
  <si>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</si>
  <si>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</si>
  <si>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</si>
  <si>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</si>
  <si>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</si>
  <si>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</si>
  <si>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</si>
  <si>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</si>
  <si>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</si>
  <si>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</si>
  <si>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</si>
  <si>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</si>
  <si>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</si>
  <si>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</si>
  <si>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</si>
  <si>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</si>
  <si>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</si>
  <si>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</si>
  <si>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</si>
  <si>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</si>
  <si>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</si>
  <si>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</si>
  <si>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</si>
  <si>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</si>
  <si>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</si>
  <si>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</si>
  <si>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</si>
  <si>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</si>
  <si>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</si>
  <si>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</si>
  <si>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</si>
  <si>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</si>
  <si>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</si>
  <si>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</si>
  <si>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</si>
  <si>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</si>
  <si>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</si>
  <si>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</si>
  <si>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</si>
  <si>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</si>
  <si>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</si>
  <si>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</si>
  <si>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</si>
  <si>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</si>
  <si>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</si>
  <si>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</si>
  <si>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</si>
  <si>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</si>
  <si>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</si>
  <si>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</si>
  <si>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</si>
  <si>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</si>
  <si>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</si>
  <si>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</si>
  <si>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</si>
  <si>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</si>
  <si>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</si>
  <si>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</si>
  <si>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</si>
  <si>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</si>
  <si>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</si>
  <si>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</si>
  <si>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</si>
  <si>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</si>
  <si>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</si>
  <si>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</si>
  <si>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</si>
  <si>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</si>
  <si>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</si>
  <si>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</si>
  <si>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</si>
  <si>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</si>
  <si>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</si>
  <si>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</si>
  <si>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</si>
  <si>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</si>
  <si>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</si>
  <si>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</si>
  <si>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</si>
  <si>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</si>
  <si>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</si>
  <si>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</si>
  <si>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</si>
  <si>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</si>
  <si>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</si>
  <si>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</si>
  <si>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</si>
  <si>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</si>
  <si>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</si>
  <si>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</si>
  <si>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</si>
  <si>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</si>
  <si>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</si>
  <si>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</si>
  <si>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</si>
  <si>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</si>
  <si>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</si>
  <si>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</si>
  <si>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</si>
  <si>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</si>
  <si>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</si>
  <si>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</si>
  <si>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</si>
  <si>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</si>
  <si>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</si>
  <si>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</si>
  <si>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</si>
  <si>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</si>
  <si>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</si>
  <si>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</si>
  <si>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</si>
  <si>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</si>
  <si>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</si>
  <si>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</si>
  <si>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</si>
  <si>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</si>
  <si>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</si>
  <si>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</si>
  <si>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</si>
  <si>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</si>
  <si>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</si>
  <si>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</si>
  <si>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</si>
  <si>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</si>
  <si>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</si>
  <si>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</si>
  <si>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</si>
  <si>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</si>
  <si>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</si>
  <si>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</si>
  <si>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</si>
  <si>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</si>
  <si>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</si>
  <si>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</si>
  <si>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</si>
  <si>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</si>
  <si>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</si>
  <si>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</si>
  <si>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</si>
  <si>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</si>
  <si>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</si>
  <si>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</si>
  <si>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</si>
  <si>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</si>
  <si>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</si>
  <si>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</si>
  <si>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</si>
  <si>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</si>
  <si>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</si>
  <si>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</si>
  <si>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</si>
  <si>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</si>
  <si>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</si>
  <si>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</si>
  <si>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</si>
  <si>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</si>
  <si>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</si>
  <si>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</si>
  <si>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</si>
  <si>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</si>
  <si>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</si>
  <si>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</si>
  <si>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</si>
  <si>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</si>
  <si>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</si>
  <si>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</si>
  <si>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</si>
  <si>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</si>
  <si>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</si>
  <si>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</si>
  <si>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</si>
  <si>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</si>
  <si>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</si>
  <si>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</si>
  <si>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</si>
  <si>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</si>
  <si>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</si>
  <si>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</si>
  <si>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</si>
  <si>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</si>
  <si>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</si>
  <si>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</si>
  <si>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</si>
  <si>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</si>
  <si>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</si>
  <si>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</si>
  <si>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</si>
  <si>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</si>
  <si>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</si>
  <si>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</si>
  <si>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</si>
  <si>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</si>
  <si>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</si>
  <si>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</si>
  <si>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</si>
  <si>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</si>
  <si>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</si>
  <si>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</si>
  <si>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</si>
  <si>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</si>
  <si>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</si>
  <si>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</si>
  <si>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</si>
  <si>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</si>
  <si>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</si>
  <si>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</si>
  <si>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</si>
  <si>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</si>
  <si>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</si>
  <si>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</si>
  <si>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</si>
  <si>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</si>
  <si>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</si>
  <si>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</si>
  <si>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</si>
  <si>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</si>
  <si>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</si>
  <si>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</si>
  <si>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</si>
  <si>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</si>
  <si>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</si>
  <si>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</si>
  <si>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</si>
  <si>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</si>
  <si>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</si>
  <si>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</si>
  <si>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</si>
  <si>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</si>
  <si>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</si>
  <si>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</si>
  <si>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</si>
  <si>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</si>
  <si>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</si>
  <si>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</si>
  <si>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</si>
  <si>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</si>
  <si>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</si>
  <si>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</si>
  <si>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</si>
  <si>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</si>
  <si>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</si>
  <si>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</si>
  <si>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</si>
  <si>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</si>
  <si>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</si>
  <si>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</si>
  <si>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</si>
  <si>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</si>
  <si>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</si>
  <si>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</si>
  <si>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</si>
  <si>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</si>
  <si>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</si>
  <si>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</si>
  <si>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</si>
  <si>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</si>
  <si>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</si>
  <si>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</si>
  <si>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</si>
  <si>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</si>
  <si>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</si>
  <si>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</si>
  <si>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</si>
  <si>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</si>
  <si>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</si>
  <si>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</si>
  <si>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</si>
  <si>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</si>
  <si>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</si>
  <si>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</si>
  <si>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</si>
  <si>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</si>
  <si>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</si>
  <si>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</si>
  <si>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</si>
  <si>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</si>
  <si>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</si>
  <si>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</si>
  <si>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</si>
  <si>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</si>
  <si>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</si>
  <si>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</si>
  <si>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</si>
  <si>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</si>
  <si>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</si>
  <si>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</si>
  <si>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</si>
  <si>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</si>
  <si>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</si>
  <si>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</si>
  <si>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</si>
  <si>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</si>
  <si>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</si>
  <si>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</si>
  <si>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</si>
  <si>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</si>
  <si>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</si>
  <si>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</si>
  <si>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</si>
  <si>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</si>
  <si>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</si>
  <si>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</si>
  <si>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</si>
  <si>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</si>
  <si>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</si>
  <si>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</si>
  <si>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</si>
  <si>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</si>
  <si>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</si>
  <si>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</si>
  <si>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</si>
  <si>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</si>
  <si>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</si>
  <si>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</si>
  <si>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</si>
  <si>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</si>
  <si>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</si>
  <si>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</si>
  <si>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</si>
  <si>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</si>
  <si>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</si>
  <si>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</si>
  <si>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</si>
  <si>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</si>
  <si>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</si>
  <si>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</si>
  <si>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</si>
  <si>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</si>
  <si>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</si>
  <si>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</si>
  <si>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</si>
  <si>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</si>
  <si>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</si>
  <si>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</si>
  <si>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</si>
  <si>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</si>
  <si>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</si>
  <si>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</si>
  <si>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</si>
  <si>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</si>
  <si>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</si>
  <si>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</si>
  <si>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</si>
  <si>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</si>
  <si>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</si>
  <si>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</si>
  <si>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</si>
  <si>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</si>
  <si>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</si>
  <si>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</si>
  <si>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</si>
  <si>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</si>
  <si>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</si>
  <si>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</si>
  <si>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</si>
  <si>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</si>
  <si>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</si>
  <si>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</si>
  <si>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</si>
  <si>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</si>
  <si>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</si>
  <si>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</si>
  <si>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</si>
  <si>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</si>
  <si>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</si>
  <si>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</si>
  <si>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</si>
  <si>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</si>
  <si>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</si>
  <si>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</si>
  <si>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</si>
  <si>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</si>
  <si>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</si>
  <si>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</si>
  <si>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</si>
  <si>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</si>
  <si>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</si>
  <si>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</si>
  <si>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</si>
  <si>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</si>
  <si>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</si>
  <si>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</si>
  <si>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</si>
  <si>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</si>
  <si>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</si>
  <si>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</si>
  <si>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</si>
  <si>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</si>
  <si>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</si>
  <si>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</si>
  <si>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</si>
  <si>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</si>
  <si>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</si>
  <si>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</si>
  <si>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</si>
  <si>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</si>
  <si>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</si>
  <si>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</si>
  <si>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</si>
  <si>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</si>
  <si>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</si>
  <si>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</si>
  <si>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</si>
  <si>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</si>
  <si>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</si>
  <si>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</si>
  <si>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</si>
  <si>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</si>
  <si>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</si>
  <si>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</si>
  <si>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</si>
  <si>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</si>
  <si>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</si>
  <si>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</si>
  <si>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</si>
  <si>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</si>
  <si>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</si>
  <si>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</si>
  <si>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</si>
  <si>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</si>
  <si>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</si>
  <si>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</si>
  <si>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</si>
  <si>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</si>
  <si>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</si>
  <si>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</si>
  <si>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</si>
  <si>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</si>
  <si>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</si>
  <si>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</si>
  <si>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</si>
  <si>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</si>
  <si>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</si>
  <si>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</si>
  <si>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</si>
  <si>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</si>
  <si>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</si>
  <si>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</si>
  <si>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</si>
  <si>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</si>
  <si>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</si>
  <si>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</si>
  <si>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</si>
  <si>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</si>
  <si>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</si>
  <si>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</si>
  <si>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</si>
  <si>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</si>
  <si>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</si>
  <si>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</si>
  <si>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</si>
  <si>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</si>
  <si>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</si>
  <si>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</si>
  <si>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</si>
  <si>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</si>
  <si>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</si>
  <si>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</si>
  <si>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</si>
  <si>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</si>
  <si>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</si>
  <si>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</si>
  <si>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</si>
  <si>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</si>
  <si>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</si>
  <si>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</si>
  <si>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</si>
  <si>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</si>
  <si>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</si>
  <si>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</si>
  <si>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</si>
  <si>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</si>
  <si>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</si>
  <si>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</si>
  <si>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</si>
  <si>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</si>
  <si>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</si>
  <si>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</si>
  <si>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</si>
  <si>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</si>
  <si>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</si>
  <si>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</si>
  <si>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</si>
  <si>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</si>
  <si>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</si>
  <si>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</si>
  <si>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</si>
  <si>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</si>
  <si>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</si>
  <si>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</si>
  <si>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</si>
  <si>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</si>
  <si>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</si>
  <si>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</si>
  <si>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</si>
  <si>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</si>
  <si>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</si>
  <si>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</si>
  <si>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</si>
  <si>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</si>
  <si>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</si>
  <si>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</si>
  <si>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</si>
  <si>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</si>
  <si>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</si>
  <si>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</si>
  <si>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</si>
  <si>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</si>
  <si>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</si>
  <si>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</si>
  <si>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</si>
  <si>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</si>
  <si>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</si>
  <si>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</si>
  <si>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</si>
  <si>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</si>
  <si>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</si>
  <si>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</si>
  <si>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</si>
  <si>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</si>
  <si>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</si>
  <si>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</si>
  <si>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</si>
  <si>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</si>
  <si>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</si>
  <si>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</si>
  <si>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</si>
  <si>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</si>
  <si>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</si>
  <si>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</si>
  <si>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</si>
  <si>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</si>
  <si>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</si>
  <si>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</si>
  <si>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</si>
  <si>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</si>
  <si>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</si>
  <si>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</si>
  <si>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</si>
  <si>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</si>
  <si>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</si>
  <si>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</si>
  <si>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</si>
  <si>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</si>
  <si>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</si>
  <si>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</si>
  <si>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</si>
  <si>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</si>
  <si>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</si>
  <si>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</si>
  <si>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</si>
  <si>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</si>
  <si>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</si>
  <si>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</si>
  <si>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</si>
  <si>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</si>
  <si>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</si>
  <si>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</si>
  <si>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</si>
  <si>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</si>
  <si>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</si>
  <si>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</si>
  <si>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</si>
  <si>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</si>
  <si>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</si>
  <si>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</si>
  <si>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</si>
  <si>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</si>
  <si>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</si>
  <si>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</si>
  <si>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</si>
  <si>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</si>
  <si>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</si>
  <si>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</si>
  <si>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</si>
  <si>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</si>
  <si>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</si>
  <si>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</si>
  <si>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</si>
  <si>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</si>
  <si>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</si>
  <si>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</si>
  <si>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</si>
  <si>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</si>
  <si>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</si>
  <si>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</si>
  <si>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</si>
  <si>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</si>
  <si>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</si>
  <si>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</si>
  <si>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</si>
  <si>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</si>
  <si>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</si>
  <si>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</si>
  <si>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</si>
  <si>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</si>
  <si>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</si>
  <si>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</si>
  <si>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</si>
  <si>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</si>
  <si>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</si>
  <si>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</si>
  <si>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</si>
  <si>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</si>
  <si>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</si>
  <si>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</si>
  <si>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</si>
  <si>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</si>
  <si>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</si>
  <si>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</si>
  <si>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</si>
  <si>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</si>
  <si>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</si>
  <si>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</si>
  <si>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</si>
  <si>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</si>
  <si>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</si>
  <si>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</si>
  <si>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</si>
  <si>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</si>
  <si>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</si>
  <si>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</si>
  <si>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</si>
  <si>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</si>
  <si>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</si>
  <si>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</si>
  <si>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</si>
  <si>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</si>
  <si>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</si>
  <si>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24134</t>
  </si>
  <si>
    <t>SCHERPENHEUVEL-ZICHEM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</si>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</sst>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24134</v>
      </c>
      <c r="B6" s="397"/>
      <c r="C6" s="398"/>
    </row>
    <row r="7" spans="1:7" s="395" customFormat="1" ht="15.75" customHeight="1">
      <c r="A7" s="399" t="str">
        <f>txtMunicipality</f>
        <v>SCHERPENHEUVEL-ZICHEM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0.20463722490031405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0.20463722490031405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9698</v>
      </c>
      <c r="C9" s="338">
        <v>10312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1715</v>
      </c>
    </row>
    <row r="15" spans="1:6">
      <c r="A15" s="1286" t="s">
        <v>184</v>
      </c>
      <c r="B15" s="335">
        <v>562</v>
      </c>
    </row>
    <row r="16" spans="1:6">
      <c r="A16" s="1286" t="s">
        <v>6</v>
      </c>
      <c r="B16" s="335">
        <v>371</v>
      </c>
    </row>
    <row r="17" spans="1:6">
      <c r="A17" s="1286" t="s">
        <v>7</v>
      </c>
      <c r="B17" s="335">
        <v>219</v>
      </c>
    </row>
    <row r="18" spans="1:6">
      <c r="A18" s="1286" t="s">
        <v>8</v>
      </c>
      <c r="B18" s="335">
        <v>387</v>
      </c>
    </row>
    <row r="19" spans="1:6">
      <c r="A19" s="1286" t="s">
        <v>9</v>
      </c>
      <c r="B19" s="335">
        <v>363</v>
      </c>
    </row>
    <row r="20" spans="1:6">
      <c r="A20" s="1286" t="s">
        <v>10</v>
      </c>
      <c r="B20" s="335">
        <v>330</v>
      </c>
    </row>
    <row r="21" spans="1:6">
      <c r="A21" s="1286" t="s">
        <v>11</v>
      </c>
      <c r="B21" s="335">
        <v>0</v>
      </c>
    </row>
    <row r="22" spans="1:6">
      <c r="A22" s="1286" t="s">
        <v>12</v>
      </c>
      <c r="B22" s="335">
        <v>975</v>
      </c>
    </row>
    <row r="23" spans="1:6">
      <c r="A23" s="1286" t="s">
        <v>13</v>
      </c>
      <c r="B23" s="335">
        <v>6</v>
      </c>
    </row>
    <row r="24" spans="1:6">
      <c r="A24" s="1286" t="s">
        <v>14</v>
      </c>
      <c r="B24" s="335">
        <v>0</v>
      </c>
    </row>
    <row r="25" spans="1:6">
      <c r="A25" s="1286" t="s">
        <v>15</v>
      </c>
      <c r="B25" s="335">
        <v>2</v>
      </c>
    </row>
    <row r="26" spans="1:6">
      <c r="A26" s="1286" t="s">
        <v>16</v>
      </c>
      <c r="B26" s="335">
        <v>224</v>
      </c>
    </row>
    <row r="27" spans="1:6">
      <c r="A27" s="1286" t="s">
        <v>17</v>
      </c>
      <c r="B27" s="335">
        <v>2</v>
      </c>
    </row>
    <row r="28" spans="1:6" s="341" customFormat="1">
      <c r="A28" s="1287" t="s">
        <v>18</v>
      </c>
      <c r="B28" s="1287">
        <v>0</v>
      </c>
    </row>
    <row r="29" spans="1:6">
      <c r="A29" s="1287" t="s">
        <v>942</v>
      </c>
      <c r="B29" s="1287">
        <v>75</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10432.943606720401</v>
      </c>
    </row>
    <row r="39" spans="1:6">
      <c r="A39" s="1286" t="s">
        <v>30</v>
      </c>
      <c r="B39" s="1286" t="s">
        <v>31</v>
      </c>
      <c r="C39" s="335">
        <v>3053</v>
      </c>
      <c r="D39" s="335">
        <v>53652132.430593401</v>
      </c>
      <c r="E39" s="335">
        <v>9695</v>
      </c>
      <c r="F39" s="335">
        <v>39570515.714375101</v>
      </c>
    </row>
    <row r="40" spans="1:6">
      <c r="A40" s="1286" t="s">
        <v>30</v>
      </c>
      <c r="B40" s="1286" t="s">
        <v>29</v>
      </c>
      <c r="C40" s="335">
        <v>0</v>
      </c>
      <c r="D40" s="335">
        <v>0</v>
      </c>
      <c r="E40" s="335">
        <v>0</v>
      </c>
      <c r="F40" s="335">
        <v>0</v>
      </c>
    </row>
    <row r="41" spans="1:6">
      <c r="A41" s="1286" t="s">
        <v>32</v>
      </c>
      <c r="B41" s="1286" t="s">
        <v>33</v>
      </c>
      <c r="C41" s="335">
        <v>6</v>
      </c>
      <c r="D41" s="335">
        <v>195354.809549925</v>
      </c>
      <c r="E41" s="335">
        <v>84</v>
      </c>
      <c r="F41" s="335">
        <v>689520.20315893798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178904.04434280499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31</v>
      </c>
      <c r="D48" s="335">
        <v>989034.28826389101</v>
      </c>
      <c r="E48" s="335">
        <v>59</v>
      </c>
      <c r="F48" s="335">
        <v>891415.90306025499</v>
      </c>
    </row>
    <row r="49" spans="1:6">
      <c r="A49" s="1286" t="s">
        <v>32</v>
      </c>
      <c r="B49" s="1286" t="s">
        <v>40</v>
      </c>
      <c r="C49" s="335">
        <v>0</v>
      </c>
      <c r="D49" s="335">
        <v>0</v>
      </c>
      <c r="E49" s="335">
        <v>4</v>
      </c>
      <c r="F49" s="335">
        <v>128856.48084401</v>
      </c>
    </row>
    <row r="50" spans="1:6">
      <c r="A50" s="1286" t="s">
        <v>32</v>
      </c>
      <c r="B50" s="1286" t="s">
        <v>41</v>
      </c>
      <c r="C50" s="335">
        <v>8</v>
      </c>
      <c r="D50" s="335">
        <v>236230.20519413101</v>
      </c>
      <c r="E50" s="335">
        <v>19</v>
      </c>
      <c r="F50" s="335">
        <v>863273.45529590605</v>
      </c>
    </row>
    <row r="51" spans="1:6">
      <c r="A51" s="1286" t="s">
        <v>42</v>
      </c>
      <c r="B51" s="1286" t="s">
        <v>43</v>
      </c>
      <c r="C51" s="335">
        <v>0</v>
      </c>
      <c r="D51" s="335">
        <v>0</v>
      </c>
      <c r="E51" s="335">
        <v>22</v>
      </c>
      <c r="F51" s="335">
        <v>288893.11807819997</v>
      </c>
    </row>
    <row r="52" spans="1:6">
      <c r="A52" s="1286" t="s">
        <v>42</v>
      </c>
      <c r="B52" s="1286" t="s">
        <v>29</v>
      </c>
      <c r="C52" s="335">
        <v>4</v>
      </c>
      <c r="D52" s="335">
        <v>784897.208395564</v>
      </c>
      <c r="E52" s="335">
        <v>12</v>
      </c>
      <c r="F52" s="335">
        <v>180840.48667494601</v>
      </c>
    </row>
    <row r="53" spans="1:6">
      <c r="A53" s="1286" t="s">
        <v>44</v>
      </c>
      <c r="B53" s="1286" t="s">
        <v>45</v>
      </c>
      <c r="C53" s="335">
        <v>93</v>
      </c>
      <c r="D53" s="335">
        <v>2000173.2365174601</v>
      </c>
      <c r="E53" s="335">
        <v>277</v>
      </c>
      <c r="F53" s="335">
        <v>1606659.7641384201</v>
      </c>
    </row>
    <row r="54" spans="1:6">
      <c r="A54" s="1286" t="s">
        <v>46</v>
      </c>
      <c r="B54" s="1286" t="s">
        <v>47</v>
      </c>
      <c r="C54" s="335">
        <v>0</v>
      </c>
      <c r="D54" s="335">
        <v>0</v>
      </c>
      <c r="E54" s="335">
        <v>1</v>
      </c>
      <c r="F54" s="335">
        <v>1404669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291815.46835948899</v>
      </c>
      <c r="E57" s="335">
        <v>71</v>
      </c>
      <c r="F57" s="335">
        <v>838440.24420531897</v>
      </c>
    </row>
    <row r="58" spans="1:6">
      <c r="A58" s="1286" t="s">
        <v>49</v>
      </c>
      <c r="B58" s="1286" t="s">
        <v>51</v>
      </c>
      <c r="C58" s="335">
        <v>8</v>
      </c>
      <c r="D58" s="335">
        <v>555684.02171222097</v>
      </c>
      <c r="E58" s="335">
        <v>39</v>
      </c>
      <c r="F58" s="335">
        <v>501131.85920414701</v>
      </c>
    </row>
    <row r="59" spans="1:6">
      <c r="A59" s="1286" t="s">
        <v>49</v>
      </c>
      <c r="B59" s="1286" t="s">
        <v>52</v>
      </c>
      <c r="C59" s="335">
        <v>41</v>
      </c>
      <c r="D59" s="335">
        <v>1841460.1895144801</v>
      </c>
      <c r="E59" s="335">
        <v>150</v>
      </c>
      <c r="F59" s="335">
        <v>4085560.40538225</v>
      </c>
    </row>
    <row r="60" spans="1:6">
      <c r="A60" s="1286" t="s">
        <v>49</v>
      </c>
      <c r="B60" s="1286" t="s">
        <v>53</v>
      </c>
      <c r="C60" s="335">
        <v>54</v>
      </c>
      <c r="D60" s="335">
        <v>2625742.1179907601</v>
      </c>
      <c r="E60" s="335">
        <v>89</v>
      </c>
      <c r="F60" s="335">
        <v>2016174.9728228</v>
      </c>
    </row>
    <row r="61" spans="1:6">
      <c r="A61" s="1286" t="s">
        <v>49</v>
      </c>
      <c r="B61" s="1286" t="s">
        <v>54</v>
      </c>
      <c r="C61" s="335">
        <v>58</v>
      </c>
      <c r="D61" s="335">
        <v>3965981.9891182198</v>
      </c>
      <c r="E61" s="335">
        <v>251</v>
      </c>
      <c r="F61" s="335">
        <v>2665566.8782336898</v>
      </c>
    </row>
    <row r="62" spans="1:6">
      <c r="A62" s="1286" t="s">
        <v>49</v>
      </c>
      <c r="B62" s="1286" t="s">
        <v>55</v>
      </c>
      <c r="C62" s="335">
        <v>0</v>
      </c>
      <c r="D62" s="335">
        <v>0</v>
      </c>
      <c r="E62" s="335">
        <v>14</v>
      </c>
      <c r="F62" s="335">
        <v>115876.11919353</v>
      </c>
    </row>
    <row r="63" spans="1:6">
      <c r="A63" s="1286" t="s">
        <v>49</v>
      </c>
      <c r="B63" s="1286" t="s">
        <v>29</v>
      </c>
      <c r="C63" s="335">
        <v>153</v>
      </c>
      <c r="D63" s="335">
        <v>6224218.0226304103</v>
      </c>
      <c r="E63" s="335">
        <v>229</v>
      </c>
      <c r="F63" s="335">
        <v>6300007.5501055997</v>
      </c>
    </row>
    <row r="64" spans="1:6">
      <c r="A64" s="1286" t="s">
        <v>56</v>
      </c>
      <c r="B64" s="1286" t="s">
        <v>57</v>
      </c>
      <c r="C64" s="335">
        <v>0</v>
      </c>
      <c r="D64" s="335">
        <v>0</v>
      </c>
      <c r="E64" s="335">
        <v>0</v>
      </c>
      <c r="F64" s="335">
        <v>0</v>
      </c>
    </row>
    <row r="65" spans="1:6">
      <c r="A65" s="1286" t="s">
        <v>56</v>
      </c>
      <c r="B65" s="1286" t="s">
        <v>29</v>
      </c>
      <c r="C65" s="335">
        <v>0</v>
      </c>
      <c r="D65" s="335">
        <v>0</v>
      </c>
      <c r="E65" s="335">
        <v>6</v>
      </c>
      <c r="F65" s="335">
        <v>31832.379009839198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219637.19842150499</v>
      </c>
      <c r="E68" s="335">
        <v>11</v>
      </c>
      <c r="F68" s="335">
        <v>82239.929640514907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112860215</v>
      </c>
      <c r="E73" s="335">
        <v>60153442.599737383</v>
      </c>
    </row>
    <row r="74" spans="1:6">
      <c r="A74" s="1286" t="s">
        <v>64</v>
      </c>
      <c r="B74" s="1286" t="s">
        <v>772</v>
      </c>
      <c r="C74" s="1297" t="s">
        <v>766</v>
      </c>
      <c r="D74" s="335">
        <v>8837777.770956628</v>
      </c>
      <c r="E74" s="335">
        <v>4500076.7852023421</v>
      </c>
    </row>
    <row r="75" spans="1:6">
      <c r="A75" s="1286" t="s">
        <v>65</v>
      </c>
      <c r="B75" s="1286" t="s">
        <v>771</v>
      </c>
      <c r="C75" s="1297" t="s">
        <v>767</v>
      </c>
      <c r="D75" s="335">
        <v>93106085</v>
      </c>
      <c r="E75" s="335">
        <v>50708270.299956858</v>
      </c>
    </row>
    <row r="76" spans="1:6">
      <c r="A76" s="1286" t="s">
        <v>65</v>
      </c>
      <c r="B76" s="1286" t="s">
        <v>772</v>
      </c>
      <c r="C76" s="1297" t="s">
        <v>768</v>
      </c>
      <c r="D76" s="335">
        <v>3640985.7709566276</v>
      </c>
      <c r="E76" s="335">
        <v>1857147.0764002213</v>
      </c>
    </row>
    <row r="77" spans="1:6">
      <c r="A77" s="1286" t="s">
        <v>66</v>
      </c>
      <c r="B77" s="1286" t="s">
        <v>771</v>
      </c>
      <c r="C77" s="1297" t="s">
        <v>769</v>
      </c>
      <c r="D77" s="335">
        <v>11339142</v>
      </c>
      <c r="E77" s="335">
        <v>13304672.637789501</v>
      </c>
    </row>
    <row r="78" spans="1:6">
      <c r="A78" s="1282" t="s">
        <v>66</v>
      </c>
      <c r="B78" s="1282" t="s">
        <v>772</v>
      </c>
      <c r="C78" s="1282" t="s">
        <v>770</v>
      </c>
      <c r="D78" s="1282">
        <v>1306632</v>
      </c>
      <c r="E78" s="1282">
        <v>1493412.6724897597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298776.45808674488</v>
      </c>
      <c r="C83" s="335">
        <v>289584.95063166344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4033.6404375678812</v>
      </c>
    </row>
    <row r="92" spans="1:6">
      <c r="A92" s="1282" t="s">
        <v>69</v>
      </c>
      <c r="B92" s="338">
        <v>879.96904159745759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1234</v>
      </c>
    </row>
    <row r="98" spans="1:6">
      <c r="A98" s="1286" t="s">
        <v>72</v>
      </c>
      <c r="B98" s="335">
        <v>1</v>
      </c>
    </row>
    <row r="99" spans="1:6">
      <c r="A99" s="1286" t="s">
        <v>73</v>
      </c>
      <c r="B99" s="335">
        <v>130</v>
      </c>
    </row>
    <row r="100" spans="1:6">
      <c r="A100" s="1286" t="s">
        <v>74</v>
      </c>
      <c r="B100" s="335">
        <v>475</v>
      </c>
    </row>
    <row r="101" spans="1:6">
      <c r="A101" s="1286" t="s">
        <v>75</v>
      </c>
      <c r="B101" s="335">
        <v>64</v>
      </c>
    </row>
    <row r="102" spans="1:6">
      <c r="A102" s="1286" t="s">
        <v>76</v>
      </c>
      <c r="B102" s="335">
        <v>106</v>
      </c>
    </row>
    <row r="103" spans="1:6">
      <c r="A103" s="1286" t="s">
        <v>77</v>
      </c>
      <c r="B103" s="335">
        <v>209</v>
      </c>
    </row>
    <row r="104" spans="1:6">
      <c r="A104" s="1286" t="s">
        <v>78</v>
      </c>
      <c r="B104" s="335">
        <v>6605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84</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66364.518749413241</v>
      </c>
      <c r="C3" s="44" t="s">
        <v>170</v>
      </c>
      <c r="D3" s="44"/>
      <c r="E3" s="157"/>
      <c r="F3" s="44"/>
      <c r="G3" s="44"/>
      <c r="H3" s="44"/>
      <c r="I3" s="44"/>
      <c r="J3" s="44"/>
      <c r="K3" s="97"/>
    </row>
    <row r="4" spans="1:11">
      <c r="A4" s="365" t="s">
        <v>171</v>
      </c>
      <c r="B4" s="50">
        <f>IF(ISERROR('SEAP template'!B78),0,'SEAP template'!B78)</f>
        <v>4913.6094791653386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0.20463722490031405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1404.6690000000001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1404.6690000000001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0.20463722490031405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287.44756606349927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39570.515714375098</v>
      </c>
      <c r="C5" s="18">
        <f>IF(ISERROR('Eigen informatie GS &amp; warmtenet'!B57),0,'Eigen informatie GS &amp; warmtenet'!B57)</f>
        <v>0</v>
      </c>
      <c r="D5" s="31">
        <f>(SUM(HH_hh_gas_kWh,HH_rest_gas_kWh)/1000)*0.902</f>
        <v>48394.22345239525</v>
      </c>
      <c r="E5" s="18">
        <f>B46*B57</f>
        <v>6937.0286386783964</v>
      </c>
      <c r="F5" s="18">
        <f>B51*B62</f>
        <v>98065.771162488061</v>
      </c>
      <c r="G5" s="19"/>
      <c r="H5" s="18"/>
      <c r="I5" s="18"/>
      <c r="J5" s="18">
        <f>B50*B61+C50*C61</f>
        <v>855.19521006292314</v>
      </c>
      <c r="K5" s="18"/>
      <c r="L5" s="18"/>
      <c r="M5" s="18"/>
      <c r="N5" s="18">
        <f>B48*B59+C48*C59</f>
        <v>11090.852859418605</v>
      </c>
      <c r="O5" s="18">
        <f>B69*B70*B71</f>
        <v>145.39000000000001</v>
      </c>
      <c r="P5" s="18">
        <f>B77*B78*B79/1000-B77*B78*B79/1000/B80</f>
        <v>572</v>
      </c>
    </row>
    <row r="6" spans="1:16">
      <c r="A6" s="17" t="s">
        <v>639</v>
      </c>
      <c r="B6" s="780">
        <f>kWh_PV_kleiner_dan_10kW</f>
        <v>4033.6404375678812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43604.156151942982</v>
      </c>
      <c r="C8" s="22">
        <f>C5</f>
        <v>0</v>
      </c>
      <c r="D8" s="22">
        <f>D5</f>
        <v>48394.22345239525</v>
      </c>
      <c r="E8" s="22">
        <f>E5</f>
        <v>6937.0286386783964</v>
      </c>
      <c r="F8" s="22">
        <f>F5</f>
        <v>98065.771162488061</v>
      </c>
      <c r="G8" s="22"/>
      <c r="H8" s="22"/>
      <c r="I8" s="22"/>
      <c r="J8" s="22">
        <f>J5</f>
        <v>855.19521006292314</v>
      </c>
      <c r="K8" s="22"/>
      <c r="L8" s="22">
        <f>L5</f>
        <v>0</v>
      </c>
      <c r="M8" s="22">
        <f>M5</f>
        <v>0</v>
      </c>
      <c r="N8" s="22">
        <f>N5</f>
        <v>11090.852859418605</v>
      </c>
      <c r="O8" s="22">
        <f>O5</f>
        <v>145.39000000000001</v>
      </c>
      <c r="P8" s="22">
        <f>P5</f>
        <v>572</v>
      </c>
    </row>
    <row r="9" spans="1:16">
      <c r="B9" s="20"/>
      <c r="C9" s="20"/>
      <c r="D9" s="262"/>
      <c r="E9" s="20"/>
      <c r="F9" s="20"/>
      <c r="G9" s="20"/>
      <c r="H9" s="20"/>
      <c r="I9" s="20"/>
      <c r="J9" s="20"/>
      <c r="K9" s="20"/>
      <c r="L9" s="20"/>
      <c r="M9" s="20"/>
      <c r="N9" s="20"/>
      <c r="O9" s="20"/>
      <c r="P9" s="20"/>
    </row>
    <row r="10" spans="1:16">
      <c r="A10" s="25" t="s">
        <v>214</v>
      </c>
      <c r="B10" s="26">
        <f ca="1">'EF ele_warmte'!B12</f>
        <v>0.20463722490031405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8923.0335090535682</v>
      </c>
      <c r="C12" s="24">
        <f ca="1">C10*C8</f>
        <v>0</v>
      </c>
      <c r="D12" s="24">
        <f>D8*D10</f>
        <v>9775.633137383842</v>
      </c>
      <c r="E12" s="24">
        <f>E10*E8</f>
        <v>1574.705500979996</v>
      </c>
      <c r="F12" s="24">
        <f>F10*F8</f>
        <v>26183.560900384313</v>
      </c>
      <c r="G12" s="24"/>
      <c r="H12" s="24"/>
      <c r="I12" s="24"/>
      <c r="J12" s="24">
        <f>J10*J8</f>
        <v>302.73910436227476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1234</v>
      </c>
      <c r="C18" s="169" t="s">
        <v>111</v>
      </c>
      <c r="D18" s="231"/>
      <c r="E18" s="16"/>
    </row>
    <row r="19" spans="1:7">
      <c r="A19" s="174" t="s">
        <v>72</v>
      </c>
      <c r="B19" s="38">
        <f>aantalw2001_ander</f>
        <v>1</v>
      </c>
      <c r="C19" s="169" t="s">
        <v>111</v>
      </c>
      <c r="D19" s="232"/>
      <c r="E19" s="16"/>
    </row>
    <row r="20" spans="1:7">
      <c r="A20" s="174" t="s">
        <v>73</v>
      </c>
      <c r="B20" s="38">
        <f>aantalw2001_propaan</f>
        <v>130</v>
      </c>
      <c r="C20" s="170">
        <f>IF(ISERROR(B20/SUM($B$20,$B$21,$B$22)*100),0,B20/SUM($B$20,$B$21,$B$22)*100)</f>
        <v>19.431988041853511</v>
      </c>
      <c r="D20" s="232"/>
      <c r="E20" s="16"/>
    </row>
    <row r="21" spans="1:7">
      <c r="A21" s="174" t="s">
        <v>74</v>
      </c>
      <c r="B21" s="38">
        <f>aantalw2001_elektriciteit</f>
        <v>475</v>
      </c>
      <c r="C21" s="170">
        <f>IF(ISERROR(B21/SUM($B$20,$B$21,$B$22)*100),0,B21/SUM($B$20,$B$21,$B$22)*100)</f>
        <v>71.00149476831092</v>
      </c>
      <c r="D21" s="232"/>
      <c r="E21" s="16"/>
    </row>
    <row r="22" spans="1:7">
      <c r="A22" s="174" t="s">
        <v>75</v>
      </c>
      <c r="B22" s="38">
        <f>aantalw2001_hout</f>
        <v>64</v>
      </c>
      <c r="C22" s="170">
        <f>IF(ISERROR(B22/SUM($B$20,$B$21,$B$22)*100),0,B22/SUM($B$20,$B$21,$B$22)*100)</f>
        <v>9.5665171898355759</v>
      </c>
      <c r="D22" s="232"/>
      <c r="E22" s="16"/>
    </row>
    <row r="23" spans="1:7">
      <c r="A23" s="174" t="s">
        <v>76</v>
      </c>
      <c r="B23" s="38">
        <f>aantalw2001_niet_gespec</f>
        <v>106</v>
      </c>
      <c r="C23" s="169" t="s">
        <v>111</v>
      </c>
      <c r="D23" s="231"/>
      <c r="E23" s="16"/>
    </row>
    <row r="24" spans="1:7">
      <c r="A24" s="174" t="s">
        <v>77</v>
      </c>
      <c r="B24" s="38">
        <f>aantalw2001_steenkool</f>
        <v>209</v>
      </c>
      <c r="C24" s="169" t="s">
        <v>111</v>
      </c>
      <c r="D24" s="232"/>
      <c r="E24" s="16"/>
    </row>
    <row r="25" spans="1:7">
      <c r="A25" s="174" t="s">
        <v>78</v>
      </c>
      <c r="B25" s="38">
        <f>aantalw2001_stookolie</f>
        <v>6605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9698</v>
      </c>
      <c r="C28" s="37"/>
      <c r="D28" s="231"/>
    </row>
    <row r="29" spans="1:7" s="16" customFormat="1">
      <c r="A29" s="233" t="s">
        <v>666</v>
      </c>
      <c r="B29" s="38">
        <f>SUM(HH_hh_gas_aantal,HH_rest_gas_aantal)</f>
        <v>3053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3053</v>
      </c>
      <c r="C32" s="170">
        <f>IF(ISERROR(B32/SUM($B$32,$B$34,$B$35,$B$36,$B$38,$B$39)*100),0,B32/SUM($B$32,$B$34,$B$35,$B$36,$B$38,$B$39)*100)</f>
        <v>31.578402978899462</v>
      </c>
      <c r="D32" s="236"/>
      <c r="G32" s="16"/>
    </row>
    <row r="33" spans="1:7">
      <c r="A33" s="174" t="s">
        <v>72</v>
      </c>
      <c r="B33" s="35" t="s">
        <v>111</v>
      </c>
      <c r="C33" s="170"/>
      <c r="D33" s="236"/>
      <c r="G33" s="16"/>
    </row>
    <row r="34" spans="1:7">
      <c r="A34" s="174" t="s">
        <v>73</v>
      </c>
      <c r="B34" s="34">
        <f>IF((($B$28-$B$32-$B$39-$B$77-$B$38)*C20/100)&lt;0,0,($B$28-$B$32-$B$39-$B$77-$B$38)*C20/100)</f>
        <v>314.79820627802695</v>
      </c>
      <c r="C34" s="170">
        <f>IF(ISERROR(B34/SUM($B$32,$B$34,$B$35,$B$36,$B$38,$B$39)*100),0,B34/SUM($B$32,$B$34,$B$35,$B$36,$B$38,$B$39)*100)</f>
        <v>3.2560840533515405</v>
      </c>
      <c r="D34" s="236"/>
      <c r="G34" s="16"/>
    </row>
    <row r="35" spans="1:7">
      <c r="A35" s="174" t="s">
        <v>74</v>
      </c>
      <c r="B35" s="34">
        <f>IF((($B$28-$B$32-$B$39-$B$77-$B$38)*C21/100)&lt;0,0,($B$28-$B$32-$B$39-$B$77-$B$38)*C21/100)</f>
        <v>1150.2242152466372</v>
      </c>
      <c r="C35" s="170">
        <f>IF(ISERROR(B35/SUM($B$32,$B$34,$B$35,$B$36,$B$38,$B$39)*100),0,B35/SUM($B$32,$B$34,$B$35,$B$36,$B$38,$B$39)*100)</f>
        <v>11.897230194938324</v>
      </c>
      <c r="D35" s="236"/>
      <c r="G35" s="16"/>
    </row>
    <row r="36" spans="1:7">
      <c r="A36" s="174" t="s">
        <v>75</v>
      </c>
      <c r="B36" s="34">
        <f>IF((($B$28-$B$32-$B$39-$B$77-$B$38)*C22/100)&lt;0,0,($B$28-$B$32-$B$39-$B$77-$B$38)*C22/100)</f>
        <v>154.97757847533637</v>
      </c>
      <c r="C36" s="170">
        <f>IF(ISERROR(B36/SUM($B$32,$B$34,$B$35,$B$36,$B$38,$B$39)*100),0,B36/SUM($B$32,$B$34,$B$35,$B$36,$B$38,$B$39)*100)</f>
        <v>1.6029952262653742</v>
      </c>
      <c r="D36" s="236"/>
      <c r="G36" s="16"/>
    </row>
    <row r="37" spans="1:7">
      <c r="A37" s="174" t="s">
        <v>76</v>
      </c>
      <c r="B37" s="35" t="s">
        <v>111</v>
      </c>
      <c r="C37" s="170"/>
      <c r="D37" s="176"/>
      <c r="G37" s="16"/>
    </row>
    <row r="38" spans="1:7">
      <c r="A38" s="174" t="s">
        <v>77</v>
      </c>
      <c r="B38" s="34">
        <f>IF((B24-(B29-B18)*0.1)&lt;0,0,B24-(B29-B18)*0.1)</f>
        <v>27.099999999999994</v>
      </c>
      <c r="C38" s="170">
        <f>IF(ISERROR(B38/SUM($B$32,$B$34,$B$35,$B$36,$B$38,$B$39)*100),0,B38/SUM($B$32,$B$34,$B$35,$B$36,$B$38,$B$39)*100)</f>
        <v>0.28030616466694247</v>
      </c>
      <c r="D38" s="237"/>
      <c r="G38" s="16"/>
    </row>
    <row r="39" spans="1:7">
      <c r="A39" s="174" t="s">
        <v>78</v>
      </c>
      <c r="B39" s="34">
        <f>IF((B25-(B29-B18))&lt;0,0,B25-(B29-B18)*0.9)</f>
        <v>4967.8999999999996</v>
      </c>
      <c r="C39" s="170">
        <f>IF(ISERROR(B39/SUM($B$32,$B$34,$B$35,$B$36,$B$38,$B$39)*100),0,B39/SUM($B$32,$B$34,$B$35,$B$36,$B$38,$B$39)*100)</f>
        <v>51.384981381878362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3053</v>
      </c>
      <c r="C44" s="35" t="s">
        <v>111</v>
      </c>
      <c r="D44" s="177"/>
    </row>
    <row r="45" spans="1:7">
      <c r="A45" s="174" t="s">
        <v>72</v>
      </c>
      <c r="B45" s="34" t="str">
        <f t="shared" si="0"/>
        <v>-</v>
      </c>
      <c r="C45" s="35" t="s">
        <v>111</v>
      </c>
      <c r="D45" s="177"/>
    </row>
    <row r="46" spans="1:7">
      <c r="A46" s="174" t="s">
        <v>73</v>
      </c>
      <c r="B46" s="34">
        <f t="shared" si="0"/>
        <v>314.79820627802695</v>
      </c>
      <c r="C46" s="35" t="s">
        <v>111</v>
      </c>
      <c r="D46" s="177"/>
    </row>
    <row r="47" spans="1:7">
      <c r="A47" s="174" t="s">
        <v>74</v>
      </c>
      <c r="B47" s="34">
        <f t="shared" si="0"/>
        <v>1150.2242152466372</v>
      </c>
      <c r="C47" s="35" t="s">
        <v>111</v>
      </c>
      <c r="D47" s="177"/>
    </row>
    <row r="48" spans="1:7">
      <c r="A48" s="174" t="s">
        <v>75</v>
      </c>
      <c r="B48" s="34">
        <f t="shared" si="0"/>
        <v>154.97757847533637</v>
      </c>
      <c r="C48" s="34">
        <f>B48*10</f>
        <v>1549.7757847533637</v>
      </c>
      <c r="D48" s="237"/>
    </row>
    <row r="49" spans="1:6">
      <c r="A49" s="174" t="s">
        <v>76</v>
      </c>
      <c r="B49" s="34" t="str">
        <f t="shared" si="0"/>
        <v>-</v>
      </c>
      <c r="C49" s="35" t="s">
        <v>111</v>
      </c>
      <c r="D49" s="237"/>
    </row>
    <row r="50" spans="1:6">
      <c r="A50" s="174" t="s">
        <v>77</v>
      </c>
      <c r="B50" s="34">
        <f t="shared" si="0"/>
        <v>27.099999999999994</v>
      </c>
      <c r="C50" s="34">
        <f>B50*2</f>
        <v>54.199999999999989</v>
      </c>
      <c r="D50" s="237"/>
    </row>
    <row r="51" spans="1:6">
      <c r="A51" s="174" t="s">
        <v>78</v>
      </c>
      <c r="B51" s="34">
        <f t="shared" si="0"/>
        <v>4967.8999999999996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16522.758029147335</v>
      </c>
      <c r="C5" s="18">
        <f>IF(ISERROR('Eigen informatie GS &amp; warmtenet'!B58),0,'Eigen informatie GS &amp; warmtenet'!B58)</f>
        <v>0</v>
      </c>
      <c r="D5" s="31">
        <f>SUM(D6:D12)</f>
        <v>13985.421432011673</v>
      </c>
      <c r="E5" s="18">
        <f>SUM(E6:E12)</f>
        <v>192.86241133395163</v>
      </c>
      <c r="F5" s="18">
        <f>SUM(F6:F12)</f>
        <v>3326.1529828426428</v>
      </c>
      <c r="G5" s="19"/>
      <c r="H5" s="18"/>
      <c r="I5" s="18"/>
      <c r="J5" s="18">
        <f>SUM(J6:J12)</f>
        <v>0</v>
      </c>
      <c r="K5" s="18"/>
      <c r="L5" s="18"/>
      <c r="M5" s="18"/>
      <c r="N5" s="18">
        <f>SUM(N6:N12)</f>
        <v>923.80168551870679</v>
      </c>
      <c r="O5" s="18">
        <f>B38*B39*B40</f>
        <v>0</v>
      </c>
      <c r="P5" s="18">
        <f>B46*B47*B48/1000-B46*B47*B48/1000/B49</f>
        <v>0</v>
      </c>
      <c r="R5" s="33"/>
    </row>
    <row r="6" spans="1:18">
      <c r="A6" s="33" t="s">
        <v>54</v>
      </c>
      <c r="B6" s="38">
        <f>B26</f>
        <v>2665.5668782336897</v>
      </c>
      <c r="C6" s="34"/>
      <c r="D6" s="38">
        <f>IF(ISERROR(TER_kantoor_gas_kWh/1000),0,TER_kantoor_gas_kWh/1000)*0.902</f>
        <v>3577.315754184634</v>
      </c>
      <c r="E6" s="34">
        <f>$C$26*'E Balans VL '!I12/100/3.6*1000000</f>
        <v>4.374735493211543</v>
      </c>
      <c r="F6" s="34">
        <f>$C$26*('E Balans VL '!L12+'E Balans VL '!N12)/100/3.6*1000000</f>
        <v>314.20761756094606</v>
      </c>
      <c r="G6" s="35"/>
      <c r="H6" s="34"/>
      <c r="I6" s="34"/>
      <c r="J6" s="34">
        <f>$C$26*('E Balans VL '!D12+'E Balans VL '!E12)/100/3.6*1000000</f>
        <v>0</v>
      </c>
      <c r="K6" s="34"/>
      <c r="L6" s="34"/>
      <c r="M6" s="34"/>
      <c r="N6" s="34">
        <f>$C$26*'E Balans VL '!Y12/100/3.6*1000000</f>
        <v>0.53856516525457798</v>
      </c>
      <c r="O6" s="34"/>
      <c r="P6" s="34"/>
      <c r="R6" s="33"/>
    </row>
    <row r="7" spans="1:18">
      <c r="A7" s="33" t="s">
        <v>53</v>
      </c>
      <c r="B7" s="38">
        <f t="shared" ref="B7:B12" si="0">B27</f>
        <v>2016.1749728228001</v>
      </c>
      <c r="C7" s="34"/>
      <c r="D7" s="38">
        <f>IF(ISERROR(TER_horeca_gas_kWh/1000),0,TER_horeca_gas_kWh/1000)*0.902</f>
        <v>2368.4193904276658</v>
      </c>
      <c r="E7" s="34">
        <f>$C$27*'E Balans VL '!I9/100/3.6*1000000</f>
        <v>104.62489173519943</v>
      </c>
      <c r="F7" s="34">
        <f>$C$27*('E Balans VL '!L9+'E Balans VL '!N9)/100/3.6*1000000</f>
        <v>460.09259174197388</v>
      </c>
      <c r="G7" s="35"/>
      <c r="H7" s="34"/>
      <c r="I7" s="34"/>
      <c r="J7" s="34">
        <f>$C$27*('E Balans VL '!D9+'E Balans VL '!E9)/100/3.6*1000000</f>
        <v>0</v>
      </c>
      <c r="K7" s="34"/>
      <c r="L7" s="34"/>
      <c r="M7" s="34"/>
      <c r="N7" s="34">
        <f>$C$27*'E Balans VL '!Y9/100/3.6*1000000</f>
        <v>0.21290715317759676</v>
      </c>
      <c r="O7" s="34"/>
      <c r="P7" s="34"/>
      <c r="R7" s="33"/>
    </row>
    <row r="8" spans="1:18">
      <c r="A8" s="6" t="s">
        <v>52</v>
      </c>
      <c r="B8" s="38">
        <f t="shared" si="0"/>
        <v>4085.5604053822499</v>
      </c>
      <c r="C8" s="34"/>
      <c r="D8" s="38">
        <f>IF(ISERROR(TER_handel_gas_kWh/1000),0,TER_handel_gas_kWh/1000)*0.902</f>
        <v>1660.997090942061</v>
      </c>
      <c r="E8" s="34">
        <f>$C$28*'E Balans VL '!I13/100/3.6*1000000</f>
        <v>22.001244831629581</v>
      </c>
      <c r="F8" s="34">
        <f>$C$28*('E Balans VL '!L13+'E Balans VL '!N13)/100/3.6*1000000</f>
        <v>833.1671785775103</v>
      </c>
      <c r="G8" s="35"/>
      <c r="H8" s="34"/>
      <c r="I8" s="34"/>
      <c r="J8" s="34">
        <f>$C$28*('E Balans VL '!D13+'E Balans VL '!E13)/100/3.6*1000000</f>
        <v>0</v>
      </c>
      <c r="K8" s="34"/>
      <c r="L8" s="34"/>
      <c r="M8" s="34"/>
      <c r="N8" s="34">
        <f>$C$28*'E Balans VL '!Y13/100/3.6*1000000</f>
        <v>20.315334373330128</v>
      </c>
      <c r="O8" s="34"/>
      <c r="P8" s="34"/>
      <c r="R8" s="33"/>
    </row>
    <row r="9" spans="1:18">
      <c r="A9" s="33" t="s">
        <v>51</v>
      </c>
      <c r="B9" s="38">
        <f t="shared" si="0"/>
        <v>501.13185920414702</v>
      </c>
      <c r="C9" s="34"/>
      <c r="D9" s="38">
        <f>IF(ISERROR(TER_gezond_gas_kWh/1000),0,TER_gezond_gas_kWh/1000)*0.902</f>
        <v>501.22698758442334</v>
      </c>
      <c r="E9" s="34">
        <f>$C$29*'E Balans VL '!I10/100/3.6*1000000</f>
        <v>0.49662737131922724</v>
      </c>
      <c r="F9" s="34">
        <f>$C$29*('E Balans VL '!L10+'E Balans VL '!N10)/100/3.6*1000000</f>
        <v>173.87831057215419</v>
      </c>
      <c r="G9" s="35"/>
      <c r="H9" s="34"/>
      <c r="I9" s="34"/>
      <c r="J9" s="34">
        <f>$C$29*('E Balans VL '!D10+'E Balans VL '!E10)/100/3.6*1000000</f>
        <v>0</v>
      </c>
      <c r="K9" s="34"/>
      <c r="L9" s="34"/>
      <c r="M9" s="34"/>
      <c r="N9" s="34">
        <f>$C$29*'E Balans VL '!Y10/100/3.6*1000000</f>
        <v>4.3182098179173067</v>
      </c>
      <c r="O9" s="34"/>
      <c r="P9" s="34"/>
      <c r="R9" s="33"/>
    </row>
    <row r="10" spans="1:18">
      <c r="A10" s="33" t="s">
        <v>50</v>
      </c>
      <c r="B10" s="38">
        <f t="shared" si="0"/>
        <v>838.440244205319</v>
      </c>
      <c r="C10" s="34"/>
      <c r="D10" s="38">
        <f>IF(ISERROR(TER_ander_gas_kWh/1000),0,TER_ander_gas_kWh/1000)*0.902</f>
        <v>263.21755246025907</v>
      </c>
      <c r="E10" s="34">
        <f>$C$30*'E Balans VL '!I14/100/3.6*1000000</f>
        <v>6.8592791589457978</v>
      </c>
      <c r="F10" s="34">
        <f>$C$30*('E Balans VL '!L14+'E Balans VL '!N14)/100/3.6*1000000</f>
        <v>245.12579308956978</v>
      </c>
      <c r="G10" s="35"/>
      <c r="H10" s="34"/>
      <c r="I10" s="34"/>
      <c r="J10" s="34">
        <f>$C$30*('E Balans VL '!D14+'E Balans VL '!E14)/100/3.6*1000000</f>
        <v>0</v>
      </c>
      <c r="K10" s="34"/>
      <c r="L10" s="34"/>
      <c r="M10" s="34"/>
      <c r="N10" s="34">
        <f>$C$30*'E Balans VL '!Y14/100/3.6*1000000</f>
        <v>483.67000825097273</v>
      </c>
      <c r="O10" s="34"/>
      <c r="P10" s="34"/>
      <c r="R10" s="33"/>
    </row>
    <row r="11" spans="1:18">
      <c r="A11" s="33" t="s">
        <v>55</v>
      </c>
      <c r="B11" s="38">
        <f t="shared" si="0"/>
        <v>115.87611919353</v>
      </c>
      <c r="C11" s="34"/>
      <c r="D11" s="38">
        <f>IF(ISERROR(TER_onderwijs_gas_kWh/1000),0,TER_onderwijs_gas_kWh/1000)*0.902</f>
        <v>0</v>
      </c>
      <c r="E11" s="34">
        <f>$C$31*'E Balans VL '!I11/100/3.6*1000000</f>
        <v>7.1421150572004641E-2</v>
      </c>
      <c r="F11" s="34">
        <f>$C$31*('E Balans VL '!L11+'E Balans VL '!N11)/100/3.6*1000000</f>
        <v>44.799584255650515</v>
      </c>
      <c r="G11" s="35"/>
      <c r="H11" s="34"/>
      <c r="I11" s="34"/>
      <c r="J11" s="34">
        <f>$C$31*('E Balans VL '!D11+'E Balans VL '!E11)/100/3.6*1000000</f>
        <v>0</v>
      </c>
      <c r="K11" s="34"/>
      <c r="L11" s="34"/>
      <c r="M11" s="34"/>
      <c r="N11" s="34">
        <f>$C$31*'E Balans VL '!Y11/100/3.6*1000000</f>
        <v>0.37692018401440297</v>
      </c>
      <c r="O11" s="34"/>
      <c r="P11" s="34"/>
      <c r="R11" s="33"/>
    </row>
    <row r="12" spans="1:18">
      <c r="A12" s="33" t="s">
        <v>260</v>
      </c>
      <c r="B12" s="38">
        <f t="shared" si="0"/>
        <v>6300.0075501055999</v>
      </c>
      <c r="C12" s="34"/>
      <c r="D12" s="38">
        <f>IF(ISERROR(TER_rest_gas_kWh/1000),0,TER_rest_gas_kWh/1000)*0.902</f>
        <v>5614.2446564126303</v>
      </c>
      <c r="E12" s="34">
        <f>$C$32*'E Balans VL '!I8/100/3.6*1000000</f>
        <v>54.434211593074039</v>
      </c>
      <c r="F12" s="34">
        <f>$C$32*('E Balans VL '!L8+'E Balans VL '!N8)/100/3.6*1000000</f>
        <v>1254.8819070448385</v>
      </c>
      <c r="G12" s="35"/>
      <c r="H12" s="34"/>
      <c r="I12" s="34"/>
      <c r="J12" s="34">
        <f>$C$32*('E Balans VL '!D8+'E Balans VL '!E8)/100/3.6*1000000</f>
        <v>0</v>
      </c>
      <c r="K12" s="34"/>
      <c r="L12" s="34"/>
      <c r="M12" s="34"/>
      <c r="N12" s="34">
        <f>$C$32*'E Balans VL '!Y8/100/3.6*1000000</f>
        <v>414.36974057404007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16522.758029147335</v>
      </c>
      <c r="C16" s="22">
        <f t="shared" ca="1" si="1"/>
        <v>0</v>
      </c>
      <c r="D16" s="22">
        <f t="shared" ca="1" si="1"/>
        <v>13985.421432011673</v>
      </c>
      <c r="E16" s="22">
        <f t="shared" si="1"/>
        <v>192.86241133395163</v>
      </c>
      <c r="F16" s="22">
        <f t="shared" ca="1" si="1"/>
        <v>3326.1529828426428</v>
      </c>
      <c r="G16" s="22">
        <f t="shared" si="1"/>
        <v>0</v>
      </c>
      <c r="H16" s="22">
        <f t="shared" si="1"/>
        <v>0</v>
      </c>
      <c r="I16" s="22">
        <f t="shared" si="1"/>
        <v>0</v>
      </c>
      <c r="J16" s="22">
        <f t="shared" si="1"/>
        <v>0</v>
      </c>
      <c r="K16" s="22">
        <f t="shared" si="1"/>
        <v>0</v>
      </c>
      <c r="L16" s="22">
        <f t="shared" ca="1" si="1"/>
        <v>0</v>
      </c>
      <c r="M16" s="22">
        <f t="shared" si="1"/>
        <v>0</v>
      </c>
      <c r="N16" s="22">
        <f t="shared" ca="1" si="1"/>
        <v>923.80168551870679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0.20463722490031405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3381.1713507840927</v>
      </c>
      <c r="C20" s="24">
        <f t="shared" ref="C20:P20" ca="1" si="2">C16*C18</f>
        <v>0</v>
      </c>
      <c r="D20" s="24">
        <f t="shared" ca="1" si="2"/>
        <v>2825.0551292663581</v>
      </c>
      <c r="E20" s="24">
        <f t="shared" si="2"/>
        <v>43.779767372807022</v>
      </c>
      <c r="F20" s="24">
        <f t="shared" ca="1" si="2"/>
        <v>888.0828464189857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2665.5668782336897</v>
      </c>
      <c r="C26" s="40">
        <f>IF(ISERROR(B26*3.6/1000000/'E Balans VL '!Z12*100),0,B26*3.6/1000000/'E Balans VL '!Z12*100)</f>
        <v>5.6641384601708471E-2</v>
      </c>
      <c r="D26" s="240" t="s">
        <v>707</v>
      </c>
      <c r="F26" s="6"/>
    </row>
    <row r="27" spans="1:18">
      <c r="A27" s="234" t="s">
        <v>53</v>
      </c>
      <c r="B27" s="34">
        <f>IF(ISERROR(TER_horeca_ele_kWh/1000),0,TER_horeca_ele_kWh/1000)</f>
        <v>2016.1749728228001</v>
      </c>
      <c r="C27" s="40">
        <f>IF(ISERROR(B27*3.6/1000000/'E Balans VL '!Z9*100),0,B27*3.6/1000000/'E Balans VL '!Z9*100)</f>
        <v>0.1586885613746063</v>
      </c>
      <c r="D27" s="240" t="s">
        <v>707</v>
      </c>
      <c r="F27" s="6"/>
    </row>
    <row r="28" spans="1:18">
      <c r="A28" s="174" t="s">
        <v>52</v>
      </c>
      <c r="B28" s="34">
        <f>IF(ISERROR(TER_handel_ele_kWh/1000),0,TER_handel_ele_kWh/1000)</f>
        <v>4085.5604053822499</v>
      </c>
      <c r="C28" s="40">
        <f>IF(ISERROR(B28*3.6/1000000/'E Balans VL '!Z13*100),0,B28*3.6/1000000/'E Balans VL '!Z13*100)</f>
        <v>0.11443873346036319</v>
      </c>
      <c r="D28" s="240" t="s">
        <v>707</v>
      </c>
      <c r="F28" s="6"/>
    </row>
    <row r="29" spans="1:18">
      <c r="A29" s="234" t="s">
        <v>51</v>
      </c>
      <c r="B29" s="34">
        <f>IF(ISERROR(TER_gezond_ele_kWh/1000),0,TER_gezond_ele_kWh/1000)</f>
        <v>501.13185920414702</v>
      </c>
      <c r="C29" s="40">
        <f>IF(ISERROR(B29*3.6/1000000/'E Balans VL '!Z10*100),0,B29*3.6/1000000/'E Balans VL '!Z10*100)</f>
        <v>6.410991840933003E-2</v>
      </c>
      <c r="D29" s="240" t="s">
        <v>707</v>
      </c>
      <c r="F29" s="6"/>
    </row>
    <row r="30" spans="1:18">
      <c r="A30" s="234" t="s">
        <v>50</v>
      </c>
      <c r="B30" s="34">
        <f>IF(ISERROR(TER_ander_ele_kWh/1000),0,TER_ander_ele_kWh/1000)</f>
        <v>838.440244205319</v>
      </c>
      <c r="C30" s="40">
        <f>IF(ISERROR(B30*3.6/1000000/'E Balans VL '!Z14*100),0,B30*3.6/1000000/'E Balans VL '!Z14*100)</f>
        <v>6.2708265445645534E-2</v>
      </c>
      <c r="D30" s="240" t="s">
        <v>707</v>
      </c>
      <c r="F30" s="6"/>
    </row>
    <row r="31" spans="1:18">
      <c r="A31" s="234" t="s">
        <v>55</v>
      </c>
      <c r="B31" s="34">
        <f>IF(ISERROR(TER_onderwijs_ele_kWh/1000),0,TER_onderwijs_ele_kWh/1000)</f>
        <v>115.87611919353</v>
      </c>
      <c r="C31" s="40">
        <f>IF(ISERROR(B31*3.6/1000000/'E Balans VL '!Z11*100),0,B31*3.6/1000000/'E Balans VL '!Z11*100)</f>
        <v>2.4467392665654206E-2</v>
      </c>
      <c r="D31" s="240" t="s">
        <v>707</v>
      </c>
    </row>
    <row r="32" spans="1:18">
      <c r="A32" s="234" t="s">
        <v>260</v>
      </c>
      <c r="B32" s="34">
        <f>IF(ISERROR(TER_rest_ele_kWh/1000),0,TER_rest_ele_kWh/1000)</f>
        <v>6300.0075501055999</v>
      </c>
      <c r="C32" s="40">
        <f>IF(ISERROR(B32*3.6/1000000/'E Balans VL '!Z8*100),0,B32*3.6/1000000/'E Balans VL '!Z8*100)</f>
        <v>5.1899034209526906E-2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2751.9700867019142</v>
      </c>
      <c r="C5" s="18">
        <f>IF(ISERROR('Eigen informatie GS &amp; warmtenet'!B59),0,'Eigen informatie GS &amp; warmtenet'!B59)</f>
        <v>0</v>
      </c>
      <c r="D5" s="31">
        <f>SUM(D6:D15)</f>
        <v>1281.3986113131682</v>
      </c>
      <c r="E5" s="18">
        <f>SUM(E6:E15)</f>
        <v>22.363914523781133</v>
      </c>
      <c r="F5" s="18">
        <f>SUM(F6:F15)</f>
        <v>847.80851862243924</v>
      </c>
      <c r="G5" s="19"/>
      <c r="H5" s="18"/>
      <c r="I5" s="18"/>
      <c r="J5" s="18">
        <f>SUM(J6:J15)</f>
        <v>7.4851159829064589</v>
      </c>
      <c r="K5" s="18"/>
      <c r="L5" s="18"/>
      <c r="M5" s="18"/>
      <c r="N5" s="18">
        <f>SUM(N6:N15)</f>
        <v>94.340161925650094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178.90404434280498</v>
      </c>
      <c r="C8" s="34"/>
      <c r="D8" s="38">
        <f>IF( ISERROR(IND_metaal_Gas_kWH/1000),0,IND_metaal_Gas_kWH/1000)*0.902</f>
        <v>0</v>
      </c>
      <c r="E8" s="34">
        <f>C30*'E Balans VL '!I18/100/3.6*1000000</f>
        <v>1.6292468911108762</v>
      </c>
      <c r="F8" s="34">
        <f>C30*'E Balans VL '!L18/100/3.6*1000000+C30*'E Balans VL '!N18/100/3.6*1000000</f>
        <v>23.596084828168191</v>
      </c>
      <c r="G8" s="35"/>
      <c r="H8" s="34"/>
      <c r="I8" s="34"/>
      <c r="J8" s="41">
        <f>C30*'E Balans VL '!D18/100/3.6*1000000+C30*'E Balans VL '!E18/100/3.6*1000000</f>
        <v>2.9337665679032683</v>
      </c>
      <c r="K8" s="34"/>
      <c r="L8" s="34"/>
      <c r="M8" s="34"/>
      <c r="N8" s="34">
        <f>C30*'E Balans VL '!Y18/100/3.6*1000000</f>
        <v>0.6148221309569124</v>
      </c>
      <c r="O8" s="34"/>
      <c r="P8" s="34"/>
      <c r="R8" s="33"/>
    </row>
    <row r="9" spans="1:18">
      <c r="A9" s="6" t="s">
        <v>33</v>
      </c>
      <c r="B9" s="38">
        <f t="shared" si="0"/>
        <v>689.52020315893799</v>
      </c>
      <c r="C9" s="34"/>
      <c r="D9" s="38">
        <f>IF( ISERROR(IND_andere_gas_kWh/1000),0,IND_andere_gas_kWh/1000)*0.902</f>
        <v>176.21003821403235</v>
      </c>
      <c r="E9" s="34">
        <f>C31*'E Balans VL '!I19/100/3.6*1000000</f>
        <v>3.9855298145302553</v>
      </c>
      <c r="F9" s="34">
        <f>C31*'E Balans VL '!L19/100/3.6*1000000+C31*'E Balans VL '!N19/100/3.6*1000000</f>
        <v>548.54650001219375</v>
      </c>
      <c r="G9" s="35"/>
      <c r="H9" s="34"/>
      <c r="I9" s="34"/>
      <c r="J9" s="41">
        <f>C31*'E Balans VL '!D19/100/3.6*1000000+C31*'E Balans VL '!E19/100/3.6*1000000</f>
        <v>6.5220952245350058E-2</v>
      </c>
      <c r="K9" s="34"/>
      <c r="L9" s="34"/>
      <c r="M9" s="34"/>
      <c r="N9" s="34">
        <f>C31*'E Balans VL '!Y19/100/3.6*1000000</f>
        <v>52.241590110379377</v>
      </c>
      <c r="O9" s="34"/>
      <c r="P9" s="34"/>
      <c r="R9" s="33"/>
    </row>
    <row r="10" spans="1:18">
      <c r="A10" s="6" t="s">
        <v>41</v>
      </c>
      <c r="B10" s="38">
        <f t="shared" si="0"/>
        <v>863.27345529590605</v>
      </c>
      <c r="C10" s="34"/>
      <c r="D10" s="38">
        <f>IF( ISERROR(IND_voed_gas_kWh/1000),0,IND_voed_gas_kWh/1000)*0.902</f>
        <v>213.07964508510616</v>
      </c>
      <c r="E10" s="34">
        <f>C32*'E Balans VL '!I20/100/3.6*1000000</f>
        <v>8.4882365195437828</v>
      </c>
      <c r="F10" s="34">
        <f>C32*'E Balans VL '!L20/100/3.6*1000000+C32*'E Balans VL '!N20/100/3.6*1000000</f>
        <v>95.877785212035036</v>
      </c>
      <c r="G10" s="35"/>
      <c r="H10" s="34"/>
      <c r="I10" s="34"/>
      <c r="J10" s="41">
        <f>C32*'E Balans VL '!D20/100/3.6*1000000+C32*'E Balans VL '!E20/100/3.6*1000000</f>
        <v>3.40255258988819E-3</v>
      </c>
      <c r="K10" s="34"/>
      <c r="L10" s="34"/>
      <c r="M10" s="34"/>
      <c r="N10" s="34">
        <f>C32*'E Balans VL '!Y20/100/3.6*1000000</f>
        <v>12.783049239721082</v>
      </c>
      <c r="O10" s="34"/>
      <c r="P10" s="34"/>
      <c r="R10" s="33"/>
    </row>
    <row r="11" spans="1:18">
      <c r="A11" s="6" t="s">
        <v>40</v>
      </c>
      <c r="B11" s="38">
        <f t="shared" si="0"/>
        <v>128.85648084401001</v>
      </c>
      <c r="C11" s="34"/>
      <c r="D11" s="38">
        <f>IF( ISERROR(IND_textiel_gas_kWh/1000),0,IND_textiel_gas_kWh/1000)*0.902</f>
        <v>0</v>
      </c>
      <c r="E11" s="34">
        <f>C33*'E Balans VL '!I21/100/3.6*1000000</f>
        <v>0.25091348956029547</v>
      </c>
      <c r="F11" s="34">
        <f>C33*'E Balans VL '!L21/100/3.6*1000000+C33*'E Balans VL '!N21/100/3.6*1000000</f>
        <v>4.2501095812389451</v>
      </c>
      <c r="G11" s="35"/>
      <c r="H11" s="34"/>
      <c r="I11" s="34"/>
      <c r="J11" s="41">
        <f>C33*'E Balans VL '!D21/100/3.6*1000000+C33*'E Balans VL '!E21/100/3.6*1000000</f>
        <v>0</v>
      </c>
      <c r="K11" s="34"/>
      <c r="L11" s="34"/>
      <c r="M11" s="34"/>
      <c r="N11" s="34">
        <f>C33*'E Balans VL '!Y21/100/3.6*1000000</f>
        <v>1.3365806217424507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891.415903060255</v>
      </c>
      <c r="C15" s="34"/>
      <c r="D15" s="38">
        <f>IF( ISERROR(IND_rest_gas_kWh/1000),0,IND_rest_gas_kWh/1000)*0.902</f>
        <v>892.10892801402963</v>
      </c>
      <c r="E15" s="34">
        <f>C37*'E Balans VL '!I15/100/3.6*1000000</f>
        <v>8.0099878090359251</v>
      </c>
      <c r="F15" s="34">
        <f>C37*'E Balans VL '!L15/100/3.6*1000000+C37*'E Balans VL '!N15/100/3.6*1000000</f>
        <v>175.53803898880332</v>
      </c>
      <c r="G15" s="35"/>
      <c r="H15" s="34"/>
      <c r="I15" s="34"/>
      <c r="J15" s="41">
        <f>C37*'E Balans VL '!D15/100/3.6*1000000+C37*'E Balans VL '!E15/100/3.6*1000000</f>
        <v>4.482725910167952</v>
      </c>
      <c r="K15" s="34"/>
      <c r="L15" s="34"/>
      <c r="M15" s="34"/>
      <c r="N15" s="34">
        <f>C37*'E Balans VL '!Y15/100/3.6*1000000</f>
        <v>27.364119822850267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2751.9700867019142</v>
      </c>
      <c r="C18" s="22">
        <f>C5+C16</f>
        <v>0</v>
      </c>
      <c r="D18" s="22">
        <f>MAX((D5+D16),0)</f>
        <v>1281.3986113131682</v>
      </c>
      <c r="E18" s="22">
        <f>MAX((E5+E16),0)</f>
        <v>22.363914523781133</v>
      </c>
      <c r="F18" s="22">
        <f>MAX((F5+F16),0)</f>
        <v>847.80851862243924</v>
      </c>
      <c r="G18" s="22"/>
      <c r="H18" s="22"/>
      <c r="I18" s="22"/>
      <c r="J18" s="22">
        <f>MAX((J5+J16),0)</f>
        <v>7.4851159829064589</v>
      </c>
      <c r="K18" s="22"/>
      <c r="L18" s="22">
        <f>MAX((L5+L16),0)</f>
        <v>0</v>
      </c>
      <c r="M18" s="22"/>
      <c r="N18" s="22">
        <f>MAX((N5+N16),0)</f>
        <v>94.340161925650094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0.20463722490031405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563.1555215513564</v>
      </c>
      <c r="C22" s="24">
        <f ca="1">C18*C20</f>
        <v>0</v>
      </c>
      <c r="D22" s="24">
        <f>D18*D20</f>
        <v>258.84251948525997</v>
      </c>
      <c r="E22" s="24">
        <f>E18*E20</f>
        <v>5.0766085968983177</v>
      </c>
      <c r="F22" s="24">
        <f>F18*F20</f>
        <v>226.3648744721913</v>
      </c>
      <c r="G22" s="24"/>
      <c r="H22" s="24"/>
      <c r="I22" s="24"/>
      <c r="J22" s="24">
        <f>J18*J20</f>
        <v>2.6497310579488862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178.90404434280498</v>
      </c>
      <c r="C30" s="40">
        <f>IF(ISERROR(B30*3.6/1000000/'E Balans VL '!Z18*100),0,B30*3.6/1000000/'E Balans VL '!Z18*100)</f>
        <v>9.9548137465966993E-3</v>
      </c>
      <c r="D30" s="240" t="s">
        <v>707</v>
      </c>
    </row>
    <row r="31" spans="1:18">
      <c r="A31" s="6" t="s">
        <v>33</v>
      </c>
      <c r="B31" s="38">
        <f>IF( ISERROR(IND_ander_ele_kWh/1000),0,IND_ander_ele_kWh/1000)</f>
        <v>689.52020315893799</v>
      </c>
      <c r="C31" s="40">
        <f>IF(ISERROR(B31*3.6/1000000/'E Balans VL '!Z19*100),0,B31*3.6/1000000/'E Balans VL '!Z19*100)</f>
        <v>3.2053983356076482E-2</v>
      </c>
      <c r="D31" s="240" t="s">
        <v>707</v>
      </c>
    </row>
    <row r="32" spans="1:18">
      <c r="A32" s="174" t="s">
        <v>41</v>
      </c>
      <c r="B32" s="38">
        <f>IF( ISERROR(IND_voed_ele_kWh/1000),0,IND_voed_ele_kWh/1000)</f>
        <v>863.27345529590605</v>
      </c>
      <c r="C32" s="40">
        <f>IF(ISERROR(B32*3.6/1000000/'E Balans VL '!Z20*100),0,B32*3.6/1000000/'E Balans VL '!Z20*100)</f>
        <v>3.0514973190131245E-2</v>
      </c>
      <c r="D32" s="240" t="s">
        <v>707</v>
      </c>
    </row>
    <row r="33" spans="1:5">
      <c r="A33" s="174" t="s">
        <v>40</v>
      </c>
      <c r="B33" s="38">
        <f>IF( ISERROR(IND_textiel_ele_kWh/1000),0,IND_textiel_ele_kWh/1000)</f>
        <v>128.85648084401001</v>
      </c>
      <c r="C33" s="40">
        <f>IF(ISERROR(B33*3.6/1000000/'E Balans VL '!Z21*100),0,B33*3.6/1000000/'E Balans VL '!Z21*100)</f>
        <v>1.7404022998057014E-2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891.415903060255</v>
      </c>
      <c r="C37" s="40">
        <f>IF(ISERROR(B37*3.6/1000000/'E Balans VL '!Z15*100),0,B37*3.6/1000000/'E Balans VL '!Z15*100)</f>
        <v>6.7315068885167011E-3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469.73360475314593</v>
      </c>
      <c r="C5" s="18">
        <f>'Eigen informatie GS &amp; warmtenet'!B60</f>
        <v>0</v>
      </c>
      <c r="D5" s="31">
        <f>IF(ISERROR(SUM(LB_lb_gas_kWh,LB_rest_gas_kWh)/1000),0,SUM(LB_lb_gas_kWh,LB_rest_gas_kWh)/1000)*0.902</f>
        <v>707.97728197279878</v>
      </c>
      <c r="E5" s="18">
        <f>B17*'E Balans VL '!I25/3.6*1000000/100</f>
        <v>4.4252052886139985</v>
      </c>
      <c r="F5" s="18">
        <f>B17*('E Balans VL '!L25/3.6*1000000+'E Balans VL '!N25/3.6*1000000)/100</f>
        <v>1532.8966432020859</v>
      </c>
      <c r="G5" s="19"/>
      <c r="H5" s="18"/>
      <c r="I5" s="18"/>
      <c r="J5" s="18">
        <f>('E Balans VL '!D25+'E Balans VL '!E25)/3.6*1000000*landbouw!B17/100</f>
        <v>58.108331691778787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469.73360475314593</v>
      </c>
      <c r="C8" s="22">
        <f>C5+C6</f>
        <v>0</v>
      </c>
      <c r="D8" s="22">
        <f>MAX((D5+D6),0)</f>
        <v>707.97728197279878</v>
      </c>
      <c r="E8" s="22">
        <f>MAX((E5+E6),0)</f>
        <v>4.4252052886139985</v>
      </c>
      <c r="F8" s="22">
        <f>MAX((F5+F6),0)</f>
        <v>1532.8966432020859</v>
      </c>
      <c r="G8" s="22"/>
      <c r="H8" s="22"/>
      <c r="I8" s="22"/>
      <c r="J8" s="22">
        <f>MAX((J5+J6),0)</f>
        <v>58.108331691778787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0.20463722490031405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96.124981319104748</v>
      </c>
      <c r="C12" s="24">
        <f ca="1">C8*C10</f>
        <v>0</v>
      </c>
      <c r="D12" s="24">
        <f>D8*D10</f>
        <v>143.01141095850537</v>
      </c>
      <c r="E12" s="24">
        <f>E8*E10</f>
        <v>1.0045216005153776</v>
      </c>
      <c r="F12" s="24">
        <f>F8*F10</f>
        <v>409.28340373495695</v>
      </c>
      <c r="G12" s="24"/>
      <c r="H12" s="24"/>
      <c r="I12" s="24"/>
      <c r="J12" s="24">
        <f>J8*J10</f>
        <v>20.570349418889691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6.3594423980519371E-2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126.08650580722536</v>
      </c>
      <c r="C26" s="250">
        <f>B26*'GWP N2O_CH4'!B5</f>
        <v>2647.8166219517325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26.688028074738433</v>
      </c>
      <c r="C27" s="250">
        <f>B27*'GWP N2O_CH4'!B5</f>
        <v>560.44858956950713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2.0836240893169551</v>
      </c>
      <c r="C28" s="250">
        <f>B28*'GWP N2O_CH4'!B4</f>
        <v>645.9234676882561</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1.6459605825975875E-5</v>
      </c>
      <c r="C5" s="447" t="s">
        <v>211</v>
      </c>
      <c r="D5" s="432">
        <f>SUM(D6:D11)</f>
        <v>5.3944840406980251E-5</v>
      </c>
      <c r="E5" s="432">
        <f>SUM(E6:E11)</f>
        <v>3.0786167822423193E-3</v>
      </c>
      <c r="F5" s="445" t="s">
        <v>211</v>
      </c>
      <c r="G5" s="432">
        <f>SUM(G6:G11)</f>
        <v>0.57043752270019032</v>
      </c>
      <c r="H5" s="432">
        <f>SUM(H6:H11)</f>
        <v>0.11852908079278107</v>
      </c>
      <c r="I5" s="447" t="s">
        <v>211</v>
      </c>
      <c r="J5" s="447" t="s">
        <v>211</v>
      </c>
      <c r="K5" s="447" t="s">
        <v>211</v>
      </c>
      <c r="L5" s="447" t="s">
        <v>211</v>
      </c>
      <c r="M5" s="432">
        <f>SUM(M6:M11)</f>
        <v>3.082358201094108E-2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8.5484957727606744E-6</v>
      </c>
      <c r="C6" s="433"/>
      <c r="D6" s="433">
        <f>vkm_2011_GW_PW*SUMIFS(TableVerdeelsleutelVkm[CNG],TableVerdeelsleutelVkm[Voertuigtype],"Lichte voertuigen")*SUMIFS(TableECFTransport[EnergieConsumptieFactor (PJ per km)],TableECFTransport[Index],CONCATENATE($A6,"_CNG_CNG"))</f>
        <v>2.0875569839650244E-5</v>
      </c>
      <c r="E6" s="435">
        <f>vkm_2011_GW_PW*SUMIFS(TableVerdeelsleutelVkm[LPG],TableVerdeelsleutelVkm[Voertuigtype],"Lichte voertuigen")*SUMIFS(TableECFTransport[EnergieConsumptieFactor (PJ per km)],TableECFTransport[Index],CONCATENATE($A6,"_LPG_LPG"))</f>
        <v>1.2373958980507775E-3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0.17888013314066867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4.6879343765141163E-2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1.0109925137419217E-2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8.216959635220282E-2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3.3152228604821471E-5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3.6606300943955359E-3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7.0522369113048037E-6</v>
      </c>
      <c r="C8" s="433"/>
      <c r="D8" s="435">
        <f>vkm_2011_NGW_PW*SUMIFS(TableVerdeelsleutelVkm[CNG],TableVerdeelsleutelVkm[Voertuigtype],"Lichte voertuigen")*SUMIFS(TableECFTransport[EnergieConsumptieFactor (PJ per km)],TableECFTransport[Index],CONCATENATE($A8,"_CNG_CNG"))</f>
        <v>3.0898621054084755E-5</v>
      </c>
      <c r="E8" s="435">
        <f>vkm_2011_NGW_PW*SUMIFS(TableVerdeelsleutelVkm[LPG],TableVerdeelsleutelVkm[Voertuigtype],"Lichte voertuigen")*SUMIFS(TableECFTransport[EnergieConsumptieFactor (PJ per km)],TableECFTransport[Index],CONCATENATE($A8,"_LPG_LPG"))</f>
        <v>1.6802272891961723E-3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0.22946078325681915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6.6445432438446084E-2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1.3257259532379188E-2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4.6932288874081726E-2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1.6486924859292711E-5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2.0907069623625455E-3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8.5887314191039792E-7</v>
      </c>
      <c r="C10" s="433"/>
      <c r="D10" s="435">
        <f>vkm_2011_SW_PW*SUMIFS(TableVerdeelsleutelVkm[CNG],TableVerdeelsleutelVkm[Voertuigtype],"Lichte voertuigen")*SUMIFS(TableECFTransport[EnergieConsumptieFactor (PJ per km)],TableECFTransport[Index],CONCATENATE($A10,"_CNG_CNG"))</f>
        <v>2.1706495132452486E-6</v>
      </c>
      <c r="E10" s="435">
        <f>vkm_2011_SW_PW*SUMIFS(TableVerdeelsleutelVkm[LPG],TableVerdeelsleutelVkm[Voertuigtype],"Lichte voertuigen")*SUMIFS(TableECFTransport[EnergieConsumptieFactor (PJ per km)],TableECFTransport[Index],CONCATENATE($A10,"_LPG_LPG"))</f>
        <v>1.6099359499536928E-4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2.1210005698086412E-2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5.1496209718764454E-3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1.1800416059754581E-3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1.1784715378331619E-2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5.0444638532577087E-6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5.2501867840913641E-4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4.5721127294377428</v>
      </c>
      <c r="C14" s="22"/>
      <c r="D14" s="22">
        <f t="shared" ref="D14:M14" si="0">((D5)*10^9/3600)+D12</f>
        <v>14.984677890827847</v>
      </c>
      <c r="E14" s="22">
        <f t="shared" si="0"/>
        <v>855.17132840064414</v>
      </c>
      <c r="F14" s="22"/>
      <c r="G14" s="22">
        <f t="shared" si="0"/>
        <v>158454.86741671953</v>
      </c>
      <c r="H14" s="22">
        <f t="shared" si="0"/>
        <v>32924.744664661412</v>
      </c>
      <c r="I14" s="22"/>
      <c r="J14" s="22"/>
      <c r="K14" s="22"/>
      <c r="L14" s="22"/>
      <c r="M14" s="22">
        <f t="shared" si="0"/>
        <v>8562.1061141502996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0.20463722490031405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0.93562446088354012</v>
      </c>
      <c r="C18" s="24"/>
      <c r="D18" s="24">
        <f t="shared" ref="D18:M18" si="1">D14*D16</f>
        <v>3.0269049339472254</v>
      </c>
      <c r="E18" s="24">
        <f t="shared" si="1"/>
        <v>194.12389154694623</v>
      </c>
      <c r="F18" s="24"/>
      <c r="G18" s="24">
        <f t="shared" si="1"/>
        <v>42307.449600264117</v>
      </c>
      <c r="H18" s="24">
        <f t="shared" si="1"/>
        <v>8198.2614215006906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3.9161432248885075E-3</v>
      </c>
      <c r="H50" s="323">
        <f t="shared" si="2"/>
        <v>0</v>
      </c>
      <c r="I50" s="323">
        <f t="shared" si="2"/>
        <v>0</v>
      </c>
      <c r="J50" s="323">
        <f t="shared" si="2"/>
        <v>0</v>
      </c>
      <c r="K50" s="323">
        <f t="shared" si="2"/>
        <v>0</v>
      </c>
      <c r="L50" s="323">
        <f t="shared" si="2"/>
        <v>0</v>
      </c>
      <c r="M50" s="323">
        <f t="shared" si="2"/>
        <v>1.7196430908718901E-4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3.9161432248885075E-3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1.7196430908718901E-4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1087.81756246903</v>
      </c>
      <c r="H54" s="22">
        <f t="shared" si="3"/>
        <v>0</v>
      </c>
      <c r="I54" s="22">
        <f t="shared" si="3"/>
        <v>0</v>
      </c>
      <c r="J54" s="22">
        <f t="shared" si="3"/>
        <v>0</v>
      </c>
      <c r="K54" s="22">
        <f t="shared" si="3"/>
        <v>0</v>
      </c>
      <c r="L54" s="22">
        <f t="shared" si="3"/>
        <v>0</v>
      </c>
      <c r="M54" s="22">
        <f t="shared" si="3"/>
        <v>47.767863635330279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0.20463722490031405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290.44728917923101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17927.427029147337</v>
      </c>
      <c r="D10" s="688">
        <f ca="1">tertiair!C16</f>
        <v>0</v>
      </c>
      <c r="E10" s="688">
        <f ca="1">tertiair!D16</f>
        <v>13985.421432011673</v>
      </c>
      <c r="F10" s="688">
        <f>tertiair!E16</f>
        <v>192.86241133395163</v>
      </c>
      <c r="G10" s="688">
        <f ca="1">tertiair!F16</f>
        <v>3326.1529828426428</v>
      </c>
      <c r="H10" s="688">
        <f>tertiair!G16</f>
        <v>0</v>
      </c>
      <c r="I10" s="688">
        <f>tertiair!H16</f>
        <v>0</v>
      </c>
      <c r="J10" s="688">
        <f>tertiair!I16</f>
        <v>0</v>
      </c>
      <c r="K10" s="688">
        <f>tertiair!J16</f>
        <v>0</v>
      </c>
      <c r="L10" s="688">
        <f>tertiair!K16</f>
        <v>0</v>
      </c>
      <c r="M10" s="688">
        <f ca="1">tertiair!L16</f>
        <v>0</v>
      </c>
      <c r="N10" s="688">
        <f>tertiair!M16</f>
        <v>0</v>
      </c>
      <c r="O10" s="688">
        <f ca="1">tertiair!N16</f>
        <v>923.80168551870679</v>
      </c>
      <c r="P10" s="688">
        <f>tertiair!O16</f>
        <v>0</v>
      </c>
      <c r="Q10" s="689">
        <f>tertiair!P16</f>
        <v>0</v>
      </c>
      <c r="R10" s="691">
        <f ca="1">SUM(C10:Q10)</f>
        <v>36355.665540854308</v>
      </c>
      <c r="S10" s="68"/>
    </row>
    <row r="11" spans="1:19" s="457" customFormat="1">
      <c r="A11" s="803" t="s">
        <v>225</v>
      </c>
      <c r="B11" s="808"/>
      <c r="C11" s="688">
        <f>huishoudens!B8</f>
        <v>43604.156151942982</v>
      </c>
      <c r="D11" s="688">
        <f>huishoudens!C8</f>
        <v>0</v>
      </c>
      <c r="E11" s="688">
        <f>huishoudens!D8</f>
        <v>48394.22345239525</v>
      </c>
      <c r="F11" s="688">
        <f>huishoudens!E8</f>
        <v>6937.0286386783964</v>
      </c>
      <c r="G11" s="688">
        <f>huishoudens!F8</f>
        <v>98065.771162488061</v>
      </c>
      <c r="H11" s="688">
        <f>huishoudens!G8</f>
        <v>0</v>
      </c>
      <c r="I11" s="688">
        <f>huishoudens!H8</f>
        <v>0</v>
      </c>
      <c r="J11" s="688">
        <f>huishoudens!I8</f>
        <v>0</v>
      </c>
      <c r="K11" s="688">
        <f>huishoudens!J8</f>
        <v>855.19521006292314</v>
      </c>
      <c r="L11" s="688">
        <f>huishoudens!K8</f>
        <v>0</v>
      </c>
      <c r="M11" s="688">
        <f>huishoudens!L8</f>
        <v>0</v>
      </c>
      <c r="N11" s="688">
        <f>huishoudens!M8</f>
        <v>0</v>
      </c>
      <c r="O11" s="688">
        <f>huishoudens!N8</f>
        <v>11090.852859418605</v>
      </c>
      <c r="P11" s="688">
        <f>huishoudens!O8</f>
        <v>145.39000000000001</v>
      </c>
      <c r="Q11" s="689">
        <f>huishoudens!P8</f>
        <v>572</v>
      </c>
      <c r="R11" s="691">
        <f>SUM(C11:Q11)</f>
        <v>209664.61747498624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2751.9700867019142</v>
      </c>
      <c r="D13" s="688">
        <f>industrie!C18</f>
        <v>0</v>
      </c>
      <c r="E13" s="688">
        <f>industrie!D18</f>
        <v>1281.3986113131682</v>
      </c>
      <c r="F13" s="688">
        <f>industrie!E18</f>
        <v>22.363914523781133</v>
      </c>
      <c r="G13" s="688">
        <f>industrie!F18</f>
        <v>847.80851862243924</v>
      </c>
      <c r="H13" s="688">
        <f>industrie!G18</f>
        <v>0</v>
      </c>
      <c r="I13" s="688">
        <f>industrie!H18</f>
        <v>0</v>
      </c>
      <c r="J13" s="688">
        <f>industrie!I18</f>
        <v>0</v>
      </c>
      <c r="K13" s="688">
        <f>industrie!J18</f>
        <v>7.4851159829064589</v>
      </c>
      <c r="L13" s="688">
        <f>industrie!K18</f>
        <v>0</v>
      </c>
      <c r="M13" s="688">
        <f>industrie!L18</f>
        <v>0</v>
      </c>
      <c r="N13" s="688">
        <f>industrie!M18</f>
        <v>0</v>
      </c>
      <c r="O13" s="688">
        <f>industrie!N18</f>
        <v>94.340161925650094</v>
      </c>
      <c r="P13" s="688">
        <f>industrie!O18</f>
        <v>0</v>
      </c>
      <c r="Q13" s="689">
        <f>industrie!P18</f>
        <v>0</v>
      </c>
      <c r="R13" s="691">
        <f>SUM(C13:Q13)</f>
        <v>5005.3664090698594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64283.553267792231</v>
      </c>
      <c r="D16" s="721">
        <f t="shared" ref="D16:R16" ca="1" si="0">SUM(D9:D15)</f>
        <v>0</v>
      </c>
      <c r="E16" s="721">
        <f t="shared" ca="1" si="0"/>
        <v>63661.043495720092</v>
      </c>
      <c r="F16" s="721">
        <f t="shared" si="0"/>
        <v>7152.2549645361296</v>
      </c>
      <c r="G16" s="721">
        <f t="shared" ca="1" si="0"/>
        <v>102239.73266395314</v>
      </c>
      <c r="H16" s="721">
        <f t="shared" si="0"/>
        <v>0</v>
      </c>
      <c r="I16" s="721">
        <f t="shared" si="0"/>
        <v>0</v>
      </c>
      <c r="J16" s="721">
        <f t="shared" si="0"/>
        <v>0</v>
      </c>
      <c r="K16" s="721">
        <f t="shared" si="0"/>
        <v>862.68032604582959</v>
      </c>
      <c r="L16" s="721">
        <f t="shared" si="0"/>
        <v>0</v>
      </c>
      <c r="M16" s="721">
        <f t="shared" ca="1" si="0"/>
        <v>0</v>
      </c>
      <c r="N16" s="721">
        <f t="shared" si="0"/>
        <v>0</v>
      </c>
      <c r="O16" s="721">
        <f t="shared" ca="1" si="0"/>
        <v>12108.994706862961</v>
      </c>
      <c r="P16" s="721">
        <f t="shared" si="0"/>
        <v>145.39000000000001</v>
      </c>
      <c r="Q16" s="721">
        <f t="shared" si="0"/>
        <v>572</v>
      </c>
      <c r="R16" s="721">
        <f t="shared" ca="1" si="0"/>
        <v>251025.6494249104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1087.81756246903</v>
      </c>
      <c r="I19" s="688">
        <f>transport!H54</f>
        <v>0</v>
      </c>
      <c r="J19" s="688">
        <f>transport!I54</f>
        <v>0</v>
      </c>
      <c r="K19" s="688">
        <f>transport!J54</f>
        <v>0</v>
      </c>
      <c r="L19" s="688">
        <f>transport!K54</f>
        <v>0</v>
      </c>
      <c r="M19" s="688">
        <f>transport!L54</f>
        <v>0</v>
      </c>
      <c r="N19" s="688">
        <f>transport!M54</f>
        <v>47.767863635330279</v>
      </c>
      <c r="O19" s="688">
        <f>transport!N54</f>
        <v>0</v>
      </c>
      <c r="P19" s="688">
        <f>transport!O54</f>
        <v>0</v>
      </c>
      <c r="Q19" s="689">
        <f>transport!P54</f>
        <v>0</v>
      </c>
      <c r="R19" s="691">
        <f>SUM(C19:Q19)</f>
        <v>1135.5854261043603</v>
      </c>
      <c r="S19" s="68"/>
    </row>
    <row r="20" spans="1:19" s="457" customFormat="1">
      <c r="A20" s="803" t="s">
        <v>307</v>
      </c>
      <c r="B20" s="808"/>
      <c r="C20" s="688">
        <f>transport!B14</f>
        <v>4.5721127294377428</v>
      </c>
      <c r="D20" s="688">
        <f>transport!C14</f>
        <v>0</v>
      </c>
      <c r="E20" s="688">
        <f>transport!D14</f>
        <v>14.984677890827847</v>
      </c>
      <c r="F20" s="688">
        <f>transport!E14</f>
        <v>855.17132840064414</v>
      </c>
      <c r="G20" s="688">
        <f>transport!F14</f>
        <v>0</v>
      </c>
      <c r="H20" s="688">
        <f>transport!G14</f>
        <v>158454.86741671953</v>
      </c>
      <c r="I20" s="688">
        <f>transport!H14</f>
        <v>32924.744664661412</v>
      </c>
      <c r="J20" s="688">
        <f>transport!I14</f>
        <v>0</v>
      </c>
      <c r="K20" s="688">
        <f>transport!J14</f>
        <v>0</v>
      </c>
      <c r="L20" s="688">
        <f>transport!K14</f>
        <v>0</v>
      </c>
      <c r="M20" s="688">
        <f>transport!L14</f>
        <v>0</v>
      </c>
      <c r="N20" s="688">
        <f>transport!M14</f>
        <v>8562.1061141502996</v>
      </c>
      <c r="O20" s="688">
        <f>transport!N14</f>
        <v>0</v>
      </c>
      <c r="P20" s="688">
        <f>transport!O14</f>
        <v>0</v>
      </c>
      <c r="Q20" s="689">
        <f>transport!P14</f>
        <v>0</v>
      </c>
      <c r="R20" s="691">
        <f>SUM(C20:Q20)</f>
        <v>200816.44631455213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4.5721127294377428</v>
      </c>
      <c r="D22" s="806">
        <f t="shared" ref="D22:R22" si="1">SUM(D18:D21)</f>
        <v>0</v>
      </c>
      <c r="E22" s="806">
        <f t="shared" si="1"/>
        <v>14.984677890827847</v>
      </c>
      <c r="F22" s="806">
        <f t="shared" si="1"/>
        <v>855.17132840064414</v>
      </c>
      <c r="G22" s="806">
        <f t="shared" si="1"/>
        <v>0</v>
      </c>
      <c r="H22" s="806">
        <f t="shared" si="1"/>
        <v>159542.68497918855</v>
      </c>
      <c r="I22" s="806">
        <f t="shared" si="1"/>
        <v>32924.744664661412</v>
      </c>
      <c r="J22" s="806">
        <f t="shared" si="1"/>
        <v>0</v>
      </c>
      <c r="K22" s="806">
        <f t="shared" si="1"/>
        <v>0</v>
      </c>
      <c r="L22" s="806">
        <f t="shared" si="1"/>
        <v>0</v>
      </c>
      <c r="M22" s="806">
        <f t="shared" si="1"/>
        <v>0</v>
      </c>
      <c r="N22" s="806">
        <f t="shared" si="1"/>
        <v>8609.8739777856299</v>
      </c>
      <c r="O22" s="806">
        <f t="shared" si="1"/>
        <v>0</v>
      </c>
      <c r="P22" s="806">
        <f t="shared" si="1"/>
        <v>0</v>
      </c>
      <c r="Q22" s="806">
        <f t="shared" si="1"/>
        <v>0</v>
      </c>
      <c r="R22" s="806">
        <f t="shared" si="1"/>
        <v>201952.0317406565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469.73360475314593</v>
      </c>
      <c r="D24" s="688">
        <f>+landbouw!C8</f>
        <v>0</v>
      </c>
      <c r="E24" s="688">
        <f>+landbouw!D8</f>
        <v>707.97728197279878</v>
      </c>
      <c r="F24" s="688">
        <f>+landbouw!E8</f>
        <v>4.4252052886139985</v>
      </c>
      <c r="G24" s="688">
        <f>+landbouw!F8</f>
        <v>1532.8966432020859</v>
      </c>
      <c r="H24" s="688">
        <f>+landbouw!G8</f>
        <v>0</v>
      </c>
      <c r="I24" s="688">
        <f>+landbouw!H8</f>
        <v>0</v>
      </c>
      <c r="J24" s="688">
        <f>+landbouw!I8</f>
        <v>0</v>
      </c>
      <c r="K24" s="688">
        <f>+landbouw!J8</f>
        <v>58.108331691778787</v>
      </c>
      <c r="L24" s="688">
        <f>+landbouw!K8</f>
        <v>0</v>
      </c>
      <c r="M24" s="688">
        <f>+landbouw!L8</f>
        <v>0</v>
      </c>
      <c r="N24" s="688">
        <f>+landbouw!M8</f>
        <v>0</v>
      </c>
      <c r="O24" s="688">
        <f>+landbouw!N8</f>
        <v>0</v>
      </c>
      <c r="P24" s="688">
        <f>+landbouw!O8</f>
        <v>0</v>
      </c>
      <c r="Q24" s="689">
        <f>+landbouw!P8</f>
        <v>0</v>
      </c>
      <c r="R24" s="691">
        <f>SUM(C24:Q24)</f>
        <v>2773.1410669084235</v>
      </c>
      <c r="S24" s="68"/>
    </row>
    <row r="25" spans="1:19" s="457" customFormat="1" ht="15" thickBot="1">
      <c r="A25" s="825" t="s">
        <v>912</v>
      </c>
      <c r="B25" s="1001"/>
      <c r="C25" s="1002">
        <f>IF(Onbekend_ele_kWh="---",0,Onbekend_ele_kWh)/1000+IF(REST_rest_ele_kWh="---",0,REST_rest_ele_kWh)/1000</f>
        <v>1606.6597641384201</v>
      </c>
      <c r="D25" s="1002"/>
      <c r="E25" s="1002">
        <f>IF(onbekend_gas_kWh="---",0,onbekend_gas_kWh)/1000+IF(REST_rest_gas_kWh="---",0,REST_rest_gas_kWh)/1000</f>
        <v>2000.1732365174601</v>
      </c>
      <c r="F25" s="1002"/>
      <c r="G25" s="1002"/>
      <c r="H25" s="1002"/>
      <c r="I25" s="1002"/>
      <c r="J25" s="1002"/>
      <c r="K25" s="1002"/>
      <c r="L25" s="1002"/>
      <c r="M25" s="1002"/>
      <c r="N25" s="1002"/>
      <c r="O25" s="1002"/>
      <c r="P25" s="1002"/>
      <c r="Q25" s="1003"/>
      <c r="R25" s="691">
        <f>SUM(C25:Q25)</f>
        <v>3606.8330006558799</v>
      </c>
      <c r="S25" s="68"/>
    </row>
    <row r="26" spans="1:19" s="457" customFormat="1" ht="15.75" thickBot="1">
      <c r="A26" s="694" t="s">
        <v>913</v>
      </c>
      <c r="B26" s="811"/>
      <c r="C26" s="806">
        <f>SUM(C24:C25)</f>
        <v>2076.3933688915658</v>
      </c>
      <c r="D26" s="806">
        <f t="shared" ref="D26:R26" si="2">SUM(D24:D25)</f>
        <v>0</v>
      </c>
      <c r="E26" s="806">
        <f t="shared" si="2"/>
        <v>2708.1505184902589</v>
      </c>
      <c r="F26" s="806">
        <f t="shared" si="2"/>
        <v>4.4252052886139985</v>
      </c>
      <c r="G26" s="806">
        <f t="shared" si="2"/>
        <v>1532.8966432020859</v>
      </c>
      <c r="H26" s="806">
        <f t="shared" si="2"/>
        <v>0</v>
      </c>
      <c r="I26" s="806">
        <f t="shared" si="2"/>
        <v>0</v>
      </c>
      <c r="J26" s="806">
        <f t="shared" si="2"/>
        <v>0</v>
      </c>
      <c r="K26" s="806">
        <f t="shared" si="2"/>
        <v>58.108331691778787</v>
      </c>
      <c r="L26" s="806">
        <f t="shared" si="2"/>
        <v>0</v>
      </c>
      <c r="M26" s="806">
        <f t="shared" si="2"/>
        <v>0</v>
      </c>
      <c r="N26" s="806">
        <f t="shared" si="2"/>
        <v>0</v>
      </c>
      <c r="O26" s="806">
        <f t="shared" si="2"/>
        <v>0</v>
      </c>
      <c r="P26" s="806">
        <f t="shared" si="2"/>
        <v>0</v>
      </c>
      <c r="Q26" s="806">
        <f t="shared" si="2"/>
        <v>0</v>
      </c>
      <c r="R26" s="806">
        <f t="shared" si="2"/>
        <v>6379.9740675643034</v>
      </c>
      <c r="S26" s="68"/>
    </row>
    <row r="27" spans="1:19" s="457" customFormat="1" ht="17.25" thickTop="1" thickBot="1">
      <c r="A27" s="695" t="s">
        <v>116</v>
      </c>
      <c r="B27" s="798"/>
      <c r="C27" s="696">
        <f ca="1">C22+C16+C26</f>
        <v>66364.518749413241</v>
      </c>
      <c r="D27" s="696">
        <f t="shared" ref="D27:R27" ca="1" si="3">D22+D16+D26</f>
        <v>0</v>
      </c>
      <c r="E27" s="696">
        <f t="shared" ca="1" si="3"/>
        <v>66384.178692101181</v>
      </c>
      <c r="F27" s="696">
        <f t="shared" si="3"/>
        <v>8011.8514982253882</v>
      </c>
      <c r="G27" s="696">
        <f t="shared" ca="1" si="3"/>
        <v>103772.62930715522</v>
      </c>
      <c r="H27" s="696">
        <f t="shared" si="3"/>
        <v>159542.68497918855</v>
      </c>
      <c r="I27" s="696">
        <f t="shared" si="3"/>
        <v>32924.744664661412</v>
      </c>
      <c r="J27" s="696">
        <f t="shared" si="3"/>
        <v>0</v>
      </c>
      <c r="K27" s="696">
        <f t="shared" si="3"/>
        <v>920.78865773760833</v>
      </c>
      <c r="L27" s="696">
        <f t="shared" si="3"/>
        <v>0</v>
      </c>
      <c r="M27" s="696">
        <f t="shared" ca="1" si="3"/>
        <v>0</v>
      </c>
      <c r="N27" s="696">
        <f t="shared" si="3"/>
        <v>8609.8739777856299</v>
      </c>
      <c r="O27" s="696">
        <f t="shared" ca="1" si="3"/>
        <v>12108.994706862961</v>
      </c>
      <c r="P27" s="696">
        <f t="shared" si="3"/>
        <v>145.39000000000001</v>
      </c>
      <c r="Q27" s="696">
        <f t="shared" si="3"/>
        <v>572</v>
      </c>
      <c r="R27" s="696">
        <f t="shared" ca="1" si="3"/>
        <v>459357.6552331312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3668.6189168475921</v>
      </c>
      <c r="D40" s="688">
        <f ca="1">tertiair!C20</f>
        <v>0</v>
      </c>
      <c r="E40" s="688">
        <f ca="1">tertiair!D20</f>
        <v>2825.0551292663581</v>
      </c>
      <c r="F40" s="688">
        <f>tertiair!E20</f>
        <v>43.779767372807022</v>
      </c>
      <c r="G40" s="688">
        <f ca="1">tertiair!F20</f>
        <v>888.0828464189857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7425.5366599057434</v>
      </c>
    </row>
    <row r="41" spans="1:18">
      <c r="A41" s="816" t="s">
        <v>225</v>
      </c>
      <c r="B41" s="823"/>
      <c r="C41" s="688">
        <f ca="1">huishoudens!B12</f>
        <v>8923.0335090535682</v>
      </c>
      <c r="D41" s="688">
        <f ca="1">huishoudens!C12</f>
        <v>0</v>
      </c>
      <c r="E41" s="688">
        <f>huishoudens!D12</f>
        <v>9775.633137383842</v>
      </c>
      <c r="F41" s="688">
        <f>huishoudens!E12</f>
        <v>1574.705500979996</v>
      </c>
      <c r="G41" s="688">
        <f>huishoudens!F12</f>
        <v>26183.560900384313</v>
      </c>
      <c r="H41" s="688">
        <f>huishoudens!G12</f>
        <v>0</v>
      </c>
      <c r="I41" s="688">
        <f>huishoudens!H12</f>
        <v>0</v>
      </c>
      <c r="J41" s="688">
        <f>huishoudens!I12</f>
        <v>0</v>
      </c>
      <c r="K41" s="688">
        <f>huishoudens!J12</f>
        <v>302.73910436227476</v>
      </c>
      <c r="L41" s="688">
        <f>huishoudens!K12</f>
        <v>0</v>
      </c>
      <c r="M41" s="688">
        <f>huishoudens!L12</f>
        <v>0</v>
      </c>
      <c r="N41" s="688">
        <f>huishoudens!M12</f>
        <v>0</v>
      </c>
      <c r="O41" s="688">
        <f>huishoudens!N12</f>
        <v>0</v>
      </c>
      <c r="P41" s="688">
        <f>huishoudens!O12</f>
        <v>0</v>
      </c>
      <c r="Q41" s="763">
        <f>huishoudens!P12</f>
        <v>0</v>
      </c>
      <c r="R41" s="844">
        <f t="shared" ca="1" si="4"/>
        <v>46759.672152163999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563.1555215513564</v>
      </c>
      <c r="D43" s="688">
        <f ca="1">industrie!C22</f>
        <v>0</v>
      </c>
      <c r="E43" s="688">
        <f>industrie!D22</f>
        <v>258.84251948525997</v>
      </c>
      <c r="F43" s="688">
        <f>industrie!E22</f>
        <v>5.0766085968983177</v>
      </c>
      <c r="G43" s="688">
        <f>industrie!F22</f>
        <v>226.3648744721913</v>
      </c>
      <c r="H43" s="688">
        <f>industrie!G22</f>
        <v>0</v>
      </c>
      <c r="I43" s="688">
        <f>industrie!H22</f>
        <v>0</v>
      </c>
      <c r="J43" s="688">
        <f>industrie!I22</f>
        <v>0</v>
      </c>
      <c r="K43" s="688">
        <f>industrie!J22</f>
        <v>2.6497310579488862</v>
      </c>
      <c r="L43" s="688">
        <f>industrie!K22</f>
        <v>0</v>
      </c>
      <c r="M43" s="688">
        <f>industrie!L22</f>
        <v>0</v>
      </c>
      <c r="N43" s="688">
        <f>industrie!M22</f>
        <v>0</v>
      </c>
      <c r="O43" s="688">
        <f>industrie!N22</f>
        <v>0</v>
      </c>
      <c r="P43" s="688">
        <f>industrie!O22</f>
        <v>0</v>
      </c>
      <c r="Q43" s="763">
        <f>industrie!P22</f>
        <v>0</v>
      </c>
      <c r="R43" s="843">
        <f t="shared" ca="1" si="4"/>
        <v>1056.0892551636548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13154.807947452517</v>
      </c>
      <c r="D46" s="721">
        <f t="shared" ref="D46:Q46" ca="1" si="5">SUM(D39:D45)</f>
        <v>0</v>
      </c>
      <c r="E46" s="721">
        <f t="shared" ca="1" si="5"/>
        <v>12859.530786135461</v>
      </c>
      <c r="F46" s="721">
        <f t="shared" si="5"/>
        <v>1623.5618769497014</v>
      </c>
      <c r="G46" s="721">
        <f t="shared" ca="1" si="5"/>
        <v>27298.00862127549</v>
      </c>
      <c r="H46" s="721">
        <f t="shared" si="5"/>
        <v>0</v>
      </c>
      <c r="I46" s="721">
        <f t="shared" si="5"/>
        <v>0</v>
      </c>
      <c r="J46" s="721">
        <f t="shared" si="5"/>
        <v>0</v>
      </c>
      <c r="K46" s="721">
        <f t="shared" si="5"/>
        <v>305.38883542022364</v>
      </c>
      <c r="L46" s="721">
        <f t="shared" si="5"/>
        <v>0</v>
      </c>
      <c r="M46" s="721">
        <f t="shared" ca="1" si="5"/>
        <v>0</v>
      </c>
      <c r="N46" s="721">
        <f t="shared" si="5"/>
        <v>0</v>
      </c>
      <c r="O46" s="721">
        <f t="shared" ca="1" si="5"/>
        <v>0</v>
      </c>
      <c r="P46" s="721">
        <f t="shared" si="5"/>
        <v>0</v>
      </c>
      <c r="Q46" s="721">
        <f t="shared" si="5"/>
        <v>0</v>
      </c>
      <c r="R46" s="721">
        <f ca="1">SUM(R39:R45)</f>
        <v>55241.298067233402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290.44728917923101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290.44728917923101</v>
      </c>
    </row>
    <row r="50" spans="1:18">
      <c r="A50" s="819" t="s">
        <v>307</v>
      </c>
      <c r="B50" s="829"/>
      <c r="C50" s="1008">
        <f ca="1">transport!B18</f>
        <v>0.93562446088354012</v>
      </c>
      <c r="D50" s="1008">
        <f>transport!C18</f>
        <v>0</v>
      </c>
      <c r="E50" s="1008">
        <f>transport!D18</f>
        <v>3.0269049339472254</v>
      </c>
      <c r="F50" s="1008">
        <f>transport!E18</f>
        <v>194.12389154694623</v>
      </c>
      <c r="G50" s="1008">
        <f>transport!F18</f>
        <v>0</v>
      </c>
      <c r="H50" s="1008">
        <f>transport!G18</f>
        <v>42307.449600264117</v>
      </c>
      <c r="I50" s="1008">
        <f>transport!H18</f>
        <v>8198.2614215006906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50703.797442706586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0.93562446088354012</v>
      </c>
      <c r="D52" s="721">
        <f t="shared" ref="D52:Q52" ca="1" si="6">SUM(D48:D51)</f>
        <v>0</v>
      </c>
      <c r="E52" s="721">
        <f t="shared" si="6"/>
        <v>3.0269049339472254</v>
      </c>
      <c r="F52" s="721">
        <f t="shared" si="6"/>
        <v>194.12389154694623</v>
      </c>
      <c r="G52" s="721">
        <f t="shared" si="6"/>
        <v>0</v>
      </c>
      <c r="H52" s="721">
        <f t="shared" si="6"/>
        <v>42597.896889443349</v>
      </c>
      <c r="I52" s="721">
        <f t="shared" si="6"/>
        <v>8198.2614215006906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50994.244731885818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96.124981319104748</v>
      </c>
      <c r="D54" s="1008">
        <f ca="1">+landbouw!C12</f>
        <v>0</v>
      </c>
      <c r="E54" s="1008">
        <f>+landbouw!D12</f>
        <v>143.01141095850537</v>
      </c>
      <c r="F54" s="1008">
        <f>+landbouw!E12</f>
        <v>1.0045216005153776</v>
      </c>
      <c r="G54" s="1008">
        <f>+landbouw!F12</f>
        <v>409.28340373495695</v>
      </c>
      <c r="H54" s="1008">
        <f>+landbouw!G12</f>
        <v>0</v>
      </c>
      <c r="I54" s="1008">
        <f>+landbouw!H12</f>
        <v>0</v>
      </c>
      <c r="J54" s="1008">
        <f>+landbouw!I12</f>
        <v>0</v>
      </c>
      <c r="K54" s="1008">
        <f>+landbouw!J12</f>
        <v>20.570349418889691</v>
      </c>
      <c r="L54" s="1008">
        <f>+landbouw!K12</f>
        <v>0</v>
      </c>
      <c r="M54" s="1008">
        <f>+landbouw!L12</f>
        <v>0</v>
      </c>
      <c r="N54" s="1008">
        <f>+landbouw!M12</f>
        <v>0</v>
      </c>
      <c r="O54" s="1008">
        <f>+landbouw!N12</f>
        <v>0</v>
      </c>
      <c r="P54" s="1008">
        <f>+landbouw!O12</f>
        <v>0</v>
      </c>
      <c r="Q54" s="1009">
        <f>+landbouw!P12</f>
        <v>0</v>
      </c>
      <c r="R54" s="720">
        <f ca="1">SUM(C54:Q54)</f>
        <v>669.99466703197209</v>
      </c>
    </row>
    <row r="55" spans="1:18" ht="15" thickBot="1">
      <c r="A55" s="819" t="s">
        <v>912</v>
      </c>
      <c r="B55" s="829"/>
      <c r="C55" s="1008">
        <f ca="1">C25*'EF ele_warmte'!B12</f>
        <v>328.78239549227942</v>
      </c>
      <c r="D55" s="1008"/>
      <c r="E55" s="1008">
        <f>E25*EF_CO2_aardgas</f>
        <v>404.03499377652696</v>
      </c>
      <c r="F55" s="1008"/>
      <c r="G55" s="1008"/>
      <c r="H55" s="1008"/>
      <c r="I55" s="1008"/>
      <c r="J55" s="1008"/>
      <c r="K55" s="1008"/>
      <c r="L55" s="1008"/>
      <c r="M55" s="1008"/>
      <c r="N55" s="1008"/>
      <c r="O55" s="1008"/>
      <c r="P55" s="1008"/>
      <c r="Q55" s="1009"/>
      <c r="R55" s="720">
        <f ca="1">SUM(C55:Q55)</f>
        <v>732.81738926880644</v>
      </c>
    </row>
    <row r="56" spans="1:18" ht="15.75" thickBot="1">
      <c r="A56" s="817" t="s">
        <v>913</v>
      </c>
      <c r="B56" s="830"/>
      <c r="C56" s="721">
        <f ca="1">SUM(C54:C55)</f>
        <v>424.90737681138415</v>
      </c>
      <c r="D56" s="721">
        <f t="shared" ref="D56:Q56" ca="1" si="7">SUM(D54:D55)</f>
        <v>0</v>
      </c>
      <c r="E56" s="721">
        <f t="shared" si="7"/>
        <v>547.0464047350323</v>
      </c>
      <c r="F56" s="721">
        <f t="shared" si="7"/>
        <v>1.0045216005153776</v>
      </c>
      <c r="G56" s="721">
        <f t="shared" si="7"/>
        <v>409.28340373495695</v>
      </c>
      <c r="H56" s="721">
        <f t="shared" si="7"/>
        <v>0</v>
      </c>
      <c r="I56" s="721">
        <f t="shared" si="7"/>
        <v>0</v>
      </c>
      <c r="J56" s="721">
        <f t="shared" si="7"/>
        <v>0</v>
      </c>
      <c r="K56" s="721">
        <f t="shared" si="7"/>
        <v>20.570349418889691</v>
      </c>
      <c r="L56" s="721">
        <f t="shared" si="7"/>
        <v>0</v>
      </c>
      <c r="M56" s="721">
        <f t="shared" si="7"/>
        <v>0</v>
      </c>
      <c r="N56" s="721">
        <f t="shared" si="7"/>
        <v>0</v>
      </c>
      <c r="O56" s="721">
        <f t="shared" si="7"/>
        <v>0</v>
      </c>
      <c r="P56" s="721">
        <f t="shared" si="7"/>
        <v>0</v>
      </c>
      <c r="Q56" s="722">
        <f t="shared" si="7"/>
        <v>0</v>
      </c>
      <c r="R56" s="723">
        <f ca="1">SUM(R54:R55)</f>
        <v>1402.8120563007785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13580.650948724786</v>
      </c>
      <c r="D61" s="729">
        <f t="shared" ref="D61:Q61" ca="1" si="8">D46+D52+D56</f>
        <v>0</v>
      </c>
      <c r="E61" s="729">
        <f t="shared" ca="1" si="8"/>
        <v>13409.604095804441</v>
      </c>
      <c r="F61" s="729">
        <f t="shared" si="8"/>
        <v>1818.6902900971629</v>
      </c>
      <c r="G61" s="729">
        <f t="shared" ca="1" si="8"/>
        <v>27707.292025010447</v>
      </c>
      <c r="H61" s="729">
        <f t="shared" si="8"/>
        <v>42597.896889443349</v>
      </c>
      <c r="I61" s="729">
        <f t="shared" si="8"/>
        <v>8198.2614215006906</v>
      </c>
      <c r="J61" s="729">
        <f t="shared" si="8"/>
        <v>0</v>
      </c>
      <c r="K61" s="729">
        <f t="shared" si="8"/>
        <v>325.95918483911333</v>
      </c>
      <c r="L61" s="729">
        <f t="shared" si="8"/>
        <v>0</v>
      </c>
      <c r="M61" s="729">
        <f t="shared" ca="1" si="8"/>
        <v>0</v>
      </c>
      <c r="N61" s="729">
        <f t="shared" si="8"/>
        <v>0</v>
      </c>
      <c r="O61" s="729">
        <f t="shared" ca="1" si="8"/>
        <v>0</v>
      </c>
      <c r="P61" s="729">
        <f t="shared" si="8"/>
        <v>0</v>
      </c>
      <c r="Q61" s="729">
        <f t="shared" si="8"/>
        <v>0</v>
      </c>
      <c r="R61" s="729">
        <f ca="1">R46+R52+R56</f>
        <v>107638.35485542001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0.20463722490031405</v>
      </c>
      <c r="D63" s="773">
        <f t="shared" ca="1" si="9"/>
        <v>0</v>
      </c>
      <c r="E63" s="1010">
        <f t="shared" ca="1" si="9"/>
        <v>0.20200000000000004</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4913.6094791653386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4913.6094791653386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4913.6094791653386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4913.6094791653386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43604.156151942982</v>
      </c>
      <c r="C4" s="461">
        <f>huishoudens!C8</f>
        <v>0</v>
      </c>
      <c r="D4" s="461">
        <f>huishoudens!D8</f>
        <v>48394.22345239525</v>
      </c>
      <c r="E4" s="461">
        <f>huishoudens!E8</f>
        <v>6937.0286386783964</v>
      </c>
      <c r="F4" s="461">
        <f>huishoudens!F8</f>
        <v>98065.771162488061</v>
      </c>
      <c r="G4" s="461">
        <f>huishoudens!G8</f>
        <v>0</v>
      </c>
      <c r="H4" s="461">
        <f>huishoudens!H8</f>
        <v>0</v>
      </c>
      <c r="I4" s="461">
        <f>huishoudens!I8</f>
        <v>0</v>
      </c>
      <c r="J4" s="461">
        <f>huishoudens!J8</f>
        <v>855.19521006292314</v>
      </c>
      <c r="K4" s="461">
        <f>huishoudens!K8</f>
        <v>0</v>
      </c>
      <c r="L4" s="461">
        <f>huishoudens!L8</f>
        <v>0</v>
      </c>
      <c r="M4" s="461">
        <f>huishoudens!M8</f>
        <v>0</v>
      </c>
      <c r="N4" s="461">
        <f>huishoudens!N8</f>
        <v>11090.852859418605</v>
      </c>
      <c r="O4" s="461">
        <f>huishoudens!O8</f>
        <v>145.39000000000001</v>
      </c>
      <c r="P4" s="462">
        <f>huishoudens!P8</f>
        <v>572</v>
      </c>
      <c r="Q4" s="463">
        <f>SUM(B4:P4)</f>
        <v>209664.61747498624</v>
      </c>
    </row>
    <row r="5" spans="1:17">
      <c r="A5" s="460" t="s">
        <v>156</v>
      </c>
      <c r="B5" s="461">
        <f ca="1">tertiair!B16</f>
        <v>16522.758029147335</v>
      </c>
      <c r="C5" s="461">
        <f ca="1">tertiair!C16</f>
        <v>0</v>
      </c>
      <c r="D5" s="461">
        <f ca="1">tertiair!D16</f>
        <v>13985.421432011673</v>
      </c>
      <c r="E5" s="461">
        <f>tertiair!E16</f>
        <v>192.86241133395163</v>
      </c>
      <c r="F5" s="461">
        <f ca="1">tertiair!F16</f>
        <v>3326.1529828426428</v>
      </c>
      <c r="G5" s="461">
        <f>tertiair!G16</f>
        <v>0</v>
      </c>
      <c r="H5" s="461">
        <f>tertiair!H16</f>
        <v>0</v>
      </c>
      <c r="I5" s="461">
        <f>tertiair!I16</f>
        <v>0</v>
      </c>
      <c r="J5" s="461">
        <f>tertiair!J16</f>
        <v>0</v>
      </c>
      <c r="K5" s="461">
        <f>tertiair!K16</f>
        <v>0</v>
      </c>
      <c r="L5" s="461">
        <f ca="1">tertiair!L16</f>
        <v>0</v>
      </c>
      <c r="M5" s="461">
        <f>tertiair!M16</f>
        <v>0</v>
      </c>
      <c r="N5" s="461">
        <f ca="1">tertiair!N16</f>
        <v>923.80168551870679</v>
      </c>
      <c r="O5" s="461">
        <f>tertiair!O16</f>
        <v>0</v>
      </c>
      <c r="P5" s="462">
        <f>tertiair!P16</f>
        <v>0</v>
      </c>
      <c r="Q5" s="460">
        <f t="shared" ref="Q5:Q14" ca="1" si="0">SUM(B5:P5)</f>
        <v>34950.996540854314</v>
      </c>
    </row>
    <row r="6" spans="1:17">
      <c r="A6" s="460" t="s">
        <v>194</v>
      </c>
      <c r="B6" s="461">
        <f>'openbare verlichting'!B8</f>
        <v>1404.6690000000001</v>
      </c>
      <c r="C6" s="461"/>
      <c r="D6" s="461"/>
      <c r="E6" s="461"/>
      <c r="F6" s="461"/>
      <c r="G6" s="461"/>
      <c r="H6" s="461"/>
      <c r="I6" s="461"/>
      <c r="J6" s="461"/>
      <c r="K6" s="461"/>
      <c r="L6" s="461"/>
      <c r="M6" s="461"/>
      <c r="N6" s="461"/>
      <c r="O6" s="461"/>
      <c r="P6" s="462"/>
      <c r="Q6" s="460">
        <f t="shared" si="0"/>
        <v>1404.6690000000001</v>
      </c>
    </row>
    <row r="7" spans="1:17">
      <c r="A7" s="460" t="s">
        <v>112</v>
      </c>
      <c r="B7" s="461">
        <f>landbouw!B8</f>
        <v>469.73360475314593</v>
      </c>
      <c r="C7" s="461">
        <f>landbouw!C8</f>
        <v>0</v>
      </c>
      <c r="D7" s="461">
        <f>landbouw!D8</f>
        <v>707.97728197279878</v>
      </c>
      <c r="E7" s="461">
        <f>landbouw!E8</f>
        <v>4.4252052886139985</v>
      </c>
      <c r="F7" s="461">
        <f>landbouw!F8</f>
        <v>1532.8966432020859</v>
      </c>
      <c r="G7" s="461">
        <f>landbouw!G8</f>
        <v>0</v>
      </c>
      <c r="H7" s="461">
        <f>landbouw!H8</f>
        <v>0</v>
      </c>
      <c r="I7" s="461">
        <f>landbouw!I8</f>
        <v>0</v>
      </c>
      <c r="J7" s="461">
        <f>landbouw!J8</f>
        <v>58.108331691778787</v>
      </c>
      <c r="K7" s="461">
        <f>landbouw!K8</f>
        <v>0</v>
      </c>
      <c r="L7" s="461">
        <f>landbouw!L8</f>
        <v>0</v>
      </c>
      <c r="M7" s="461">
        <f>landbouw!M8</f>
        <v>0</v>
      </c>
      <c r="N7" s="461">
        <f>landbouw!N8</f>
        <v>0</v>
      </c>
      <c r="O7" s="461">
        <f>landbouw!O8</f>
        <v>0</v>
      </c>
      <c r="P7" s="462">
        <f>landbouw!P8</f>
        <v>0</v>
      </c>
      <c r="Q7" s="460">
        <f t="shared" si="0"/>
        <v>2773.1410669084235</v>
      </c>
    </row>
    <row r="8" spans="1:17">
      <c r="A8" s="460" t="s">
        <v>685</v>
      </c>
      <c r="B8" s="461">
        <f>industrie!B18</f>
        <v>2751.9700867019142</v>
      </c>
      <c r="C8" s="461">
        <f>industrie!C18</f>
        <v>0</v>
      </c>
      <c r="D8" s="461">
        <f>industrie!D18</f>
        <v>1281.3986113131682</v>
      </c>
      <c r="E8" s="461">
        <f>industrie!E18</f>
        <v>22.363914523781133</v>
      </c>
      <c r="F8" s="461">
        <f>industrie!F18</f>
        <v>847.80851862243924</v>
      </c>
      <c r="G8" s="461">
        <f>industrie!G18</f>
        <v>0</v>
      </c>
      <c r="H8" s="461">
        <f>industrie!H18</f>
        <v>0</v>
      </c>
      <c r="I8" s="461">
        <f>industrie!I18</f>
        <v>0</v>
      </c>
      <c r="J8" s="461">
        <f>industrie!J18</f>
        <v>7.4851159829064589</v>
      </c>
      <c r="K8" s="461">
        <f>industrie!K18</f>
        <v>0</v>
      </c>
      <c r="L8" s="461">
        <f>industrie!L18</f>
        <v>0</v>
      </c>
      <c r="M8" s="461">
        <f>industrie!M18</f>
        <v>0</v>
      </c>
      <c r="N8" s="461">
        <f>industrie!N18</f>
        <v>94.340161925650094</v>
      </c>
      <c r="O8" s="461">
        <f>industrie!O18</f>
        <v>0</v>
      </c>
      <c r="P8" s="462">
        <f>industrie!P18</f>
        <v>0</v>
      </c>
      <c r="Q8" s="460">
        <f t="shared" si="0"/>
        <v>5005.3664090698594</v>
      </c>
    </row>
    <row r="9" spans="1:17" s="466" customFormat="1">
      <c r="A9" s="464" t="s">
        <v>579</v>
      </c>
      <c r="B9" s="465">
        <f>transport!B14</f>
        <v>4.5721127294377428</v>
      </c>
      <c r="C9" s="465">
        <f>transport!C14</f>
        <v>0</v>
      </c>
      <c r="D9" s="465">
        <f>transport!D14</f>
        <v>14.984677890827847</v>
      </c>
      <c r="E9" s="465">
        <f>transport!E14</f>
        <v>855.17132840064414</v>
      </c>
      <c r="F9" s="465">
        <f>transport!F14</f>
        <v>0</v>
      </c>
      <c r="G9" s="465">
        <f>transport!G14</f>
        <v>158454.86741671953</v>
      </c>
      <c r="H9" s="465">
        <f>transport!H14</f>
        <v>32924.744664661412</v>
      </c>
      <c r="I9" s="465">
        <f>transport!I14</f>
        <v>0</v>
      </c>
      <c r="J9" s="465">
        <f>transport!J14</f>
        <v>0</v>
      </c>
      <c r="K9" s="465">
        <f>transport!K14</f>
        <v>0</v>
      </c>
      <c r="L9" s="465">
        <f>transport!L14</f>
        <v>0</v>
      </c>
      <c r="M9" s="465">
        <f>transport!M14</f>
        <v>8562.1061141502996</v>
      </c>
      <c r="N9" s="465">
        <f>transport!N14</f>
        <v>0</v>
      </c>
      <c r="O9" s="465">
        <f>transport!O14</f>
        <v>0</v>
      </c>
      <c r="P9" s="465">
        <f>transport!P14</f>
        <v>0</v>
      </c>
      <c r="Q9" s="464">
        <f>SUM(B9:P9)</f>
        <v>200816.44631455213</v>
      </c>
    </row>
    <row r="10" spans="1:17">
      <c r="A10" s="460" t="s">
        <v>569</v>
      </c>
      <c r="B10" s="461">
        <f>transport!B54</f>
        <v>0</v>
      </c>
      <c r="C10" s="461">
        <f>transport!C54</f>
        <v>0</v>
      </c>
      <c r="D10" s="461">
        <f>transport!D54</f>
        <v>0</v>
      </c>
      <c r="E10" s="461">
        <f>transport!E54</f>
        <v>0</v>
      </c>
      <c r="F10" s="461">
        <f>transport!F54</f>
        <v>0</v>
      </c>
      <c r="G10" s="461">
        <f>transport!G54</f>
        <v>1087.81756246903</v>
      </c>
      <c r="H10" s="461">
        <f>transport!H54</f>
        <v>0</v>
      </c>
      <c r="I10" s="461">
        <f>transport!I54</f>
        <v>0</v>
      </c>
      <c r="J10" s="461">
        <f>transport!J54</f>
        <v>0</v>
      </c>
      <c r="K10" s="461">
        <f>transport!K54</f>
        <v>0</v>
      </c>
      <c r="L10" s="461">
        <f>transport!L54</f>
        <v>0</v>
      </c>
      <c r="M10" s="461">
        <f>transport!M54</f>
        <v>47.767863635330279</v>
      </c>
      <c r="N10" s="461">
        <f>transport!N54</f>
        <v>0</v>
      </c>
      <c r="O10" s="461">
        <f>transport!O54</f>
        <v>0</v>
      </c>
      <c r="P10" s="462">
        <f>transport!P54</f>
        <v>0</v>
      </c>
      <c r="Q10" s="460">
        <f t="shared" si="0"/>
        <v>1135.5854261043603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1606.6597641384201</v>
      </c>
      <c r="C14" s="468"/>
      <c r="D14" s="468">
        <f>'SEAP template'!E25</f>
        <v>2000.1732365174601</v>
      </c>
      <c r="E14" s="468"/>
      <c r="F14" s="468"/>
      <c r="G14" s="468"/>
      <c r="H14" s="468"/>
      <c r="I14" s="468"/>
      <c r="J14" s="468"/>
      <c r="K14" s="468"/>
      <c r="L14" s="468"/>
      <c r="M14" s="468"/>
      <c r="N14" s="468"/>
      <c r="O14" s="468"/>
      <c r="P14" s="469"/>
      <c r="Q14" s="460">
        <f t="shared" si="0"/>
        <v>3606.8330006558799</v>
      </c>
    </row>
    <row r="15" spans="1:17" s="473" customFormat="1">
      <c r="A15" s="470" t="s">
        <v>573</v>
      </c>
      <c r="B15" s="471">
        <f ca="1">SUM(B4:B14)</f>
        <v>66364.518749413226</v>
      </c>
      <c r="C15" s="471">
        <f t="shared" ref="C15:Q15" ca="1" si="1">SUM(C4:C14)</f>
        <v>0</v>
      </c>
      <c r="D15" s="471">
        <f t="shared" ca="1" si="1"/>
        <v>66384.178692101181</v>
      </c>
      <c r="E15" s="471">
        <f t="shared" si="1"/>
        <v>8011.8514982253873</v>
      </c>
      <c r="F15" s="471">
        <f t="shared" ca="1" si="1"/>
        <v>103772.62930715522</v>
      </c>
      <c r="G15" s="471">
        <f t="shared" si="1"/>
        <v>159542.68497918855</v>
      </c>
      <c r="H15" s="471">
        <f t="shared" si="1"/>
        <v>32924.744664661412</v>
      </c>
      <c r="I15" s="471">
        <f t="shared" si="1"/>
        <v>0</v>
      </c>
      <c r="J15" s="471">
        <f t="shared" si="1"/>
        <v>920.78865773760833</v>
      </c>
      <c r="K15" s="471">
        <f t="shared" si="1"/>
        <v>0</v>
      </c>
      <c r="L15" s="471">
        <f t="shared" ca="1" si="1"/>
        <v>0</v>
      </c>
      <c r="M15" s="471">
        <f t="shared" si="1"/>
        <v>8609.8739777856299</v>
      </c>
      <c r="N15" s="471">
        <f t="shared" ca="1" si="1"/>
        <v>12108.994706862961</v>
      </c>
      <c r="O15" s="471">
        <f t="shared" si="1"/>
        <v>145.39000000000001</v>
      </c>
      <c r="P15" s="471">
        <f t="shared" si="1"/>
        <v>572</v>
      </c>
      <c r="Q15" s="471">
        <f t="shared" ca="1" si="1"/>
        <v>459357.6552331312</v>
      </c>
    </row>
    <row r="17" spans="1:17">
      <c r="A17" s="474" t="s">
        <v>574</v>
      </c>
      <c r="B17" s="778">
        <f ca="1">huishoudens!B10</f>
        <v>0.20463722490031405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8923.0335090535682</v>
      </c>
      <c r="C22" s="461">
        <f t="shared" ref="C22:C32" ca="1" si="3">C4*$C$17</f>
        <v>0</v>
      </c>
      <c r="D22" s="461">
        <f t="shared" ref="D22:D32" si="4">D4*$D$17</f>
        <v>9775.633137383842</v>
      </c>
      <c r="E22" s="461">
        <f t="shared" ref="E22:E32" si="5">E4*$E$17</f>
        <v>1574.705500979996</v>
      </c>
      <c r="F22" s="461">
        <f t="shared" ref="F22:F32" si="6">F4*$F$17</f>
        <v>26183.560900384313</v>
      </c>
      <c r="G22" s="461">
        <f t="shared" ref="G22:G32" si="7">G4*$G$17</f>
        <v>0</v>
      </c>
      <c r="H22" s="461">
        <f t="shared" ref="H22:H32" si="8">H4*$H$17</f>
        <v>0</v>
      </c>
      <c r="I22" s="461">
        <f t="shared" ref="I22:I32" si="9">I4*$I$17</f>
        <v>0</v>
      </c>
      <c r="J22" s="461">
        <f t="shared" ref="J22:J32" si="10">J4*$J$17</f>
        <v>302.73910436227476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46759.672152163999</v>
      </c>
    </row>
    <row r="23" spans="1:17">
      <c r="A23" s="460" t="s">
        <v>156</v>
      </c>
      <c r="B23" s="461">
        <f t="shared" ca="1" si="2"/>
        <v>3381.1713507840927</v>
      </c>
      <c r="C23" s="461">
        <f t="shared" ca="1" si="3"/>
        <v>0</v>
      </c>
      <c r="D23" s="461">
        <f t="shared" ca="1" si="4"/>
        <v>2825.0551292663581</v>
      </c>
      <c r="E23" s="461">
        <f t="shared" si="5"/>
        <v>43.779767372807022</v>
      </c>
      <c r="F23" s="461">
        <f t="shared" ca="1" si="6"/>
        <v>888.0828464189857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7138.0890938422435</v>
      </c>
    </row>
    <row r="24" spans="1:17">
      <c r="A24" s="460" t="s">
        <v>194</v>
      </c>
      <c r="B24" s="461">
        <f t="shared" ca="1" si="2"/>
        <v>287.44756606349927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287.44756606349927</v>
      </c>
    </row>
    <row r="25" spans="1:17">
      <c r="A25" s="460" t="s">
        <v>112</v>
      </c>
      <c r="B25" s="461">
        <f t="shared" ca="1" si="2"/>
        <v>96.124981319104748</v>
      </c>
      <c r="C25" s="461">
        <f t="shared" ca="1" si="3"/>
        <v>0</v>
      </c>
      <c r="D25" s="461">
        <f t="shared" si="4"/>
        <v>143.01141095850537</v>
      </c>
      <c r="E25" s="461">
        <f t="shared" si="5"/>
        <v>1.0045216005153776</v>
      </c>
      <c r="F25" s="461">
        <f t="shared" si="6"/>
        <v>409.28340373495695</v>
      </c>
      <c r="G25" s="461">
        <f t="shared" si="7"/>
        <v>0</v>
      </c>
      <c r="H25" s="461">
        <f t="shared" si="8"/>
        <v>0</v>
      </c>
      <c r="I25" s="461">
        <f t="shared" si="9"/>
        <v>0</v>
      </c>
      <c r="J25" s="461">
        <f t="shared" si="10"/>
        <v>20.570349418889691</v>
      </c>
      <c r="K25" s="461">
        <f t="shared" si="11"/>
        <v>0</v>
      </c>
      <c r="L25" s="461">
        <f t="shared" si="12"/>
        <v>0</v>
      </c>
      <c r="M25" s="461">
        <f t="shared" si="13"/>
        <v>0</v>
      </c>
      <c r="N25" s="461">
        <f t="shared" si="14"/>
        <v>0</v>
      </c>
      <c r="O25" s="461">
        <f t="shared" si="15"/>
        <v>0</v>
      </c>
      <c r="P25" s="462">
        <f t="shared" si="16"/>
        <v>0</v>
      </c>
      <c r="Q25" s="460">
        <f t="shared" ca="1" si="17"/>
        <v>669.99466703197209</v>
      </c>
    </row>
    <row r="26" spans="1:17">
      <c r="A26" s="460" t="s">
        <v>685</v>
      </c>
      <c r="B26" s="461">
        <f t="shared" ca="1" si="2"/>
        <v>563.1555215513564</v>
      </c>
      <c r="C26" s="461">
        <f t="shared" ca="1" si="3"/>
        <v>0</v>
      </c>
      <c r="D26" s="461">
        <f t="shared" si="4"/>
        <v>258.84251948525997</v>
      </c>
      <c r="E26" s="461">
        <f t="shared" si="5"/>
        <v>5.0766085968983177</v>
      </c>
      <c r="F26" s="461">
        <f t="shared" si="6"/>
        <v>226.3648744721913</v>
      </c>
      <c r="G26" s="461">
        <f t="shared" si="7"/>
        <v>0</v>
      </c>
      <c r="H26" s="461">
        <f t="shared" si="8"/>
        <v>0</v>
      </c>
      <c r="I26" s="461">
        <f t="shared" si="9"/>
        <v>0</v>
      </c>
      <c r="J26" s="461">
        <f t="shared" si="10"/>
        <v>2.6497310579488862</v>
      </c>
      <c r="K26" s="461">
        <f t="shared" si="11"/>
        <v>0</v>
      </c>
      <c r="L26" s="461">
        <f t="shared" si="12"/>
        <v>0</v>
      </c>
      <c r="M26" s="461">
        <f t="shared" si="13"/>
        <v>0</v>
      </c>
      <c r="N26" s="461">
        <f t="shared" si="14"/>
        <v>0</v>
      </c>
      <c r="O26" s="461">
        <f t="shared" si="15"/>
        <v>0</v>
      </c>
      <c r="P26" s="462">
        <f t="shared" si="16"/>
        <v>0</v>
      </c>
      <c r="Q26" s="460">
        <f t="shared" ca="1" si="17"/>
        <v>1056.0892551636548</v>
      </c>
    </row>
    <row r="27" spans="1:17" s="466" customFormat="1">
      <c r="A27" s="464" t="s">
        <v>579</v>
      </c>
      <c r="B27" s="772">
        <f t="shared" ca="1" si="2"/>
        <v>0.93562446088354012</v>
      </c>
      <c r="C27" s="465">
        <f t="shared" ca="1" si="3"/>
        <v>0</v>
      </c>
      <c r="D27" s="465">
        <f t="shared" si="4"/>
        <v>3.0269049339472254</v>
      </c>
      <c r="E27" s="465">
        <f t="shared" si="5"/>
        <v>194.12389154694623</v>
      </c>
      <c r="F27" s="465">
        <f t="shared" si="6"/>
        <v>0</v>
      </c>
      <c r="G27" s="465">
        <f t="shared" si="7"/>
        <v>42307.449600264117</v>
      </c>
      <c r="H27" s="465">
        <f t="shared" si="8"/>
        <v>8198.2614215006906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50703.797442706586</v>
      </c>
    </row>
    <row r="28" spans="1:17">
      <c r="A28" s="460" t="s">
        <v>569</v>
      </c>
      <c r="B28" s="461">
        <f t="shared" ca="1" si="2"/>
        <v>0</v>
      </c>
      <c r="C28" s="461">
        <f t="shared" ca="1" si="3"/>
        <v>0</v>
      </c>
      <c r="D28" s="461">
        <f t="shared" si="4"/>
        <v>0</v>
      </c>
      <c r="E28" s="461">
        <f t="shared" si="5"/>
        <v>0</v>
      </c>
      <c r="F28" s="461">
        <f t="shared" si="6"/>
        <v>0</v>
      </c>
      <c r="G28" s="461">
        <f t="shared" si="7"/>
        <v>290.44728917923101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290.44728917923101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328.78239549227942</v>
      </c>
      <c r="C32" s="461">
        <f t="shared" ca="1" si="3"/>
        <v>0</v>
      </c>
      <c r="D32" s="461">
        <f t="shared" si="4"/>
        <v>404.03499377652696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732.81738926880644</v>
      </c>
    </row>
    <row r="33" spans="1:17" s="473" customFormat="1">
      <c r="A33" s="470" t="s">
        <v>573</v>
      </c>
      <c r="B33" s="471">
        <f ca="1">SUM(B22:B32)</f>
        <v>13580.650948724784</v>
      </c>
      <c r="C33" s="471">
        <f t="shared" ref="C33:Q33" ca="1" si="18">SUM(C22:C32)</f>
        <v>0</v>
      </c>
      <c r="D33" s="471">
        <f t="shared" ca="1" si="18"/>
        <v>13409.604095804441</v>
      </c>
      <c r="E33" s="471">
        <f t="shared" si="18"/>
        <v>1818.6902900971629</v>
      </c>
      <c r="F33" s="471">
        <f t="shared" ca="1" si="18"/>
        <v>27707.292025010447</v>
      </c>
      <c r="G33" s="471">
        <f t="shared" si="18"/>
        <v>42597.896889443349</v>
      </c>
      <c r="H33" s="471">
        <f t="shared" si="18"/>
        <v>8198.2614215006906</v>
      </c>
      <c r="I33" s="471">
        <f t="shared" si="18"/>
        <v>0</v>
      </c>
      <c r="J33" s="471">
        <f t="shared" si="18"/>
        <v>325.95918483911333</v>
      </c>
      <c r="K33" s="471">
        <f t="shared" si="18"/>
        <v>0</v>
      </c>
      <c r="L33" s="471">
        <f t="shared" ca="1" si="18"/>
        <v>0</v>
      </c>
      <c r="M33" s="471">
        <f t="shared" si="18"/>
        <v>0</v>
      </c>
      <c r="N33" s="471">
        <f t="shared" ca="1" si="18"/>
        <v>0</v>
      </c>
      <c r="O33" s="471">
        <f t="shared" si="18"/>
        <v>0</v>
      </c>
      <c r="P33" s="471">
        <f t="shared" si="18"/>
        <v>0</v>
      </c>
      <c r="Q33" s="471">
        <f t="shared" ca="1" si="18"/>
        <v>107638.35485541998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4913.6094791653386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4913.6094791653386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0.20463722490031405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0.20463722490031405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2019-06-29T16:12:37Z</dcterms:modified>
</cp:coreProperties>
</file>