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O78" i="14"/>
  <c r="O9" i="56"/>
  <c r="L90" i="14"/>
  <c r="L17" i="56"/>
  <c r="L20" s="1"/>
  <c r="G90" i="14"/>
  <c r="G18" i="56"/>
  <c r="O90" i="14"/>
  <c r="O18" i="56"/>
  <c r="O20" s="1"/>
  <c r="C77" i="14"/>
  <c r="C9" i="56" s="1"/>
  <c r="D9"/>
  <c r="D10" s="1"/>
  <c r="Q88" i="14"/>
  <c r="P18" i="56" s="1"/>
  <c r="D18"/>
  <c r="L78" i="14"/>
  <c r="G78"/>
  <c r="Q89"/>
  <c r="P19" i="56" s="1"/>
  <c r="I87" i="14"/>
  <c r="I17" i="56" s="1"/>
  <c r="I20" s="1"/>
  <c r="O25" i="48"/>
  <c r="J78" i="14"/>
  <c r="Q76"/>
  <c r="P8" i="56" s="1"/>
  <c r="L10"/>
  <c r="H20"/>
  <c r="O31" i="48"/>
  <c r="Q87" i="14"/>
  <c r="P17" i="56" s="1"/>
  <c r="D17"/>
  <c r="K78" i="14"/>
  <c r="K8" i="56"/>
  <c r="K10" s="1"/>
  <c r="K90" i="14"/>
  <c r="K18" i="56"/>
  <c r="N78" i="14"/>
  <c r="N8" i="56"/>
  <c r="N10" s="1"/>
  <c r="C76" i="14"/>
  <c r="C8" i="56" s="1"/>
  <c r="C10" s="1"/>
  <c r="E8"/>
  <c r="E10" s="1"/>
  <c r="M78" i="14"/>
  <c r="M8" i="56"/>
  <c r="M10" s="1"/>
  <c r="K20"/>
  <c r="G10"/>
  <c r="O10"/>
  <c r="C88" i="14"/>
  <c r="C18" i="56" s="1"/>
  <c r="G20"/>
  <c r="N90" i="14"/>
  <c r="F10" i="56"/>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P20"/>
  <c r="D20"/>
  <c r="C78" i="14"/>
  <c r="J90"/>
  <c r="J17" i="56"/>
  <c r="J20" s="1"/>
  <c r="Q90" i="14"/>
  <c r="B17" i="6" s="1"/>
  <c r="C87" i="14"/>
  <c r="C17" i="56" s="1"/>
  <c r="C20" s="1"/>
  <c r="B87" i="14"/>
  <c r="C90" l="1"/>
  <c r="B90"/>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8"/>
  <c r="K27"/>
  <c r="K25"/>
  <c r="K31"/>
  <c r="K24"/>
  <c r="K26"/>
  <c r="K29"/>
  <c r="K22"/>
  <c r="K30"/>
  <c r="J10" i="14"/>
  <c r="J16" s="1"/>
  <c r="J27" s="1"/>
  <c r="I5" i="48"/>
  <c r="J24"/>
  <c r="J32"/>
  <c r="J29"/>
  <c r="J31"/>
  <c r="J30"/>
  <c r="J28"/>
  <c r="J27"/>
  <c r="Q11" i="14"/>
  <c r="P4" i="48"/>
  <c r="B7"/>
  <c r="C24" i="14"/>
  <c r="C26" s="1"/>
  <c r="P11"/>
  <c r="O4" i="48"/>
  <c r="I29"/>
  <c r="I31"/>
  <c r="I28"/>
  <c r="I27"/>
  <c r="I32"/>
  <c r="I22"/>
  <c r="I24"/>
  <c r="I25"/>
  <c r="I30"/>
  <c r="I26"/>
  <c r="E11" i="14"/>
  <c r="D4" i="48"/>
  <c r="D22" s="1"/>
  <c r="D11" i="14"/>
  <c r="C4" i="48"/>
  <c r="F24"/>
  <c r="F32"/>
  <c r="F30"/>
  <c r="F29"/>
  <c r="F31"/>
  <c r="F28"/>
  <c r="F27"/>
  <c r="N24"/>
  <c r="N32"/>
  <c r="N30"/>
  <c r="N29"/>
  <c r="N28"/>
  <c r="N27"/>
  <c r="N31"/>
  <c r="E28"/>
  <c r="E32"/>
  <c r="E29"/>
  <c r="E24"/>
  <c r="E31"/>
  <c r="E30"/>
  <c r="M12" i="13"/>
  <c r="N41" i="14" s="1"/>
  <c r="M17" i="48"/>
  <c r="H32"/>
  <c r="H25"/>
  <c r="H24"/>
  <c r="H28"/>
  <c r="H26"/>
  <c r="H29"/>
  <c r="H30"/>
  <c r="H22"/>
  <c r="H23"/>
  <c r="G29"/>
  <c r="G32"/>
  <c r="G25"/>
  <c r="G26"/>
  <c r="G30"/>
  <c r="G22"/>
  <c r="G24"/>
  <c r="G23"/>
  <c r="C11" i="14"/>
  <c r="B4" i="48"/>
  <c r="B10"/>
  <c r="C19" i="14"/>
  <c r="K5" i="48"/>
  <c r="L10" i="14"/>
  <c r="L16" s="1"/>
  <c r="L27" s="1"/>
  <c r="D30" i="48"/>
  <c r="D28"/>
  <c r="D24"/>
  <c r="D29"/>
  <c r="D32"/>
  <c r="D31"/>
  <c r="L32"/>
  <c r="L28"/>
  <c r="L29"/>
  <c r="L24"/>
  <c r="L27"/>
  <c r="L22"/>
  <c r="L30"/>
  <c r="L31"/>
  <c r="Q10" i="14"/>
  <c r="P5" i="48"/>
  <c r="P23" s="1"/>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F4"/>
  <c r="F22" s="1"/>
  <c r="G11" i="14"/>
  <c r="I18"/>
  <c r="H13" i="48"/>
  <c r="H31" s="1"/>
  <c r="L61" i="14"/>
  <c r="L63" s="1"/>
  <c r="J63"/>
  <c r="Q13"/>
  <c r="Q16" s="1"/>
  <c r="Q27" s="1"/>
  <c r="P8" i="48"/>
  <c r="P26" s="1"/>
  <c r="I23"/>
  <c r="I33" s="1"/>
  <c r="I15"/>
  <c r="G13"/>
  <c r="H18" i="14"/>
  <c r="N18"/>
  <c r="M13" i="48"/>
  <c r="M31" s="1"/>
  <c r="J12" i="17"/>
  <c r="K54" i="14" s="1"/>
  <c r="K56" s="1"/>
  <c r="J7" i="48"/>
  <c r="J25" s="1"/>
  <c r="K24" i="14"/>
  <c r="K26" s="1"/>
  <c r="J46"/>
  <c r="J61" s="1"/>
  <c r="K23" i="48"/>
  <c r="K33" s="1"/>
  <c r="K15"/>
  <c r="M32"/>
  <c r="M22"/>
  <c r="M26"/>
  <c r="M24"/>
  <c r="M25"/>
  <c r="M29"/>
  <c r="M30"/>
  <c r="M23"/>
  <c r="P15"/>
  <c r="P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2" s="1"/>
  <c r="F54" i="14" s="1"/>
  <c r="F56" s="1"/>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N20"/>
  <c r="M9" i="48"/>
  <c r="R18" i="14"/>
  <c r="F20"/>
  <c r="F22" s="1"/>
  <c r="E9" i="48"/>
  <c r="E27" s="1"/>
  <c r="H9"/>
  <c r="I20" i="14"/>
  <c r="N22"/>
  <c r="N27" s="1"/>
  <c r="N63" s="1"/>
  <c r="N19"/>
  <c r="M10" i="48"/>
  <c r="M28" s="1"/>
  <c r="B9"/>
  <c r="C20" i="14"/>
  <c r="Q63"/>
  <c r="N52"/>
  <c r="N61" s="1"/>
  <c r="P33" i="48"/>
  <c r="K11" i="14"/>
  <c r="J4" i="48"/>
  <c r="E7"/>
  <c r="E25" s="1"/>
  <c r="F24" i="14"/>
  <c r="F26" s="1"/>
  <c r="O8" i="48"/>
  <c r="P13" i="14"/>
  <c r="P16" s="1"/>
  <c r="P27" s="1"/>
  <c r="E20"/>
  <c r="E22" s="1"/>
  <c r="D9" i="48"/>
  <c r="D27" s="1"/>
  <c r="N4"/>
  <c r="N22" s="1"/>
  <c r="O11" i="14"/>
  <c r="H19"/>
  <c r="G10" i="48"/>
  <c r="G31"/>
  <c r="Q13"/>
  <c r="P46" i="14"/>
  <c r="P61" s="1"/>
  <c r="D18" i="22"/>
  <c r="E50" i="14" s="1"/>
  <c r="E52" s="1"/>
  <c r="I22"/>
  <c r="I27"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R19" l="1"/>
  <c r="G9" i="48"/>
  <c r="H20" i="14"/>
  <c r="H22" s="1"/>
  <c r="H27" s="1"/>
  <c r="H63" s="1"/>
  <c r="G28" i="48"/>
  <c r="Q10"/>
  <c r="C22" i="14"/>
  <c r="H27" i="48"/>
  <c r="H33" s="1"/>
  <c r="H15"/>
  <c r="E22"/>
  <c r="Q4"/>
  <c r="J5"/>
  <c r="J23" s="1"/>
  <c r="K10" i="14"/>
  <c r="O26" i="48"/>
  <c r="O33" s="1"/>
  <c r="O15"/>
  <c r="R11" i="14"/>
  <c r="F10"/>
  <c r="E5" i="48"/>
  <c r="E23" s="1"/>
  <c r="M27"/>
  <c r="M33" s="1"/>
  <c r="M15"/>
  <c r="J22"/>
  <c r="P63" i="14"/>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G27" i="48"/>
  <c r="G33" s="1"/>
  <c r="G15"/>
  <c r="F16" i="14"/>
  <c r="F27" s="1"/>
  <c r="R10"/>
  <c r="Q9" i="48"/>
  <c r="K13" i="14"/>
  <c r="K16" s="1"/>
  <c r="K27" s="1"/>
  <c r="J8" i="48"/>
  <c r="J26" s="1"/>
  <c r="F13" i="14"/>
  <c r="E8" i="48"/>
  <c r="E26" s="1"/>
  <c r="E33" s="1"/>
  <c r="Q5"/>
  <c r="J33"/>
  <c r="R20"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J15" i="48"/>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<sst xmlns="http://schemas.openxmlformats.org/spreadsheetml/2006/main" count="2483" uniqueCount="946">
  <si>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</si>
  <si>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</si>
  <si>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</si>
  <si>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</si>
  <si>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</si>
  <si>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</si>
  <si>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</si>
  <si>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</si>
  <si>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</si>
  <si>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</si>
  <si>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</si>
  <si>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</si>
  <si>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</si>
  <si>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</si>
  <si>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</si>
  <si>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</si>
  <si>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</si>
  <si>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</si>
  <si>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</si>
  <si>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</si>
  <si>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</si>
  <si>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</si>
  <si>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</si>
  <si>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</si>
  <si>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</si>
  <si>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</si>
  <si>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</si>
  <si>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</si>
  <si>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</si>
  <si>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</si>
  <si>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</si>
  <si>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</si>
  <si>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</si>
  <si>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</si>
  <si>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</si>
  <si>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</si>
  <si>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</si>
  <si>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</si>
  <si>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</si>
  <si>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</si>
  <si>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</si>
  <si>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</si>
  <si>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</si>
  <si>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</si>
  <si>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</si>
  <si>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</si>
  <si>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</si>
  <si>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</si>
  <si>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</si>
  <si>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</si>
  <si>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</si>
  <si>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</si>
  <si>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</si>
  <si>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</si>
  <si>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</si>
  <si>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</si>
  <si>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</si>
  <si>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</si>
  <si>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</si>
  <si>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</si>
  <si>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</si>
  <si>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</si>
  <si>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</si>
  <si>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</si>
  <si>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</si>
  <si>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</si>
  <si>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</si>
  <si>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</si>
  <si>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</si>
  <si>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</si>
  <si>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</si>
  <si>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</si>
  <si>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</si>
  <si>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</si>
  <si>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</si>
  <si>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</si>
  <si>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</si>
  <si>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</si>
  <si>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</si>
  <si>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</si>
  <si>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</si>
  <si>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</si>
  <si>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</si>
  <si>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</si>
  <si>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</si>
  <si>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</si>
  <si>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</si>
  <si>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</si>
  <si>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</si>
  <si>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</si>
  <si>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</si>
  <si>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</si>
  <si>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</si>
  <si>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</si>
  <si>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</si>
  <si>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</si>
  <si>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</si>
  <si>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</si>
  <si>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</si>
  <si>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</si>
  <si>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</si>
  <si>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</si>
  <si>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</si>
  <si>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</si>
  <si>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</si>
  <si>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</si>
  <si>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</si>
  <si>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</si>
  <si>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</si>
  <si>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</si>
  <si>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</si>
  <si>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</si>
  <si>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</si>
  <si>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</si>
  <si>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</si>
  <si>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</si>
  <si>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</si>
  <si>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</si>
  <si>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</si>
  <si>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</si>
  <si>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</si>
  <si>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</si>
  <si>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</si>
  <si>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</si>
  <si>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</si>
  <si>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</si>
  <si>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</si>
  <si>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</si>
  <si>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</si>
  <si>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</si>
  <si>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</si>
  <si>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</si>
  <si>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</si>
  <si>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</si>
  <si>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</si>
  <si>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</si>
  <si>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</si>
  <si>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</si>
  <si>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</si>
  <si>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</si>
  <si>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</si>
  <si>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</si>
  <si>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</si>
  <si>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</si>
  <si>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</si>
  <si>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</si>
  <si>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</si>
  <si>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</si>
  <si>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</si>
  <si>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</si>
  <si>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</si>
  <si>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</si>
  <si>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</si>
  <si>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</si>
  <si>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</si>
  <si>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</si>
  <si>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</si>
  <si>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</si>
  <si>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</si>
  <si>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</si>
  <si>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</si>
  <si>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</si>
  <si>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</si>
  <si>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</si>
  <si>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</si>
  <si>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</si>
  <si>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</si>
  <si>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</si>
  <si>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</si>
  <si>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</si>
  <si>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</si>
  <si>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</si>
  <si>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</si>
  <si>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</si>
  <si>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</si>
  <si>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</si>
  <si>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</si>
  <si>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</si>
  <si>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</si>
  <si>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</si>
  <si>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</si>
  <si>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</si>
  <si>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</si>
  <si>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</si>
  <si>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</si>
  <si>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</si>
  <si>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</si>
  <si>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</si>
  <si>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</si>
  <si>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</si>
  <si>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</si>
  <si>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</si>
  <si>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</si>
  <si>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</si>
  <si>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</si>
  <si>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</si>
  <si>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</si>
  <si>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</si>
  <si>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</si>
  <si>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</si>
  <si>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</si>
  <si>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</si>
  <si>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</si>
  <si>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</si>
  <si>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</si>
  <si>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</si>
  <si>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</si>
  <si>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</si>
  <si>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</si>
  <si>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</si>
  <si>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</si>
  <si>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</si>
  <si>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</si>
  <si>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</si>
  <si>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</si>
  <si>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</si>
  <si>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</si>
  <si>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</si>
  <si>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</si>
  <si>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</si>
  <si>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</si>
  <si>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</si>
  <si>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</si>
  <si>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</si>
  <si>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</si>
  <si>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</si>
  <si>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</si>
  <si>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</si>
  <si>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</si>
  <si>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</si>
  <si>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</si>
  <si>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</si>
  <si>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</si>
  <si>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</si>
  <si>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</si>
  <si>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</si>
  <si>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</si>
  <si>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</si>
  <si>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</si>
  <si>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</si>
  <si>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</si>
  <si>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</si>
  <si>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</si>
  <si>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</si>
  <si>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</si>
  <si>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</si>
  <si>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</si>
  <si>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</si>
  <si>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</si>
  <si>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</si>
  <si>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</si>
  <si>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</si>
  <si>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</si>
  <si>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</si>
  <si>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</si>
  <si>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</si>
  <si>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</si>
  <si>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</si>
  <si>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</si>
  <si>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</si>
  <si>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</si>
  <si>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</si>
  <si>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</si>
  <si>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</si>
  <si>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</si>
  <si>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</si>
  <si>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</si>
  <si>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</si>
  <si>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</si>
  <si>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</si>
  <si>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</si>
  <si>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</si>
  <si>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</si>
  <si>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</si>
  <si>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</si>
  <si>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</si>
  <si>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</si>
  <si>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</si>
  <si>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</si>
  <si>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</si>
  <si>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</si>
  <si>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</si>
  <si>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</si>
  <si>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</si>
  <si>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</si>
  <si>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</si>
  <si>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</si>
  <si>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</si>
  <si>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</si>
  <si>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</si>
  <si>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</si>
  <si>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</si>
  <si>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</si>
  <si>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</si>
  <si>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</si>
  <si>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</si>
  <si>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</si>
  <si>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</si>
  <si>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</si>
  <si>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</si>
  <si>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</si>
  <si>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</si>
  <si>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</si>
  <si>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</si>
  <si>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</si>
  <si>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</si>
  <si>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</si>
  <si>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</si>
  <si>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</si>
  <si>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</si>
  <si>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</si>
  <si>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</si>
  <si>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</si>
  <si>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</si>
  <si>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</si>
  <si>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</si>
  <si>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</si>
  <si>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</si>
  <si>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</si>
  <si>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</si>
  <si>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</si>
  <si>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</si>
  <si>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</si>
  <si>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</si>
  <si>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</si>
  <si>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</si>
  <si>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</si>
  <si>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</si>
  <si>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</si>
  <si>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</si>
  <si>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</si>
  <si>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</si>
  <si>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</si>
  <si>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</si>
  <si>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</si>
  <si>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</si>
  <si>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</si>
  <si>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</si>
  <si>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</si>
  <si>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</si>
  <si>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</si>
  <si>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</si>
  <si>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</si>
  <si>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</si>
  <si>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</si>
  <si>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</si>
  <si>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</si>
  <si>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</si>
  <si>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</si>
  <si>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</si>
  <si>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</si>
  <si>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</si>
  <si>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</si>
  <si>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</si>
  <si>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</si>
  <si>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</si>
  <si>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</si>
  <si>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</si>
  <si>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</si>
  <si>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</si>
  <si>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</si>
  <si>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</si>
  <si>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</si>
  <si>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</si>
  <si>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</si>
  <si>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</si>
  <si>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</si>
  <si>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</si>
  <si>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</si>
  <si>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</si>
  <si>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</si>
  <si>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</si>
  <si>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</si>
  <si>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</si>
  <si>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</si>
  <si>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</si>
  <si>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</si>
  <si>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</si>
  <si>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</si>
  <si>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</si>
  <si>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</si>
  <si>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</si>
  <si>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</si>
  <si>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</si>
  <si>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</si>
  <si>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</si>
  <si>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</si>
  <si>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</si>
  <si>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</si>
  <si>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</si>
  <si>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</si>
  <si>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</si>
  <si>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</si>
  <si>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</si>
  <si>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</si>
  <si>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</si>
  <si>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</si>
  <si>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</si>
  <si>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</si>
  <si>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</si>
  <si>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</si>
  <si>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</si>
  <si>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</si>
  <si>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</si>
  <si>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</si>
  <si>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</si>
  <si>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</si>
  <si>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</si>
  <si>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</si>
  <si>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</si>
  <si>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</si>
  <si>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</si>
  <si>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</si>
  <si>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</si>
  <si>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</si>
  <si>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</si>
  <si>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</si>
  <si>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</si>
  <si>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</si>
  <si>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</si>
  <si>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</si>
  <si>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</si>
  <si>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</si>
  <si>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</si>
  <si>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</si>
  <si>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</si>
  <si>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</si>
  <si>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</si>
  <si>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</si>
  <si>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</si>
  <si>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</si>
  <si>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</si>
  <si>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</si>
  <si>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</si>
  <si>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</si>
  <si>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</si>
  <si>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</si>
  <si>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</si>
  <si>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</si>
  <si>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</si>
  <si>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</si>
  <si>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</si>
  <si>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</si>
  <si>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</si>
  <si>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</si>
  <si>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</si>
  <si>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</si>
  <si>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</si>
  <si>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</si>
  <si>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</si>
  <si>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</si>
  <si>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</si>
  <si>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</si>
  <si>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</si>
  <si>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</si>
  <si>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</si>
  <si>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</si>
  <si>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</si>
  <si>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</si>
  <si>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</si>
  <si>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</si>
  <si>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</si>
  <si>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</si>
  <si>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</si>
  <si>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</si>
  <si>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</si>
  <si>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</si>
  <si>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</si>
  <si>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</si>
  <si>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</si>
  <si>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</si>
  <si>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</si>
  <si>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</si>
  <si>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</si>
  <si>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</si>
  <si>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</si>
  <si>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</si>
  <si>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</si>
  <si>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</si>
  <si>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</si>
  <si>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</si>
  <si>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</si>
  <si>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</si>
  <si>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</si>
  <si>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</si>
  <si>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</si>
  <si>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</si>
  <si>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</si>
  <si>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</si>
  <si>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</si>
  <si>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</si>
  <si>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</si>
  <si>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</si>
  <si>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</si>
  <si>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</si>
  <si>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</si>
  <si>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</si>
  <si>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</si>
  <si>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</si>
  <si>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</si>
  <si>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</si>
  <si>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</si>
  <si>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</si>
  <si>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</si>
  <si>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</si>
  <si>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</si>
  <si>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</si>
  <si>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</si>
  <si>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</si>
  <si>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</si>
  <si>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</si>
  <si>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</si>
  <si>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</si>
  <si>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</si>
  <si>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</si>
  <si>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</si>
  <si>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</si>
  <si>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</si>
  <si>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</si>
  <si>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</si>
  <si>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</si>
  <si>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</si>
  <si>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</si>
  <si>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</si>
  <si>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</si>
  <si>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</si>
  <si>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</si>
  <si>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</si>
  <si>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</si>
  <si>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</si>
  <si>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</si>
  <si>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</si>
  <si>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</si>
  <si>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</si>
  <si>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</si>
  <si>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</si>
  <si>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</si>
  <si>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</si>
  <si>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</si>
  <si>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</si>
  <si>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</si>
  <si>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</si>
  <si>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</si>
  <si>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</si>
  <si>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</si>
  <si>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</si>
  <si>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</si>
  <si>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</si>
  <si>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</si>
  <si>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</si>
  <si>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</si>
  <si>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</si>
  <si>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</si>
  <si>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</si>
  <si>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</si>
  <si>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</si>
  <si>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</si>
  <si>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</si>
  <si>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</si>
  <si>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</si>
  <si>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</si>
  <si>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</si>
  <si>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</si>
  <si>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</si>
  <si>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</si>
  <si>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</si>
  <si>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</si>
  <si>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</si>
  <si>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</si>
  <si>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</si>
  <si>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</si>
  <si>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</si>
  <si>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</si>
  <si>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</si>
  <si>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</si>
  <si>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</si>
  <si>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</si>
  <si>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</si>
  <si>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</si>
  <si>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</si>
  <si>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</si>
  <si>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</si>
  <si>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</si>
  <si>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</si>
  <si>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</si>
  <si>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</si>
  <si>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</si>
  <si>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</si>
  <si>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</si>
  <si>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</si>
  <si>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</si>
  <si>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</si>
  <si>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</si>
  <si>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</si>
  <si>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</si>
  <si>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</si>
  <si>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</si>
  <si>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</si>
  <si>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</si>
  <si>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</si>
  <si>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</si>
  <si>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</si>
  <si>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</si>
  <si>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</si>
  <si>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</si>
  <si>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</si>
  <si>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</si>
  <si>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</si>
  <si>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</si>
  <si>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</si>
  <si>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</si>
  <si>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</si>
  <si>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</si>
  <si>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</si>
  <si>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</si>
  <si>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</si>
  <si>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</si>
  <si>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</si>
  <si>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</si>
  <si>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</si>
  <si>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</si>
  <si>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</si>
  <si>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</si>
  <si>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</si>
  <si>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</si>
  <si>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</si>
  <si>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</si>
  <si>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</si>
  <si>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</si>
  <si>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</si>
  <si>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</si>
  <si>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</si>
  <si>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</si>
  <si>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</si>
  <si>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</si>
  <si>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</si>
  <si>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</si>
  <si>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</si>
  <si>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</si>
  <si>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</si>
  <si>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</si>
  <si>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</si>
  <si>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</si>
  <si>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</si>
  <si>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</si>
  <si>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</si>
  <si>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</si>
  <si>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</si>
  <si>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</si>
  <si>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</si>
  <si>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</si>
  <si>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</si>
  <si>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</si>
  <si>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</si>
  <si>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</si>
  <si>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</si>
  <si>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</si>
  <si>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</si>
  <si>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</si>
  <si>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</si>
  <si>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</si>
  <si>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</si>
  <si>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</si>
  <si>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</si>
  <si>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</si>
  <si>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</si>
  <si>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</si>
  <si>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</si>
  <si>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</si>
  <si>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</si>
  <si>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</si>
  <si>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</si>
  <si>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</si>
  <si>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</si>
  <si>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</si>
  <si>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</si>
  <si>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</si>
  <si>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</si>
  <si>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</si>
  <si>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</si>
  <si>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</si>
  <si>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</si>
  <si>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</si>
  <si>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</si>
  <si>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</si>
  <si>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</si>
  <si>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</si>
  <si>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</si>
  <si>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</si>
  <si>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</si>
  <si>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</si>
  <si>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</si>
  <si>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</si>
  <si>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</si>
  <si>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</si>
  <si>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</si>
  <si>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</si>
  <si>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</si>
  <si>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</si>
  <si>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</si>
  <si>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</si>
  <si>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</si>
  <si>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</si>
  <si>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</si>
  <si>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</si>
  <si>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</si>
  <si>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</si>
  <si>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</si>
  <si>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</si>
  <si>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</si>
  <si>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</si>
  <si>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</si>
  <si>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</si>
  <si>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</si>
  <si>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</si>
  <si>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</si>
  <si>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</si>
  <si>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</si>
  <si>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</si>
  <si>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</si>
  <si>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</si>
  <si>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</si>
  <si>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</si>
  <si>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</si>
  <si>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</si>
  <si>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</si>
  <si>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</si>
  <si>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</si>
  <si>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</si>
  <si>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</si>
  <si>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</si>
  <si>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</si>
  <si>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</si>
  <si>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</si>
  <si>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</si>
  <si>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</si>
  <si>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</si>
  <si>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</si>
  <si>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</si>
  <si>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</si>
  <si>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</si>
  <si>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</si>
  <si>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</si>
  <si>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</si>
  <si>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</si>
  <si>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</si>
  <si>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</si>
  <si>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</si>
  <si>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</si>
  <si>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</si>
  <si>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</si>
  <si>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</si>
  <si>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</si>
  <si>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</si>
  <si>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</si>
  <si>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</si>
  <si>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</si>
  <si>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</si>
  <si>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</si>
  <si>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</si>
  <si>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</si>
  <si>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</si>
  <si>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</si>
  <si>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</si>
  <si>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</si>
  <si>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</si>
  <si>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</si>
  <si>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</si>
  <si>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</si>
  <si>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</si>
  <si>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</si>
  <si>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</si>
  <si>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</si>
  <si>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</si>
  <si>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</si>
  <si>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</si>
  <si>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</si>
  <si>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</si>
  <si>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</si>
  <si>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</si>
  <si>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</si>
  <si>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</si>
  <si>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</si>
  <si>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</si>
  <si>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</si>
  <si>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</si>
  <si>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</si>
  <si>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</si>
  <si>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</si>
  <si>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</si>
  <si>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</si>
  <si>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</si>
  <si>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</si>
  <si>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</si>
  <si>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</si>
  <si>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</si>
  <si>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</si>
  <si>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</si>
  <si>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</si>
  <si>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</si>
  <si>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</si>
  <si>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</si>
  <si>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</si>
  <si>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</si>
  <si>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</si>
  <si>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</si>
  <si>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</si>
  <si>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</si>
  <si>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</si>
  <si>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</si>
  <si>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</si>
  <si>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</si>
  <si>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</si>
  <si>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</si>
  <si>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</si>
  <si>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</si>
  <si>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</si>
  <si>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</si>
  <si>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</si>
  <si>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</si>
  <si>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</si>
  <si>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</si>
  <si>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</si>
  <si>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</si>
  <si>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</si>
  <si>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</si>
  <si>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</si>
  <si>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</si>
  <si>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</si>
  <si>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</si>
  <si>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</si>
  <si>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</si>
  <si>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</si>
  <si>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</si>
  <si>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</si>
  <si>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</si>
  <si>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</si>
  <si>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</si>
  <si>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</si>
  <si>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</si>
  <si>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</si>
  <si>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</si>
  <si>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</si>
  <si>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</si>
  <si>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</si>
  <si>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</si>
  <si>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</si>
  <si>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</si>
  <si>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</si>
  <si>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</si>
  <si>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</si>
  <si>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</si>
  <si>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</si>
  <si>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</si>
  <si>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</si>
  <si>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</si>
  <si>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</si>
  <si>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</si>
  <si>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</si>
  <si>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</si>
  <si>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</si>
  <si>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</si>
  <si>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</si>
  <si>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</si>
  <si>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</si>
  <si>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</si>
  <si>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</si>
  <si>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</si>
  <si>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</si>
  <si>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</si>
  <si>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</si>
  <si>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</si>
  <si>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</si>
  <si>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</si>
  <si>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</si>
  <si>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</si>
  <si>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</si>
  <si>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</si>
  <si>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</si>
  <si>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</si>
  <si>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</si>
  <si>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</si>
  <si>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</si>
  <si>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</si>
  <si>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</si>
  <si>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</si>
  <si>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</si>
  <si>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</si>
  <si>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</si>
  <si>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</si>
  <si>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</si>
  <si>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</si>
  <si>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</si>
  <si>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</si>
  <si>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</si>
  <si>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</si>
  <si>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</si>
  <si>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</si>
  <si>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</si>
  <si>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</si>
  <si>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</si>
  <si>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</si>
  <si>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</si>
  <si>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</si>
  <si>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</si>
  <si>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</si>
  <si>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</si>
  <si>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</si>
  <si>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</si>
  <si>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</si>
  <si>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</si>
  <si>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</si>
  <si>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</si>
  <si>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</si>
  <si>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</si>
  <si>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</si>
  <si>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</si>
  <si>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</si>
  <si>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</si>
  <si>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</si>
  <si>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</si>
  <si>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</si>
  <si>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</si>
  <si>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</si>
  <si>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</si>
  <si>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</si>
  <si>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</si>
  <si>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</si>
  <si>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</si>
  <si>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</si>
  <si>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</si>
  <si>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</si>
  <si>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</si>
  <si>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</si>
  <si>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</si>
  <si>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</si>
  <si>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</si>
  <si>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</si>
  <si>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</si>
  <si>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</si>
  <si>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24104</t>
  </si>
  <si>
    <t>TERVUREN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</si>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</sst>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24104</v>
      </c>
      <c r="B6" s="397"/>
      <c r="C6" s="398"/>
    </row>
    <row r="7" spans="1:7" s="395" customFormat="1" ht="15.75" customHeight="1">
      <c r="A7" s="399" t="str">
        <f>txtMunicipality</f>
        <v>TERVUREN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0.21527931499460817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0.21527931499460817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8338</v>
      </c>
      <c r="C9" s="338">
        <v>8822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750</v>
      </c>
    </row>
    <row r="15" spans="1:6">
      <c r="A15" s="1286" t="s">
        <v>184</v>
      </c>
      <c r="B15" s="335">
        <v>1</v>
      </c>
    </row>
    <row r="16" spans="1:6">
      <c r="A16" s="1286" t="s">
        <v>6</v>
      </c>
      <c r="B16" s="335">
        <v>34</v>
      </c>
    </row>
    <row r="17" spans="1:6">
      <c r="A17" s="1286" t="s">
        <v>7</v>
      </c>
      <c r="B17" s="335">
        <v>71</v>
      </c>
    </row>
    <row r="18" spans="1:6">
      <c r="A18" s="1286" t="s">
        <v>8</v>
      </c>
      <c r="B18" s="335">
        <v>157</v>
      </c>
    </row>
    <row r="19" spans="1:6">
      <c r="A19" s="1286" t="s">
        <v>9</v>
      </c>
      <c r="B19" s="335">
        <v>309</v>
      </c>
    </row>
    <row r="20" spans="1:6">
      <c r="A20" s="1286" t="s">
        <v>10</v>
      </c>
      <c r="B20" s="335">
        <v>75</v>
      </c>
    </row>
    <row r="21" spans="1:6">
      <c r="A21" s="1286" t="s">
        <v>11</v>
      </c>
      <c r="B21" s="335">
        <v>0</v>
      </c>
    </row>
    <row r="22" spans="1:6">
      <c r="A22" s="1286" t="s">
        <v>12</v>
      </c>
      <c r="B22" s="335">
        <v>0</v>
      </c>
    </row>
    <row r="23" spans="1:6">
      <c r="A23" s="1286" t="s">
        <v>13</v>
      </c>
      <c r="B23" s="335">
        <v>2</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105</v>
      </c>
      <c r="C29" s="341"/>
      <c r="D29" s="341"/>
      <c r="E29" s="341"/>
      <c r="F29" s="341"/>
    </row>
    <row r="30" spans="1:6">
      <c r="A30" s="1282" t="s">
        <v>943</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3</v>
      </c>
      <c r="F36" s="335">
        <v>5443.8536030304003</v>
      </c>
    </row>
    <row r="37" spans="1:6">
      <c r="A37" s="1286" t="s">
        <v>25</v>
      </c>
      <c r="B37" s="1286" t="s">
        <v>28</v>
      </c>
      <c r="C37" s="335">
        <v>0</v>
      </c>
      <c r="D37" s="335">
        <v>0</v>
      </c>
      <c r="E37" s="335">
        <v>0</v>
      </c>
      <c r="F37" s="335">
        <v>0</v>
      </c>
    </row>
    <row r="38" spans="1:6">
      <c r="A38" s="1286" t="s">
        <v>25</v>
      </c>
      <c r="B38" s="1286" t="s">
        <v>29</v>
      </c>
      <c r="C38" s="335">
        <v>2</v>
      </c>
      <c r="D38" s="335">
        <v>395102.98739160597</v>
      </c>
      <c r="E38" s="335">
        <v>3</v>
      </c>
      <c r="F38" s="335">
        <v>92402.307050505799</v>
      </c>
    </row>
    <row r="39" spans="1:6">
      <c r="A39" s="1286" t="s">
        <v>30</v>
      </c>
      <c r="B39" s="1286" t="s">
        <v>31</v>
      </c>
      <c r="C39" s="335">
        <v>6280</v>
      </c>
      <c r="D39" s="335">
        <v>156313252.93966699</v>
      </c>
      <c r="E39" s="335">
        <v>8490</v>
      </c>
      <c r="F39" s="335">
        <v>36830528.811829403</v>
      </c>
    </row>
    <row r="40" spans="1:6">
      <c r="A40" s="1286" t="s">
        <v>30</v>
      </c>
      <c r="B40" s="1286" t="s">
        <v>29</v>
      </c>
      <c r="C40" s="335">
        <v>0</v>
      </c>
      <c r="D40" s="335">
        <v>0</v>
      </c>
      <c r="E40" s="335">
        <v>0</v>
      </c>
      <c r="F40" s="335">
        <v>0</v>
      </c>
    </row>
    <row r="41" spans="1:6">
      <c r="A41" s="1286" t="s">
        <v>32</v>
      </c>
      <c r="B41" s="1286" t="s">
        <v>33</v>
      </c>
      <c r="C41" s="335">
        <v>27</v>
      </c>
      <c r="D41" s="335">
        <v>728213.07540769596</v>
      </c>
      <c r="E41" s="335">
        <v>56</v>
      </c>
      <c r="F41" s="335">
        <v>305322.921626108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73395.959356993306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49297.8642945315</v>
      </c>
      <c r="E47" s="335">
        <v>3</v>
      </c>
      <c r="F47" s="335">
        <v>15310.9948998862</v>
      </c>
    </row>
    <row r="48" spans="1:6">
      <c r="A48" s="1286" t="s">
        <v>32</v>
      </c>
      <c r="B48" s="1286" t="s">
        <v>29</v>
      </c>
      <c r="C48" s="335">
        <v>15</v>
      </c>
      <c r="D48" s="335">
        <v>575458.40709111199</v>
      </c>
      <c r="E48" s="335">
        <v>15</v>
      </c>
      <c r="F48" s="335">
        <v>270584.66027452302</v>
      </c>
    </row>
    <row r="49" spans="1:6">
      <c r="A49" s="1286" t="s">
        <v>32</v>
      </c>
      <c r="B49" s="1286" t="s">
        <v>40</v>
      </c>
      <c r="C49" s="335">
        <v>0</v>
      </c>
      <c r="D49" s="335">
        <v>0</v>
      </c>
      <c r="E49" s="335">
        <v>0</v>
      </c>
      <c r="F49" s="335">
        <v>0</v>
      </c>
    </row>
    <row r="50" spans="1:6">
      <c r="A50" s="1286" t="s">
        <v>32</v>
      </c>
      <c r="B50" s="1286" t="s">
        <v>41</v>
      </c>
      <c r="C50" s="335">
        <v>7</v>
      </c>
      <c r="D50" s="335">
        <v>1027179.04275041</v>
      </c>
      <c r="E50" s="335">
        <v>12</v>
      </c>
      <c r="F50" s="335">
        <v>639460.44844407903</v>
      </c>
    </row>
    <row r="51" spans="1:6">
      <c r="A51" s="1286" t="s">
        <v>42</v>
      </c>
      <c r="B51" s="1286" t="s">
        <v>43</v>
      </c>
      <c r="C51" s="335">
        <v>6</v>
      </c>
      <c r="D51" s="335">
        <v>166314.497024465</v>
      </c>
      <c r="E51" s="335">
        <v>49</v>
      </c>
      <c r="F51" s="335">
        <v>201300.367287153</v>
      </c>
    </row>
    <row r="52" spans="1:6">
      <c r="A52" s="1286" t="s">
        <v>42</v>
      </c>
      <c r="B52" s="1286" t="s">
        <v>29</v>
      </c>
      <c r="C52" s="335">
        <v>3</v>
      </c>
      <c r="D52" s="335">
        <v>83599.783036736306</v>
      </c>
      <c r="E52" s="335">
        <v>2</v>
      </c>
      <c r="F52" s="335">
        <v>1548.1183664442999</v>
      </c>
    </row>
    <row r="53" spans="1:6">
      <c r="A53" s="1286" t="s">
        <v>44</v>
      </c>
      <c r="B53" s="1286" t="s">
        <v>45</v>
      </c>
      <c r="C53" s="335">
        <v>142</v>
      </c>
      <c r="D53" s="335">
        <v>7013575.0978328204</v>
      </c>
      <c r="E53" s="335">
        <v>215</v>
      </c>
      <c r="F53" s="335">
        <v>1951400.49708366</v>
      </c>
    </row>
    <row r="54" spans="1:6">
      <c r="A54" s="1286" t="s">
        <v>46</v>
      </c>
      <c r="B54" s="1286" t="s">
        <v>47</v>
      </c>
      <c r="C54" s="335">
        <v>0</v>
      </c>
      <c r="D54" s="335">
        <v>0</v>
      </c>
      <c r="E54" s="335">
        <v>1</v>
      </c>
      <c r="F54" s="335">
        <v>1341528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9102416.5978666507</v>
      </c>
      <c r="E57" s="335">
        <v>76</v>
      </c>
      <c r="F57" s="335">
        <v>5651717.2125315499</v>
      </c>
    </row>
    <row r="58" spans="1:6">
      <c r="A58" s="1286" t="s">
        <v>49</v>
      </c>
      <c r="B58" s="1286" t="s">
        <v>51</v>
      </c>
      <c r="C58" s="335">
        <v>34</v>
      </c>
      <c r="D58" s="335">
        <v>1004320.00412907</v>
      </c>
      <c r="E58" s="335">
        <v>38</v>
      </c>
      <c r="F58" s="335">
        <v>401880.004081655</v>
      </c>
    </row>
    <row r="59" spans="1:6">
      <c r="A59" s="1286" t="s">
        <v>49</v>
      </c>
      <c r="B59" s="1286" t="s">
        <v>52</v>
      </c>
      <c r="C59" s="335">
        <v>44</v>
      </c>
      <c r="D59" s="335">
        <v>2290449.2892964301</v>
      </c>
      <c r="E59" s="335">
        <v>119</v>
      </c>
      <c r="F59" s="335">
        <v>3970532.3609398198</v>
      </c>
    </row>
    <row r="60" spans="1:6">
      <c r="A60" s="1286" t="s">
        <v>49</v>
      </c>
      <c r="B60" s="1286" t="s">
        <v>53</v>
      </c>
      <c r="C60" s="335">
        <v>34</v>
      </c>
      <c r="D60" s="335">
        <v>1731842.12972726</v>
      </c>
      <c r="E60" s="335">
        <v>41</v>
      </c>
      <c r="F60" s="335">
        <v>743979.84529456706</v>
      </c>
    </row>
    <row r="61" spans="1:6">
      <c r="A61" s="1286" t="s">
        <v>49</v>
      </c>
      <c r="B61" s="1286" t="s">
        <v>54</v>
      </c>
      <c r="C61" s="335">
        <v>248</v>
      </c>
      <c r="D61" s="335">
        <v>15153204.430496899</v>
      </c>
      <c r="E61" s="335">
        <v>436</v>
      </c>
      <c r="F61" s="335">
        <v>5675538.7017531004</v>
      </c>
    </row>
    <row r="62" spans="1:6">
      <c r="A62" s="1286" t="s">
        <v>49</v>
      </c>
      <c r="B62" s="1286" t="s">
        <v>55</v>
      </c>
      <c r="C62" s="335">
        <v>3</v>
      </c>
      <c r="D62" s="335">
        <v>246758.83454755801</v>
      </c>
      <c r="E62" s="335">
        <v>10</v>
      </c>
      <c r="F62" s="335">
        <v>1467476.3422560401</v>
      </c>
    </row>
    <row r="63" spans="1:6">
      <c r="A63" s="1286" t="s">
        <v>49</v>
      </c>
      <c r="B63" s="1286" t="s">
        <v>29</v>
      </c>
      <c r="C63" s="335">
        <v>81</v>
      </c>
      <c r="D63" s="335">
        <v>3298232.9757186999</v>
      </c>
      <c r="E63" s="335">
        <v>90</v>
      </c>
      <c r="F63" s="335">
        <v>1010248.18220505</v>
      </c>
    </row>
    <row r="64" spans="1:6">
      <c r="A64" s="1286" t="s">
        <v>56</v>
      </c>
      <c r="B64" s="1286" t="s">
        <v>57</v>
      </c>
      <c r="C64" s="335">
        <v>0</v>
      </c>
      <c r="D64" s="335">
        <v>0</v>
      </c>
      <c r="E64" s="335">
        <v>0</v>
      </c>
      <c r="F64" s="335">
        <v>0</v>
      </c>
    </row>
    <row r="65" spans="1:6">
      <c r="A65" s="1286" t="s">
        <v>56</v>
      </c>
      <c r="B65" s="1286" t="s">
        <v>29</v>
      </c>
      <c r="C65" s="335">
        <v>4</v>
      </c>
      <c r="D65" s="335">
        <v>97416.858617125195</v>
      </c>
      <c r="E65" s="335">
        <v>5</v>
      </c>
      <c r="F65" s="335">
        <v>18041.199058778599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58284377</v>
      </c>
      <c r="E73" s="335">
        <v>59240431.933905996</v>
      </c>
    </row>
    <row r="74" spans="1:6">
      <c r="A74" s="1286" t="s">
        <v>64</v>
      </c>
      <c r="B74" s="1286" t="s">
        <v>772</v>
      </c>
      <c r="C74" s="1297" t="s">
        <v>766</v>
      </c>
      <c r="D74" s="335">
        <v>762774.91607375338</v>
      </c>
      <c r="E74" s="335">
        <v>784873.73221503571</v>
      </c>
    </row>
    <row r="75" spans="1:6">
      <c r="A75" s="1286" t="s">
        <v>65</v>
      </c>
      <c r="B75" s="1286" t="s">
        <v>771</v>
      </c>
      <c r="C75" s="1297" t="s">
        <v>767</v>
      </c>
      <c r="D75" s="335">
        <v>54506606</v>
      </c>
      <c r="E75" s="335">
        <v>55857780.414064012</v>
      </c>
    </row>
    <row r="76" spans="1:6">
      <c r="A76" s="1286" t="s">
        <v>65</v>
      </c>
      <c r="B76" s="1286" t="s">
        <v>772</v>
      </c>
      <c r="C76" s="1297" t="s">
        <v>768</v>
      </c>
      <c r="D76" s="335">
        <v>120944.91607375338</v>
      </c>
      <c r="E76" s="335">
        <v>170205.9923094007</v>
      </c>
    </row>
    <row r="77" spans="1:6">
      <c r="A77" s="1286" t="s">
        <v>66</v>
      </c>
      <c r="B77" s="1286" t="s">
        <v>771</v>
      </c>
      <c r="C77" s="1297" t="s">
        <v>769</v>
      </c>
      <c r="D77" s="335">
        <v>138594969</v>
      </c>
      <c r="E77" s="335">
        <v>144489834.35569435</v>
      </c>
    </row>
    <row r="78" spans="1:6">
      <c r="A78" s="1282" t="s">
        <v>66</v>
      </c>
      <c r="B78" s="1282" t="s">
        <v>772</v>
      </c>
      <c r="C78" s="1282" t="s">
        <v>770</v>
      </c>
      <c r="D78" s="1282">
        <v>12298380</v>
      </c>
      <c r="E78" s="1282">
        <v>12677874.305459997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1297038.1678524932</v>
      </c>
      <c r="C83" s="335">
        <v>1257136.3092332305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1609.2013557258201</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4567</v>
      </c>
    </row>
    <row r="98" spans="1:6">
      <c r="A98" s="1286" t="s">
        <v>72</v>
      </c>
      <c r="B98" s="335">
        <v>3</v>
      </c>
    </row>
    <row r="99" spans="1:6">
      <c r="A99" s="1286" t="s">
        <v>73</v>
      </c>
      <c r="B99" s="335">
        <v>27</v>
      </c>
    </row>
    <row r="100" spans="1:6">
      <c r="A100" s="1286" t="s">
        <v>74</v>
      </c>
      <c r="B100" s="335">
        <v>358</v>
      </c>
    </row>
    <row r="101" spans="1:6">
      <c r="A101" s="1286" t="s">
        <v>75</v>
      </c>
      <c r="B101" s="335">
        <v>36</v>
      </c>
    </row>
    <row r="102" spans="1:6">
      <c r="A102" s="1286" t="s">
        <v>76</v>
      </c>
      <c r="B102" s="335">
        <v>91</v>
      </c>
    </row>
    <row r="103" spans="1:6">
      <c r="A103" s="1286" t="s">
        <v>77</v>
      </c>
      <c r="B103" s="335">
        <v>63</v>
      </c>
    </row>
    <row r="104" spans="1:6">
      <c r="A104" s="1286" t="s">
        <v>78</v>
      </c>
      <c r="B104" s="335">
        <v>2221</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8</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97</v>
      </c>
    </row>
    <row r="130" spans="1:6">
      <c r="A130" s="1286" t="s">
        <v>295</v>
      </c>
      <c r="B130" s="335">
        <v>2</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62166.243951592718</v>
      </c>
      <c r="C3" s="44" t="s">
        <v>170</v>
      </c>
      <c r="D3" s="44"/>
      <c r="E3" s="157"/>
      <c r="F3" s="44"/>
      <c r="G3" s="44"/>
      <c r="H3" s="44"/>
      <c r="I3" s="44"/>
      <c r="J3" s="44"/>
      <c r="K3" s="97"/>
    </row>
    <row r="4" spans="1:11">
      <c r="A4" s="365" t="s">
        <v>171</v>
      </c>
      <c r="B4" s="50">
        <f>IF(ISERROR('SEAP template'!B78),0,'SEAP template'!B78)</f>
        <v>1609.2013557258201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0.21527931499460817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1341.528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1341.528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0.21527931499460817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288.80322888608674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36830.528811829405</v>
      </c>
      <c r="C5" s="18">
        <f>IF(ISERROR('Eigen informatie GS &amp; warmtenet'!B57),0,'Eigen informatie GS &amp; warmtenet'!B57)</f>
        <v>0</v>
      </c>
      <c r="D5" s="31">
        <f>(SUM(HH_hh_gas_kWh,HH_rest_gas_kWh)/1000)*0.902</f>
        <v>140994.55415157965</v>
      </c>
      <c r="E5" s="18">
        <f>B46*B57</f>
        <v>1918.7868112092144</v>
      </c>
      <c r="F5" s="18">
        <f>B51*B62</f>
        <v>13409.303397950469</v>
      </c>
      <c r="G5" s="19"/>
      <c r="H5" s="18"/>
      <c r="I5" s="18"/>
      <c r="J5" s="18">
        <f>B50*B61+C50*C61</f>
        <v>0</v>
      </c>
      <c r="K5" s="18"/>
      <c r="L5" s="18"/>
      <c r="M5" s="18"/>
      <c r="N5" s="18">
        <f>B48*B59+C48*C59</f>
        <v>8308.4554551981328</v>
      </c>
      <c r="O5" s="18">
        <f>B69*B70*B71</f>
        <v>165.71333333333337</v>
      </c>
      <c r="P5" s="18">
        <f>B77*B78*B79/1000-B77*B78*B79/1000/B80</f>
        <v>400.4</v>
      </c>
    </row>
    <row r="6" spans="1:16">
      <c r="A6" s="17" t="s">
        <v>639</v>
      </c>
      <c r="B6" s="780">
        <f>kWh_PV_kleiner_dan_10kW</f>
        <v>1609.2013557258201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38439.730167555223</v>
      </c>
      <c r="C8" s="22">
        <f>C5</f>
        <v>0</v>
      </c>
      <c r="D8" s="22">
        <f>D5</f>
        <v>140994.55415157965</v>
      </c>
      <c r="E8" s="22">
        <f>E5</f>
        <v>1918.7868112092144</v>
      </c>
      <c r="F8" s="22">
        <f>F5</f>
        <v>13409.303397950469</v>
      </c>
      <c r="G8" s="22"/>
      <c r="H8" s="22"/>
      <c r="I8" s="22"/>
      <c r="J8" s="22">
        <f>J5</f>
        <v>0</v>
      </c>
      <c r="K8" s="22"/>
      <c r="L8" s="22">
        <f>L5</f>
        <v>0</v>
      </c>
      <c r="M8" s="22">
        <f>M5</f>
        <v>0</v>
      </c>
      <c r="N8" s="22">
        <f>N5</f>
        <v>8308.4554551981328</v>
      </c>
      <c r="O8" s="22">
        <f>O5</f>
        <v>165.71333333333337</v>
      </c>
      <c r="P8" s="22">
        <f>P5</f>
        <v>400.4</v>
      </c>
    </row>
    <row r="9" spans="1:16">
      <c r="B9" s="20"/>
      <c r="C9" s="20"/>
      <c r="D9" s="262"/>
      <c r="E9" s="20"/>
      <c r="F9" s="20"/>
      <c r="G9" s="20"/>
      <c r="H9" s="20"/>
      <c r="I9" s="20"/>
      <c r="J9" s="20"/>
      <c r="K9" s="20"/>
      <c r="L9" s="20"/>
      <c r="M9" s="20"/>
      <c r="N9" s="20"/>
      <c r="O9" s="20"/>
      <c r="P9" s="20"/>
    </row>
    <row r="10" spans="1:16">
      <c r="A10" s="25" t="s">
        <v>214</v>
      </c>
      <c r="B10" s="26">
        <f ca="1">'EF ele_warmte'!B12</f>
        <v>0.21527931499460817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8275.2787790488637</v>
      </c>
      <c r="C12" s="24">
        <f ca="1">C10*C8</f>
        <v>0</v>
      </c>
      <c r="D12" s="24">
        <f>D8*D10</f>
        <v>28480.899938619092</v>
      </c>
      <c r="E12" s="24">
        <f>E10*E8</f>
        <v>435.56460614449168</v>
      </c>
      <c r="F12" s="24">
        <f>F10*F8</f>
        <v>3580.2840072527756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4567</v>
      </c>
      <c r="C18" s="169" t="s">
        <v>111</v>
      </c>
      <c r="D18" s="231"/>
      <c r="E18" s="16"/>
    </row>
    <row r="19" spans="1:7">
      <c r="A19" s="174" t="s">
        <v>72</v>
      </c>
      <c r="B19" s="38">
        <f>aantalw2001_ander</f>
        <v>3</v>
      </c>
      <c r="C19" s="169" t="s">
        <v>111</v>
      </c>
      <c r="D19" s="232"/>
      <c r="E19" s="16"/>
    </row>
    <row r="20" spans="1:7">
      <c r="A20" s="174" t="s">
        <v>73</v>
      </c>
      <c r="B20" s="38">
        <f>aantalw2001_propaan</f>
        <v>27</v>
      </c>
      <c r="C20" s="170">
        <f>IF(ISERROR(B20/SUM($B$20,$B$21,$B$22)*100),0,B20/SUM($B$20,$B$21,$B$22)*100)</f>
        <v>6.4133016627078394</v>
      </c>
      <c r="D20" s="232"/>
      <c r="E20" s="16"/>
    </row>
    <row r="21" spans="1:7">
      <c r="A21" s="174" t="s">
        <v>74</v>
      </c>
      <c r="B21" s="38">
        <f>aantalw2001_elektriciteit</f>
        <v>358</v>
      </c>
      <c r="C21" s="170">
        <f>IF(ISERROR(B21/SUM($B$20,$B$21,$B$22)*100),0,B21/SUM($B$20,$B$21,$B$22)*100)</f>
        <v>85.035629453681707</v>
      </c>
      <c r="D21" s="232"/>
      <c r="E21" s="16"/>
    </row>
    <row r="22" spans="1:7">
      <c r="A22" s="174" t="s">
        <v>75</v>
      </c>
      <c r="B22" s="38">
        <f>aantalw2001_hout</f>
        <v>36</v>
      </c>
      <c r="C22" s="170">
        <f>IF(ISERROR(B22/SUM($B$20,$B$21,$B$22)*100),0,B22/SUM($B$20,$B$21,$B$22)*100)</f>
        <v>8.5510688836104514</v>
      </c>
      <c r="D22" s="232"/>
      <c r="E22" s="16"/>
    </row>
    <row r="23" spans="1:7">
      <c r="A23" s="174" t="s">
        <v>76</v>
      </c>
      <c r="B23" s="38">
        <f>aantalw2001_niet_gespec</f>
        <v>91</v>
      </c>
      <c r="C23" s="169" t="s">
        <v>111</v>
      </c>
      <c r="D23" s="231"/>
      <c r="E23" s="16"/>
    </row>
    <row r="24" spans="1:7">
      <c r="A24" s="174" t="s">
        <v>77</v>
      </c>
      <c r="B24" s="38">
        <f>aantalw2001_steenkool</f>
        <v>63</v>
      </c>
      <c r="C24" s="169" t="s">
        <v>111</v>
      </c>
      <c r="D24" s="232"/>
      <c r="E24" s="16"/>
    </row>
    <row r="25" spans="1:7">
      <c r="A25" s="174" t="s">
        <v>78</v>
      </c>
      <c r="B25" s="38">
        <f>aantalw2001_stookolie</f>
        <v>2221</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8338</v>
      </c>
      <c r="C28" s="37"/>
      <c r="D28" s="231"/>
    </row>
    <row r="29" spans="1:7" s="16" customFormat="1">
      <c r="A29" s="233" t="s">
        <v>666</v>
      </c>
      <c r="B29" s="38">
        <f>SUM(HH_hh_gas_aantal,HH_rest_gas_aantal)</f>
        <v>6280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6280</v>
      </c>
      <c r="C32" s="170">
        <f>IF(ISERROR(B32/SUM($B$32,$B$34,$B$35,$B$36,$B$38,$B$39)*100),0,B32/SUM($B$32,$B$34,$B$35,$B$36,$B$38,$B$39)*100)</f>
        <v>75.50799567151617</v>
      </c>
      <c r="D32" s="236"/>
      <c r="G32" s="16"/>
    </row>
    <row r="33" spans="1:7">
      <c r="A33" s="174" t="s">
        <v>72</v>
      </c>
      <c r="B33" s="35" t="s">
        <v>111</v>
      </c>
      <c r="C33" s="170"/>
      <c r="D33" s="236"/>
      <c r="G33" s="16"/>
    </row>
    <row r="34" spans="1:7">
      <c r="A34" s="174" t="s">
        <v>73</v>
      </c>
      <c r="B34" s="34">
        <f>IF((($B$28-$B$32-$B$39-$B$77-$B$38)*C20/100)&lt;0,0,($B$28-$B$32-$B$39-$B$77-$B$38)*C20/100)</f>
        <v>87.073396674584345</v>
      </c>
      <c r="C34" s="170">
        <f>IF(ISERROR(B34/SUM($B$32,$B$34,$B$35,$B$36,$B$38,$B$39)*100),0,B34/SUM($B$32,$B$34,$B$35,$B$36,$B$38,$B$39)*100)</f>
        <v>1.0469327482816442</v>
      </c>
      <c r="D34" s="236"/>
      <c r="G34" s="16"/>
    </row>
    <row r="35" spans="1:7">
      <c r="A35" s="174" t="s">
        <v>74</v>
      </c>
      <c r="B35" s="34">
        <f>IF((($B$28-$B$32-$B$39-$B$77-$B$38)*C21/100)&lt;0,0,($B$28-$B$32-$B$39-$B$77-$B$38)*C21/100)</f>
        <v>1154.5287410926367</v>
      </c>
      <c r="C35" s="170">
        <f>IF(ISERROR(B35/SUM($B$32,$B$34,$B$35,$B$36,$B$38,$B$39)*100),0,B35/SUM($B$32,$B$34,$B$35,$B$36,$B$38,$B$39)*100)</f>
        <v>13.881552736475131</v>
      </c>
      <c r="D35" s="236"/>
      <c r="G35" s="16"/>
    </row>
    <row r="36" spans="1:7">
      <c r="A36" s="174" t="s">
        <v>75</v>
      </c>
      <c r="B36" s="34">
        <f>IF((($B$28-$B$32-$B$39-$B$77-$B$38)*C22/100)&lt;0,0,($B$28-$B$32-$B$39-$B$77-$B$38)*C22/100)</f>
        <v>116.09786223277909</v>
      </c>
      <c r="C36" s="170">
        <f>IF(ISERROR(B36/SUM($B$32,$B$34,$B$35,$B$36,$B$38,$B$39)*100),0,B36/SUM($B$32,$B$34,$B$35,$B$36,$B$38,$B$39)*100)</f>
        <v>1.3959103310421919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679.3</v>
      </c>
      <c r="C39" s="170">
        <f>IF(ISERROR(B39/SUM($B$32,$B$34,$B$35,$B$36,$B$38,$B$39)*100),0,B39/SUM($B$32,$B$34,$B$35,$B$36,$B$38,$B$39)*100)</f>
        <v>8.167608512684863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6280</v>
      </c>
      <c r="C44" s="35" t="s">
        <v>111</v>
      </c>
      <c r="D44" s="177"/>
    </row>
    <row r="45" spans="1:7">
      <c r="A45" s="174" t="s">
        <v>72</v>
      </c>
      <c r="B45" s="34" t="str">
        <f t="shared" si="0"/>
        <v>-</v>
      </c>
      <c r="C45" s="35" t="s">
        <v>111</v>
      </c>
      <c r="D45" s="177"/>
    </row>
    <row r="46" spans="1:7">
      <c r="A46" s="174" t="s">
        <v>73</v>
      </c>
      <c r="B46" s="34">
        <f t="shared" si="0"/>
        <v>87.073396674584345</v>
      </c>
      <c r="C46" s="35" t="s">
        <v>111</v>
      </c>
      <c r="D46" s="177"/>
    </row>
    <row r="47" spans="1:7">
      <c r="A47" s="174" t="s">
        <v>74</v>
      </c>
      <c r="B47" s="34">
        <f t="shared" si="0"/>
        <v>1154.5287410926367</v>
      </c>
      <c r="C47" s="35" t="s">
        <v>111</v>
      </c>
      <c r="D47" s="177"/>
    </row>
    <row r="48" spans="1:7">
      <c r="A48" s="174" t="s">
        <v>75</v>
      </c>
      <c r="B48" s="34">
        <f t="shared" si="0"/>
        <v>116.09786223277909</v>
      </c>
      <c r="C48" s="34">
        <f>B48*10</f>
        <v>1160.9786223277908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679.3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18921.372649061781</v>
      </c>
      <c r="C5" s="18">
        <f>IF(ISERROR('Eigen informatie GS &amp; warmtenet'!B58),0,'Eigen informatie GS &amp; warmtenet'!B58)</f>
        <v>0</v>
      </c>
      <c r="D5" s="31">
        <f>SUM(D6:D12)</f>
        <v>29610.156284127876</v>
      </c>
      <c r="E5" s="18">
        <f>SUM(E6:E12)</f>
        <v>125.57202631645394</v>
      </c>
      <c r="F5" s="18">
        <f>SUM(F6:F12)</f>
        <v>4208.8503501666119</v>
      </c>
      <c r="G5" s="19"/>
      <c r="H5" s="18"/>
      <c r="I5" s="18"/>
      <c r="J5" s="18">
        <f>SUM(J6:J12)</f>
        <v>0</v>
      </c>
      <c r="K5" s="18"/>
      <c r="L5" s="18"/>
      <c r="M5" s="18"/>
      <c r="N5" s="18">
        <f>SUM(N6:N12)</f>
        <v>3355.9512037159921</v>
      </c>
      <c r="O5" s="18">
        <f>B38*B39*B40</f>
        <v>3.1266666666666669</v>
      </c>
      <c r="P5" s="18">
        <f>B46*B47*B48/1000-B46*B47*B48/1000/B49</f>
        <v>0</v>
      </c>
      <c r="R5" s="33"/>
    </row>
    <row r="6" spans="1:18">
      <c r="A6" s="33" t="s">
        <v>54</v>
      </c>
      <c r="B6" s="38">
        <f>B26</f>
        <v>5675.5387017531002</v>
      </c>
      <c r="C6" s="34"/>
      <c r="D6" s="38">
        <f>IF(ISERROR(TER_kantoor_gas_kWh/1000),0,TER_kantoor_gas_kWh/1000)*0.902</f>
        <v>13668.190396308202</v>
      </c>
      <c r="E6" s="34">
        <f>$C$26*'E Balans VL '!I12/100/3.6*1000000</f>
        <v>9.314709304201628</v>
      </c>
      <c r="F6" s="34">
        <f>$C$26*('E Balans VL '!L12+'E Balans VL '!N12)/100/3.6*1000000</f>
        <v>669.01247476276785</v>
      </c>
      <c r="G6" s="35"/>
      <c r="H6" s="34"/>
      <c r="I6" s="34"/>
      <c r="J6" s="34">
        <f>$C$26*('E Balans VL '!D12+'E Balans VL '!E12)/100/3.6*1000000</f>
        <v>0</v>
      </c>
      <c r="K6" s="34"/>
      <c r="L6" s="34"/>
      <c r="M6" s="34"/>
      <c r="N6" s="34">
        <f>$C$26*'E Balans VL '!Y12/100/3.6*1000000</f>
        <v>1.1467157188132029</v>
      </c>
      <c r="O6" s="34"/>
      <c r="P6" s="34"/>
      <c r="R6" s="33"/>
    </row>
    <row r="7" spans="1:18">
      <c r="A7" s="33" t="s">
        <v>53</v>
      </c>
      <c r="B7" s="38">
        <f t="shared" ref="B7:B12" si="0">B27</f>
        <v>743.9798452945671</v>
      </c>
      <c r="C7" s="34"/>
      <c r="D7" s="38">
        <f>IF(ISERROR(TER_horeca_gas_kWh/1000),0,TER_horeca_gas_kWh/1000)*0.902</f>
        <v>1562.1216010139885</v>
      </c>
      <c r="E7" s="34">
        <f>$C$27*'E Balans VL '!I9/100/3.6*1000000</f>
        <v>38.607170417423738</v>
      </c>
      <c r="F7" s="34">
        <f>$C$27*('E Balans VL '!L9+'E Balans VL '!N9)/100/3.6*1000000</f>
        <v>169.77674053067147</v>
      </c>
      <c r="G7" s="35"/>
      <c r="H7" s="34"/>
      <c r="I7" s="34"/>
      <c r="J7" s="34">
        <f>$C$27*('E Balans VL '!D9+'E Balans VL '!E9)/100/3.6*1000000</f>
        <v>0</v>
      </c>
      <c r="K7" s="34"/>
      <c r="L7" s="34"/>
      <c r="M7" s="34"/>
      <c r="N7" s="34">
        <f>$C$27*'E Balans VL '!Y9/100/3.6*1000000</f>
        <v>7.8563930719467698E-2</v>
      </c>
      <c r="O7" s="34"/>
      <c r="P7" s="34"/>
      <c r="R7" s="33"/>
    </row>
    <row r="8" spans="1:18">
      <c r="A8" s="6" t="s">
        <v>52</v>
      </c>
      <c r="B8" s="38">
        <f t="shared" si="0"/>
        <v>3970.5323609398197</v>
      </c>
      <c r="C8" s="34"/>
      <c r="D8" s="38">
        <f>IF(ISERROR(TER_handel_gas_kWh/1000),0,TER_handel_gas_kWh/1000)*0.902</f>
        <v>2065.9852589453799</v>
      </c>
      <c r="E8" s="34">
        <f>$C$28*'E Balans VL '!I13/100/3.6*1000000</f>
        <v>21.381804677239131</v>
      </c>
      <c r="F8" s="34">
        <f>$C$28*('E Balans VL '!L13+'E Balans VL '!N13)/100/3.6*1000000</f>
        <v>809.7095419900952</v>
      </c>
      <c r="G8" s="35"/>
      <c r="H8" s="34"/>
      <c r="I8" s="34"/>
      <c r="J8" s="34">
        <f>$C$28*('E Balans VL '!D13+'E Balans VL '!E13)/100/3.6*1000000</f>
        <v>0</v>
      </c>
      <c r="K8" s="34"/>
      <c r="L8" s="34"/>
      <c r="M8" s="34"/>
      <c r="N8" s="34">
        <f>$C$28*'E Balans VL '!Y13/100/3.6*1000000</f>
        <v>19.743360652887819</v>
      </c>
      <c r="O8" s="34"/>
      <c r="P8" s="34"/>
      <c r="R8" s="33"/>
    </row>
    <row r="9" spans="1:18">
      <c r="A9" s="33" t="s">
        <v>51</v>
      </c>
      <c r="B9" s="38">
        <f t="shared" si="0"/>
        <v>401.88000408165499</v>
      </c>
      <c r="C9" s="34"/>
      <c r="D9" s="38">
        <f>IF(ISERROR(TER_gezond_gas_kWh/1000),0,TER_gezond_gas_kWh/1000)*0.902</f>
        <v>905.8966437244211</v>
      </c>
      <c r="E9" s="34">
        <f>$C$29*'E Balans VL '!I10/100/3.6*1000000</f>
        <v>0.39826765420541249</v>
      </c>
      <c r="F9" s="34">
        <f>$C$29*('E Balans VL '!L10+'E Balans VL '!N10)/100/3.6*1000000</f>
        <v>139.44077766961962</v>
      </c>
      <c r="G9" s="35"/>
      <c r="H9" s="34"/>
      <c r="I9" s="34"/>
      <c r="J9" s="34">
        <f>$C$29*('E Balans VL '!D10+'E Balans VL '!E10)/100/3.6*1000000</f>
        <v>0</v>
      </c>
      <c r="K9" s="34"/>
      <c r="L9" s="34"/>
      <c r="M9" s="34"/>
      <c r="N9" s="34">
        <f>$C$29*'E Balans VL '!Y10/100/3.6*1000000</f>
        <v>3.46296518047378</v>
      </c>
      <c r="O9" s="34"/>
      <c r="P9" s="34"/>
      <c r="R9" s="33"/>
    </row>
    <row r="10" spans="1:18">
      <c r="A10" s="33" t="s">
        <v>50</v>
      </c>
      <c r="B10" s="38">
        <f t="shared" si="0"/>
        <v>5651.7172125315501</v>
      </c>
      <c r="C10" s="34"/>
      <c r="D10" s="38">
        <f>IF(ISERROR(TER_ander_gas_kWh/1000),0,TER_ander_gas_kWh/1000)*0.902</f>
        <v>8210.3797712757205</v>
      </c>
      <c r="E10" s="34">
        <f>$C$30*'E Balans VL '!I14/100/3.6*1000000</f>
        <v>46.236695287588809</v>
      </c>
      <c r="F10" s="34">
        <f>$C$30*('E Balans VL '!L14+'E Balans VL '!N14)/100/3.6*1000000</f>
        <v>1652.332022006942</v>
      </c>
      <c r="G10" s="35"/>
      <c r="H10" s="34"/>
      <c r="I10" s="34"/>
      <c r="J10" s="34">
        <f>$C$30*('E Balans VL '!D14+'E Balans VL '!E14)/100/3.6*1000000</f>
        <v>0</v>
      </c>
      <c r="K10" s="34"/>
      <c r="L10" s="34"/>
      <c r="M10" s="34"/>
      <c r="N10" s="34">
        <f>$C$30*'E Balans VL '!Y14/100/3.6*1000000</f>
        <v>3260.2992636740582</v>
      </c>
      <c r="O10" s="34"/>
      <c r="P10" s="34"/>
      <c r="R10" s="33"/>
    </row>
    <row r="11" spans="1:18">
      <c r="A11" s="33" t="s">
        <v>55</v>
      </c>
      <c r="B11" s="38">
        <f t="shared" si="0"/>
        <v>1467.47634225604</v>
      </c>
      <c r="C11" s="34"/>
      <c r="D11" s="38">
        <f>IF(ISERROR(TER_onderwijs_gas_kWh/1000),0,TER_onderwijs_gas_kWh/1000)*0.902</f>
        <v>222.57646876189733</v>
      </c>
      <c r="E11" s="34">
        <f>$C$31*'E Balans VL '!I11/100/3.6*1000000</f>
        <v>0.9044904983923151</v>
      </c>
      <c r="F11" s="34">
        <f>$C$31*('E Balans VL '!L11+'E Balans VL '!N11)/100/3.6*1000000</f>
        <v>567.35011921027512</v>
      </c>
      <c r="G11" s="35"/>
      <c r="H11" s="34"/>
      <c r="I11" s="34"/>
      <c r="J11" s="34">
        <f>$C$31*('E Balans VL '!D11+'E Balans VL '!E11)/100/3.6*1000000</f>
        <v>0</v>
      </c>
      <c r="K11" s="34"/>
      <c r="L11" s="34"/>
      <c r="M11" s="34"/>
      <c r="N11" s="34">
        <f>$C$31*'E Balans VL '!Y11/100/3.6*1000000</f>
        <v>4.7733860678932141</v>
      </c>
      <c r="O11" s="34"/>
      <c r="P11" s="34"/>
      <c r="R11" s="33"/>
    </row>
    <row r="12" spans="1:18">
      <c r="A12" s="33" t="s">
        <v>260</v>
      </c>
      <c r="B12" s="38">
        <f t="shared" si="0"/>
        <v>1010.2481822050501</v>
      </c>
      <c r="C12" s="34"/>
      <c r="D12" s="38">
        <f>IF(ISERROR(TER_rest_gas_kWh/1000),0,TER_rest_gas_kWh/1000)*0.902</f>
        <v>2975.0061440982672</v>
      </c>
      <c r="E12" s="34">
        <f>$C$32*'E Balans VL '!I8/100/3.6*1000000</f>
        <v>8.7288884774029096</v>
      </c>
      <c r="F12" s="34">
        <f>$C$32*('E Balans VL '!L8+'E Balans VL '!N8)/100/3.6*1000000</f>
        <v>201.2286739962407</v>
      </c>
      <c r="G12" s="35"/>
      <c r="H12" s="34"/>
      <c r="I12" s="34"/>
      <c r="J12" s="34">
        <f>$C$32*('E Balans VL '!D8+'E Balans VL '!E8)/100/3.6*1000000</f>
        <v>0</v>
      </c>
      <c r="K12" s="34"/>
      <c r="L12" s="34"/>
      <c r="M12" s="34"/>
      <c r="N12" s="34">
        <f>$C$32*'E Balans VL '!Y8/100/3.6*1000000</f>
        <v>66.446948491146713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18921.372649061781</v>
      </c>
      <c r="C16" s="22">
        <f t="shared" ca="1" si="1"/>
        <v>0</v>
      </c>
      <c r="D16" s="22">
        <f t="shared" ca="1" si="1"/>
        <v>29610.156284127876</v>
      </c>
      <c r="E16" s="22">
        <f t="shared" si="1"/>
        <v>125.57202631645394</v>
      </c>
      <c r="F16" s="22">
        <f t="shared" ca="1" si="1"/>
        <v>4208.8503501666119</v>
      </c>
      <c r="G16" s="22">
        <f t="shared" si="1"/>
        <v>0</v>
      </c>
      <c r="H16" s="22">
        <f t="shared" si="1"/>
        <v>0</v>
      </c>
      <c r="I16" s="22">
        <f t="shared" si="1"/>
        <v>0</v>
      </c>
      <c r="J16" s="22">
        <f t="shared" si="1"/>
        <v>0</v>
      </c>
      <c r="K16" s="22">
        <f t="shared" si="1"/>
        <v>0</v>
      </c>
      <c r="L16" s="22">
        <f t="shared" ca="1" si="1"/>
        <v>0</v>
      </c>
      <c r="M16" s="22">
        <f t="shared" si="1"/>
        <v>0</v>
      </c>
      <c r="N16" s="22">
        <f t="shared" ca="1" si="1"/>
        <v>3355.9512037159921</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0.21527931499460817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4073.3801426477348</v>
      </c>
      <c r="C20" s="24">
        <f t="shared" ref="C20:P20" ca="1" si="2">C16*C18</f>
        <v>0</v>
      </c>
      <c r="D20" s="24">
        <f t="shared" ca="1" si="2"/>
        <v>5981.2515693938312</v>
      </c>
      <c r="E20" s="24">
        <f t="shared" si="2"/>
        <v>28.504849973835046</v>
      </c>
      <c r="F20" s="24">
        <f t="shared" ca="1" si="2"/>
        <v>1123.7630434944854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5675.5387017531002</v>
      </c>
      <c r="C26" s="40">
        <f>IF(ISERROR(B26*3.6/1000000/'E Balans VL '!Z12*100),0,B26*3.6/1000000/'E Balans VL '!Z12*100)</f>
        <v>0.12060112730726061</v>
      </c>
      <c r="D26" s="240" t="s">
        <v>707</v>
      </c>
      <c r="F26" s="6"/>
    </row>
    <row r="27" spans="1:18">
      <c r="A27" s="234" t="s">
        <v>53</v>
      </c>
      <c r="B27" s="34">
        <f>IF(ISERROR(TER_horeca_ele_kWh/1000),0,TER_horeca_ele_kWh/1000)</f>
        <v>743.9798452945671</v>
      </c>
      <c r="C27" s="40">
        <f>IF(ISERROR(B27*3.6/1000000/'E Balans VL '!Z9*100),0,B27*3.6/1000000/'E Balans VL '!Z9*100)</f>
        <v>5.855696699587655E-2</v>
      </c>
      <c r="D27" s="240" t="s">
        <v>707</v>
      </c>
      <c r="F27" s="6"/>
    </row>
    <row r="28" spans="1:18">
      <c r="A28" s="174" t="s">
        <v>52</v>
      </c>
      <c r="B28" s="34">
        <f>IF(ISERROR(TER_handel_ele_kWh/1000),0,TER_handel_ele_kWh/1000)</f>
        <v>3970.5323609398197</v>
      </c>
      <c r="C28" s="40">
        <f>IF(ISERROR(B28*3.6/1000000/'E Balans VL '!Z13*100),0,B28*3.6/1000000/'E Balans VL '!Z13*100)</f>
        <v>0.11121673637495171</v>
      </c>
      <c r="D28" s="240" t="s">
        <v>707</v>
      </c>
      <c r="F28" s="6"/>
    </row>
    <row r="29" spans="1:18">
      <c r="A29" s="234" t="s">
        <v>51</v>
      </c>
      <c r="B29" s="34">
        <f>IF(ISERROR(TER_gezond_ele_kWh/1000),0,TER_gezond_ele_kWh/1000)</f>
        <v>401.88000408165499</v>
      </c>
      <c r="C29" s="40">
        <f>IF(ISERROR(B29*3.6/1000000/'E Balans VL '!Z10*100),0,B29*3.6/1000000/'E Balans VL '!Z10*100)</f>
        <v>5.1412604883938125E-2</v>
      </c>
      <c r="D29" s="240" t="s">
        <v>707</v>
      </c>
      <c r="F29" s="6"/>
    </row>
    <row r="30" spans="1:18">
      <c r="A30" s="234" t="s">
        <v>50</v>
      </c>
      <c r="B30" s="34">
        <f>IF(ISERROR(TER_ander_ele_kWh/1000),0,TER_ander_ele_kWh/1000)</f>
        <v>5651.7172125315501</v>
      </c>
      <c r="C30" s="40">
        <f>IF(ISERROR(B30*3.6/1000000/'E Balans VL '!Z14*100),0,B30*3.6/1000000/'E Balans VL '!Z14*100)</f>
        <v>0.42270082529621961</v>
      </c>
      <c r="D30" s="240" t="s">
        <v>707</v>
      </c>
      <c r="F30" s="6"/>
    </row>
    <row r="31" spans="1:18">
      <c r="A31" s="234" t="s">
        <v>55</v>
      </c>
      <c r="B31" s="34">
        <f>IF(ISERROR(TER_onderwijs_ele_kWh/1000),0,TER_onderwijs_ele_kWh/1000)</f>
        <v>1467.47634225604</v>
      </c>
      <c r="C31" s="40">
        <f>IF(ISERROR(B31*3.6/1000000/'E Balans VL '!Z11*100),0,B31*3.6/1000000/'E Balans VL '!Z11*100)</f>
        <v>0.30985953053509996</v>
      </c>
      <c r="D31" s="240" t="s">
        <v>707</v>
      </c>
    </row>
    <row r="32" spans="1:18">
      <c r="A32" s="234" t="s">
        <v>260</v>
      </c>
      <c r="B32" s="34">
        <f>IF(ISERROR(TER_rest_ele_kWh/1000),0,TER_rest_ele_kWh/1000)</f>
        <v>1010.2481822050501</v>
      </c>
      <c r="C32" s="40">
        <f>IF(ISERROR(B32*3.6/1000000/'E Balans VL '!Z8*100),0,B32*3.6/1000000/'E Balans VL '!Z8*100)</f>
        <v>8.3223558942391151E-3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1304.0749846015894</v>
      </c>
      <c r="C5" s="18">
        <f>IF(ISERROR('Eigen informatie GS &amp; warmtenet'!B59),0,'Eigen informatie GS &amp; warmtenet'!B59)</f>
        <v>0</v>
      </c>
      <c r="D5" s="31">
        <f>SUM(D6:D15)</f>
        <v>2146.893847368462</v>
      </c>
      <c r="E5" s="18">
        <f>SUM(E6:E15)</f>
        <v>11.673689839927395</v>
      </c>
      <c r="F5" s="18">
        <f>SUM(F6:F15)</f>
        <v>379.41255043283945</v>
      </c>
      <c r="G5" s="19"/>
      <c r="H5" s="18"/>
      <c r="I5" s="18"/>
      <c r="J5" s="18">
        <f>SUM(J6:J15)</f>
        <v>2.595695858362014</v>
      </c>
      <c r="K5" s="18"/>
      <c r="L5" s="18"/>
      <c r="M5" s="18"/>
      <c r="N5" s="18">
        <f>SUM(N6:N15)</f>
        <v>46.794241426127847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73.395959356993302</v>
      </c>
      <c r="C8" s="34"/>
      <c r="D8" s="38">
        <f>IF( ISERROR(IND_metaal_Gas_kWH/1000),0,IND_metaal_Gas_kWH/1000)*0.902</f>
        <v>0</v>
      </c>
      <c r="E8" s="34">
        <f>C30*'E Balans VL '!I18/100/3.6*1000000</f>
        <v>0.66840377500549641</v>
      </c>
      <c r="F8" s="34">
        <f>C30*'E Balans VL '!L18/100/3.6*1000000+C30*'E Balans VL '!N18/100/3.6*1000000</f>
        <v>9.6803696606987852</v>
      </c>
      <c r="G8" s="35"/>
      <c r="H8" s="34"/>
      <c r="I8" s="34"/>
      <c r="J8" s="41">
        <f>C30*'E Balans VL '!D18/100/3.6*1000000+C30*'E Balans VL '!E18/100/3.6*1000000</f>
        <v>1.20358716635907</v>
      </c>
      <c r="K8" s="34"/>
      <c r="L8" s="34"/>
      <c r="M8" s="34"/>
      <c r="N8" s="34">
        <f>C30*'E Balans VL '!Y18/100/3.6*1000000</f>
        <v>0.25223275583992344</v>
      </c>
      <c r="O8" s="34"/>
      <c r="P8" s="34"/>
      <c r="R8" s="33"/>
    </row>
    <row r="9" spans="1:18">
      <c r="A9" s="6" t="s">
        <v>33</v>
      </c>
      <c r="B9" s="38">
        <f t="shared" si="0"/>
        <v>305.32292162610798</v>
      </c>
      <c r="C9" s="34"/>
      <c r="D9" s="38">
        <f>IF( ISERROR(IND_andere_gas_kWh/1000),0,IND_andere_gas_kWh/1000)*0.902</f>
        <v>656.84819401774178</v>
      </c>
      <c r="E9" s="34">
        <f>C31*'E Balans VL '!I19/100/3.6*1000000</f>
        <v>1.7648121137356176</v>
      </c>
      <c r="F9" s="34">
        <f>C31*'E Balans VL '!L19/100/3.6*1000000+C31*'E Balans VL '!N19/100/3.6*1000000</f>
        <v>242.89907571119124</v>
      </c>
      <c r="G9" s="35"/>
      <c r="H9" s="34"/>
      <c r="I9" s="34"/>
      <c r="J9" s="41">
        <f>C31*'E Balans VL '!D19/100/3.6*1000000+C31*'E Balans VL '!E19/100/3.6*1000000</f>
        <v>2.8880156954874593E-2</v>
      </c>
      <c r="K9" s="34"/>
      <c r="L9" s="34"/>
      <c r="M9" s="34"/>
      <c r="N9" s="34">
        <f>C31*'E Balans VL '!Y19/100/3.6*1000000</f>
        <v>23.132831858761261</v>
      </c>
      <c r="O9" s="34"/>
      <c r="P9" s="34"/>
      <c r="R9" s="33"/>
    </row>
    <row r="10" spans="1:18">
      <c r="A10" s="6" t="s">
        <v>41</v>
      </c>
      <c r="B10" s="38">
        <f t="shared" si="0"/>
        <v>639.46044844407902</v>
      </c>
      <c r="C10" s="34"/>
      <c r="D10" s="38">
        <f>IF( ISERROR(IND_voed_gas_kWh/1000),0,IND_voed_gas_kWh/1000)*0.902</f>
        <v>926.51549656086979</v>
      </c>
      <c r="E10" s="34">
        <f>C32*'E Balans VL '!I20/100/3.6*1000000</f>
        <v>6.2875691334981969</v>
      </c>
      <c r="F10" s="34">
        <f>C32*'E Balans VL '!L20/100/3.6*1000000+C32*'E Balans VL '!N20/100/3.6*1000000</f>
        <v>71.020429449550988</v>
      </c>
      <c r="G10" s="35"/>
      <c r="H10" s="34"/>
      <c r="I10" s="34"/>
      <c r="J10" s="41">
        <f>C32*'E Balans VL '!D20/100/3.6*1000000+C32*'E Balans VL '!E20/100/3.6*1000000</f>
        <v>2.5204039248938347E-3</v>
      </c>
      <c r="K10" s="34"/>
      <c r="L10" s="34"/>
      <c r="M10" s="34"/>
      <c r="N10" s="34">
        <f>C32*'E Balans VL '!Y20/100/3.6*1000000</f>
        <v>9.4689050719309762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15.3109948998862</v>
      </c>
      <c r="C13" s="34"/>
      <c r="D13" s="38">
        <f>IF( ISERROR(IND_papier_gas_kWh/1000),0,IND_papier_gas_kWh/1000)*0.902</f>
        <v>44.466673593667416</v>
      </c>
      <c r="E13" s="34">
        <f>C35*'E Balans VL '!I23/100/3.6*1000000</f>
        <v>0.52151468579747506</v>
      </c>
      <c r="F13" s="34">
        <f>C35*'E Balans VL '!L23/100/3.6*1000000+C35*'E Balans VL '!N23/100/3.6*1000000</f>
        <v>2.529017016145926</v>
      </c>
      <c r="G13" s="35"/>
      <c r="H13" s="34"/>
      <c r="I13" s="34"/>
      <c r="J13" s="41">
        <f>C35*'E Balans VL '!D23/100/3.6*1000000+C35*'E Balans VL '!E23/100/3.6*1000000</f>
        <v>0</v>
      </c>
      <c r="K13" s="34"/>
      <c r="L13" s="34"/>
      <c r="M13" s="34"/>
      <c r="N13" s="34">
        <f>C35*'E Balans VL '!Y23/100/3.6*1000000</f>
        <v>5.6340355141053422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270.584660274523</v>
      </c>
      <c r="C15" s="34"/>
      <c r="D15" s="38">
        <f>IF( ISERROR(IND_rest_gas_kWh/1000),0,IND_rest_gas_kWh/1000)*0.902</f>
        <v>519.06348319618303</v>
      </c>
      <c r="E15" s="34">
        <f>C37*'E Balans VL '!I15/100/3.6*1000000</f>
        <v>2.4313901318906064</v>
      </c>
      <c r="F15" s="34">
        <f>C37*'E Balans VL '!L15/100/3.6*1000000+C37*'E Balans VL '!N15/100/3.6*1000000</f>
        <v>53.283658595252497</v>
      </c>
      <c r="G15" s="35"/>
      <c r="H15" s="34"/>
      <c r="I15" s="34"/>
      <c r="J15" s="41">
        <f>C37*'E Balans VL '!D15/100/3.6*1000000+C37*'E Balans VL '!E15/100/3.6*1000000</f>
        <v>1.3607081311231755</v>
      </c>
      <c r="K15" s="34"/>
      <c r="L15" s="34"/>
      <c r="M15" s="34"/>
      <c r="N15" s="34">
        <f>C37*'E Balans VL '!Y15/100/3.6*1000000</f>
        <v>8.3062362254903466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1304.0749846015894</v>
      </c>
      <c r="C18" s="22">
        <f>C5+C16</f>
        <v>0</v>
      </c>
      <c r="D18" s="22">
        <f>MAX((D5+D16),0)</f>
        <v>2146.893847368462</v>
      </c>
      <c r="E18" s="22">
        <f>MAX((E5+E16),0)</f>
        <v>11.673689839927395</v>
      </c>
      <c r="F18" s="22">
        <f>MAX((F5+F16),0)</f>
        <v>379.41255043283945</v>
      </c>
      <c r="G18" s="22"/>
      <c r="H18" s="22"/>
      <c r="I18" s="22"/>
      <c r="J18" s="22">
        <f>MAX((J5+J16),0)</f>
        <v>2.595695858362014</v>
      </c>
      <c r="K18" s="22"/>
      <c r="L18" s="22">
        <f>MAX((L5+L16),0)</f>
        <v>0</v>
      </c>
      <c r="M18" s="22"/>
      <c r="N18" s="22">
        <f>MAX((N5+N16),0)</f>
        <v>46.794241426127847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0.21527931499460817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280.74036938663437</v>
      </c>
      <c r="C22" s="24">
        <f ca="1">C18*C20</f>
        <v>0</v>
      </c>
      <c r="D22" s="24">
        <f>D18*D20</f>
        <v>433.67255716842936</v>
      </c>
      <c r="E22" s="24">
        <f>E18*E20</f>
        <v>2.6499275936635187</v>
      </c>
      <c r="F22" s="24">
        <f>F18*F20</f>
        <v>101.30315096556814</v>
      </c>
      <c r="G22" s="24"/>
      <c r="H22" s="24"/>
      <c r="I22" s="24"/>
      <c r="J22" s="24">
        <f>J18*J20</f>
        <v>0.91887633386015288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73.395959356993302</v>
      </c>
      <c r="C30" s="40">
        <f>IF(ISERROR(B30*3.6/1000000/'E Balans VL '!Z18*100),0,B30*3.6/1000000/'E Balans VL '!Z18*100)</f>
        <v>4.0839943436473472E-3</v>
      </c>
      <c r="D30" s="240" t="s">
        <v>707</v>
      </c>
    </row>
    <row r="31" spans="1:18">
      <c r="A31" s="6" t="s">
        <v>33</v>
      </c>
      <c r="B31" s="38">
        <f>IF( ISERROR(IND_ander_ele_kWh/1000),0,IND_ander_ele_kWh/1000)</f>
        <v>305.32292162610798</v>
      </c>
      <c r="C31" s="40">
        <f>IF(ISERROR(B31*3.6/1000000/'E Balans VL '!Z19*100),0,B31*3.6/1000000/'E Balans VL '!Z19*100)</f>
        <v>1.4193660755979325E-2</v>
      </c>
      <c r="D31" s="240" t="s">
        <v>707</v>
      </c>
    </row>
    <row r="32" spans="1:18">
      <c r="A32" s="174" t="s">
        <v>41</v>
      </c>
      <c r="B32" s="38">
        <f>IF( ISERROR(IND_voed_ele_kWh/1000),0,IND_voed_ele_kWh/1000)</f>
        <v>639.46044844407902</v>
      </c>
      <c r="C32" s="40">
        <f>IF(ISERROR(B32*3.6/1000000/'E Balans VL '!Z20*100),0,B32*3.6/1000000/'E Balans VL '!Z20*100)</f>
        <v>2.2603635407429296E-2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15.3109948998862</v>
      </c>
      <c r="C35" s="40">
        <f>IF(ISERROR(B35*3.6/1000000/'E Balans VL '!Z22*100),0,B35*3.6/1000000/'E Balans VL '!Z22*100)</f>
        <v>3.0770782194074198E-3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270.584660274523</v>
      </c>
      <c r="C37" s="40">
        <f>IF(ISERROR(B37*3.6/1000000/'E Balans VL '!Z15*100),0,B37*3.6/1000000/'E Balans VL '!Z15*100)</f>
        <v>2.043313899058612E-3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202.84848565359732</v>
      </c>
      <c r="C5" s="18">
        <f>'Eigen informatie GS &amp; warmtenet'!B60</f>
        <v>0</v>
      </c>
      <c r="D5" s="31">
        <f>IF(ISERROR(SUM(LB_lb_gas_kWh,LB_rest_gas_kWh)/1000),0,SUM(LB_lb_gas_kWh,LB_rest_gas_kWh)/1000)*0.902</f>
        <v>225.42268061520357</v>
      </c>
      <c r="E5" s="18">
        <f>B17*'E Balans VL '!I25/3.6*1000000/100</f>
        <v>1.9109686478006398</v>
      </c>
      <c r="F5" s="18">
        <f>B17*('E Balans VL '!L25/3.6*1000000+'E Balans VL '!N25/3.6*1000000)/100</f>
        <v>661.96192818785823</v>
      </c>
      <c r="G5" s="19"/>
      <c r="H5" s="18"/>
      <c r="I5" s="18"/>
      <c r="J5" s="18">
        <f>('E Balans VL '!D25+'E Balans VL '!E25)/3.6*1000000*landbouw!B17/100</f>
        <v>25.093344330194679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202.84848565359732</v>
      </c>
      <c r="C8" s="22">
        <f>C5+C6</f>
        <v>0</v>
      </c>
      <c r="D8" s="22">
        <f>MAX((D5+D6),0)</f>
        <v>225.42268061520357</v>
      </c>
      <c r="E8" s="22">
        <f>MAX((E5+E6),0)</f>
        <v>1.9109686478006398</v>
      </c>
      <c r="F8" s="22">
        <f>MAX((F5+F6),0)</f>
        <v>661.96192818785823</v>
      </c>
      <c r="G8" s="22"/>
      <c r="H8" s="22"/>
      <c r="I8" s="22"/>
      <c r="J8" s="22">
        <f>MAX((J5+J6),0)</f>
        <v>25.093344330194679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0.21527931499460817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43.669083039200032</v>
      </c>
      <c r="C12" s="24">
        <f ca="1">C8*C10</f>
        <v>0</v>
      </c>
      <c r="D12" s="24">
        <f>D8*D10</f>
        <v>45.535381484271127</v>
      </c>
      <c r="E12" s="24">
        <f>E8*E10</f>
        <v>0.43378988305074523</v>
      </c>
      <c r="F12" s="24">
        <f>F8*F10</f>
        <v>176.74383482615815</v>
      </c>
      <c r="G12" s="24"/>
      <c r="H12" s="24"/>
      <c r="I12" s="24"/>
      <c r="J12" s="24">
        <f>J8*J10</f>
        <v>8.8830438928889155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2.746244354231455E-2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36.661803641298086</v>
      </c>
      <c r="C26" s="250">
        <f>B26*'GWP N2O_CH4'!B5</f>
        <v>769.89787646725983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5.0258390806416804</v>
      </c>
      <c r="C27" s="250">
        <f>B27*'GWP N2O_CH4'!B5</f>
        <v>105.54262069347529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0.60294669289191838</v>
      </c>
      <c r="C28" s="250">
        <f>B28*'GWP N2O_CH4'!B4</f>
        <v>186.91347479649471</v>
      </c>
      <c r="D28" s="51"/>
    </row>
    <row r="29" spans="1:4">
      <c r="A29" s="42" t="s">
        <v>277</v>
      </c>
      <c r="B29" s="250">
        <f>B34*'ha_N2O bodem landbouw'!B4</f>
        <v>4.1365236406053505</v>
      </c>
      <c r="C29" s="250">
        <f>B29*'GWP N2O_CH4'!B4</f>
        <v>1282.3223285876586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1.1167311640954553E-3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1.9041003492713689E-5</v>
      </c>
      <c r="C5" s="447" t="s">
        <v>211</v>
      </c>
      <c r="D5" s="432">
        <f>SUM(D6:D11)</f>
        <v>5.5400788547095423E-5</v>
      </c>
      <c r="E5" s="432">
        <f>SUM(E6:E11)</f>
        <v>3.5904516875683089E-3</v>
      </c>
      <c r="F5" s="445" t="s">
        <v>211</v>
      </c>
      <c r="G5" s="432">
        <f>SUM(G6:G11)</f>
        <v>0.60552655220079188</v>
      </c>
      <c r="H5" s="432">
        <f>SUM(H6:H11)</f>
        <v>0.12610186829511663</v>
      </c>
      <c r="I5" s="447" t="s">
        <v>211</v>
      </c>
      <c r="J5" s="447" t="s">
        <v>211</v>
      </c>
      <c r="K5" s="447" t="s">
        <v>211</v>
      </c>
      <c r="L5" s="447" t="s">
        <v>211</v>
      </c>
      <c r="M5" s="432">
        <f>SUM(M6:M11)</f>
        <v>3.2732504718657969E-2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4.414697866759243E-6</v>
      </c>
      <c r="C6" s="433"/>
      <c r="D6" s="433">
        <f>vkm_2011_GW_PW*SUMIFS(TableVerdeelsleutelVkm[CNG],TableVerdeelsleutelVkm[Voertuigtype],"Lichte voertuigen")*SUMIFS(TableECFTransport[EnergieConsumptieFactor (PJ per km)],TableECFTransport[Index],CONCATENATE($A6,"_CNG_CNG"))</f>
        <v>1.0780766124041181E-5</v>
      </c>
      <c r="E6" s="435">
        <f>vkm_2011_GW_PW*SUMIFS(TableVerdeelsleutelVkm[LPG],TableVerdeelsleutelVkm[Voertuigtype],"Lichte voertuigen")*SUMIFS(TableECFTransport[EnergieConsumptieFactor (PJ per km)],TableECFTransport[Index],CONCATENATE($A6,"_LPG_LPG"))</f>
        <v>6.3902810233212013E-4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9.2379029384100725E-2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2.4209889601221186E-2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5.2210665038261569E-3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7.0919306397745447E-3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2.86131752201361E-6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3.1594331577398E-4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4.1285539902483051E-6</v>
      </c>
      <c r="C8" s="433"/>
      <c r="D8" s="435">
        <f>vkm_2011_NGW_PW*SUMIFS(TableVerdeelsleutelVkm[CNG],TableVerdeelsleutelVkm[Voertuigtype],"Lichte voertuigen")*SUMIFS(TableECFTransport[EnergieConsumptieFactor (PJ per km)],TableECFTransport[Index],CONCATENATE($A8,"_CNG_CNG"))</f>
        <v>1.8088817328516201E-5</v>
      </c>
      <c r="E8" s="435">
        <f>vkm_2011_NGW_PW*SUMIFS(TableVerdeelsleutelVkm[LPG],TableVerdeelsleutelVkm[Voertuigtype],"Lichte voertuigen")*SUMIFS(TableECFTransport[EnergieConsumptieFactor (PJ per km)],TableECFTransport[Index],CONCATENATE($A8,"_LPG_LPG"))</f>
        <v>9.8364663107318754E-4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0.1343320203553918</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3.8898800292397652E-2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7.7611277713066414E-3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1.5589793797885678E-3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5.4765656029947404E-7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6.944832910767288E-5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1.0497751635706141E-5</v>
      </c>
      <c r="C10" s="433"/>
      <c r="D10" s="435">
        <f>vkm_2011_SW_PW*SUMIFS(TableVerdeelsleutelVkm[CNG],TableVerdeelsleutelVkm[Voertuigtype],"Lichte voertuigen")*SUMIFS(TableECFTransport[EnergieConsumptieFactor (PJ per km)],TableECFTransport[Index],CONCATENATE($A10,"_CNG_CNG"))</f>
        <v>2.6531205094538043E-5</v>
      </c>
      <c r="E10" s="435">
        <f>vkm_2011_SW_PW*SUMIFS(TableVerdeelsleutelVkm[LPG],TableVerdeelsleutelVkm[Voertuigtype],"Lichte voertuigen")*SUMIFS(TableECFTransport[EnergieConsumptieFactor (PJ per km)],TableECFTransport[Index],CONCATENATE($A10,"_LPG_LPG"))</f>
        <v>1.9677769541630013E-3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0.25924360786875322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6.2942289545272992E-2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1.4423298499911089E-2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0.11092098457298305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4.7479882142506487E-5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4.941620298732431E-3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5.2891676368649145</v>
      </c>
      <c r="C14" s="22"/>
      <c r="D14" s="22">
        <f t="shared" ref="D14:M14" si="0">((D5)*10^9/3600)+D12</f>
        <v>15.389107929748729</v>
      </c>
      <c r="E14" s="22">
        <f t="shared" si="0"/>
        <v>997.34769099119694</v>
      </c>
      <c r="F14" s="22"/>
      <c r="G14" s="22">
        <f t="shared" si="0"/>
        <v>168201.82005577552</v>
      </c>
      <c r="H14" s="22">
        <f t="shared" si="0"/>
        <v>35028.296748643508</v>
      </c>
      <c r="I14" s="22"/>
      <c r="J14" s="22"/>
      <c r="K14" s="22"/>
      <c r="L14" s="22"/>
      <c r="M14" s="22">
        <f t="shared" si="0"/>
        <v>9092.3624218494369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0.21527931499460817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1.1386483857559293</v>
      </c>
      <c r="C18" s="24"/>
      <c r="D18" s="24">
        <f t="shared" ref="D18:M18" si="1">D14*D16</f>
        <v>3.1085998018092433</v>
      </c>
      <c r="E18" s="24">
        <f t="shared" si="1"/>
        <v>226.39792585500172</v>
      </c>
      <c r="F18" s="24"/>
      <c r="G18" s="24">
        <f t="shared" si="1"/>
        <v>44909.885954892066</v>
      </c>
      <c r="H18" s="24">
        <f t="shared" si="1"/>
        <v>8722.0458904122333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1.7000627378689345E-2</v>
      </c>
      <c r="H50" s="323">
        <f t="shared" si="2"/>
        <v>0</v>
      </c>
      <c r="I50" s="323">
        <f t="shared" si="2"/>
        <v>0</v>
      </c>
      <c r="J50" s="323">
        <f t="shared" si="2"/>
        <v>0</v>
      </c>
      <c r="K50" s="323">
        <f t="shared" si="2"/>
        <v>0</v>
      </c>
      <c r="L50" s="323">
        <f t="shared" si="2"/>
        <v>0</v>
      </c>
      <c r="M50" s="323">
        <f t="shared" si="2"/>
        <v>7.46525592487311E-4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1.7000627378689345E-2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7.46525592487311E-4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4722.3964940803735</v>
      </c>
      <c r="H54" s="22">
        <f t="shared" si="3"/>
        <v>0</v>
      </c>
      <c r="I54" s="22">
        <f t="shared" si="3"/>
        <v>0</v>
      </c>
      <c r="J54" s="22">
        <f t="shared" si="3"/>
        <v>0</v>
      </c>
      <c r="K54" s="22">
        <f t="shared" si="3"/>
        <v>0</v>
      </c>
      <c r="L54" s="22">
        <f t="shared" si="3"/>
        <v>0</v>
      </c>
      <c r="M54" s="22">
        <f t="shared" si="3"/>
        <v>207.36822013536417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0.21527931499460817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1260.8798639194597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20262.900649061779</v>
      </c>
      <c r="D10" s="688">
        <f ca="1">tertiair!C16</f>
        <v>0</v>
      </c>
      <c r="E10" s="688">
        <f ca="1">tertiair!D16</f>
        <v>29610.156284127876</v>
      </c>
      <c r="F10" s="688">
        <f>tertiair!E16</f>
        <v>125.57202631645394</v>
      </c>
      <c r="G10" s="688">
        <f ca="1">tertiair!F16</f>
        <v>4208.8503501666119</v>
      </c>
      <c r="H10" s="688">
        <f>tertiair!G16</f>
        <v>0</v>
      </c>
      <c r="I10" s="688">
        <f>tertiair!H16</f>
        <v>0</v>
      </c>
      <c r="J10" s="688">
        <f>tertiair!I16</f>
        <v>0</v>
      </c>
      <c r="K10" s="688">
        <f>tertiair!J16</f>
        <v>0</v>
      </c>
      <c r="L10" s="688">
        <f>tertiair!K16</f>
        <v>0</v>
      </c>
      <c r="M10" s="688">
        <f ca="1">tertiair!L16</f>
        <v>0</v>
      </c>
      <c r="N10" s="688">
        <f>tertiair!M16</f>
        <v>0</v>
      </c>
      <c r="O10" s="688">
        <f ca="1">tertiair!N16</f>
        <v>3355.9512037159921</v>
      </c>
      <c r="P10" s="688">
        <f>tertiair!O16</f>
        <v>3.1266666666666669</v>
      </c>
      <c r="Q10" s="689">
        <f>tertiair!P16</f>
        <v>0</v>
      </c>
      <c r="R10" s="691">
        <f ca="1">SUM(C10:Q10)</f>
        <v>57566.557180055381</v>
      </c>
      <c r="S10" s="68"/>
    </row>
    <row r="11" spans="1:19" s="457" customFormat="1">
      <c r="A11" s="803" t="s">
        <v>225</v>
      </c>
      <c r="B11" s="808"/>
      <c r="C11" s="688">
        <f>huishoudens!B8</f>
        <v>38439.730167555223</v>
      </c>
      <c r="D11" s="688">
        <f>huishoudens!C8</f>
        <v>0</v>
      </c>
      <c r="E11" s="688">
        <f>huishoudens!D8</f>
        <v>140994.55415157965</v>
      </c>
      <c r="F11" s="688">
        <f>huishoudens!E8</f>
        <v>1918.7868112092144</v>
      </c>
      <c r="G11" s="688">
        <f>huishoudens!F8</f>
        <v>13409.303397950469</v>
      </c>
      <c r="H11" s="688">
        <f>huishoudens!G8</f>
        <v>0</v>
      </c>
      <c r="I11" s="688">
        <f>huishoudens!H8</f>
        <v>0</v>
      </c>
      <c r="J11" s="688">
        <f>huishoudens!I8</f>
        <v>0</v>
      </c>
      <c r="K11" s="688">
        <f>huishoudens!J8</f>
        <v>0</v>
      </c>
      <c r="L11" s="688">
        <f>huishoudens!K8</f>
        <v>0</v>
      </c>
      <c r="M11" s="688">
        <f>huishoudens!L8</f>
        <v>0</v>
      </c>
      <c r="N11" s="688">
        <f>huishoudens!M8</f>
        <v>0</v>
      </c>
      <c r="O11" s="688">
        <f>huishoudens!N8</f>
        <v>8308.4554551981328</v>
      </c>
      <c r="P11" s="688">
        <f>huishoudens!O8</f>
        <v>165.71333333333337</v>
      </c>
      <c r="Q11" s="689">
        <f>huishoudens!P8</f>
        <v>400.4</v>
      </c>
      <c r="R11" s="691">
        <f>SUM(C11:Q11)</f>
        <v>203636.94331682601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1304.0749846015894</v>
      </c>
      <c r="D13" s="688">
        <f>industrie!C18</f>
        <v>0</v>
      </c>
      <c r="E13" s="688">
        <f>industrie!D18</f>
        <v>2146.893847368462</v>
      </c>
      <c r="F13" s="688">
        <f>industrie!E18</f>
        <v>11.673689839927395</v>
      </c>
      <c r="G13" s="688">
        <f>industrie!F18</f>
        <v>379.41255043283945</v>
      </c>
      <c r="H13" s="688">
        <f>industrie!G18</f>
        <v>0</v>
      </c>
      <c r="I13" s="688">
        <f>industrie!H18</f>
        <v>0</v>
      </c>
      <c r="J13" s="688">
        <f>industrie!I18</f>
        <v>0</v>
      </c>
      <c r="K13" s="688">
        <f>industrie!J18</f>
        <v>2.595695858362014</v>
      </c>
      <c r="L13" s="688">
        <f>industrie!K18</f>
        <v>0</v>
      </c>
      <c r="M13" s="688">
        <f>industrie!L18</f>
        <v>0</v>
      </c>
      <c r="N13" s="688">
        <f>industrie!M18</f>
        <v>0</v>
      </c>
      <c r="O13" s="688">
        <f>industrie!N18</f>
        <v>46.794241426127847</v>
      </c>
      <c r="P13" s="688">
        <f>industrie!O18</f>
        <v>0</v>
      </c>
      <c r="Q13" s="689">
        <f>industrie!P18</f>
        <v>0</v>
      </c>
      <c r="R13" s="691">
        <f>SUM(C13:Q13)</f>
        <v>3891.4450095273082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60006.705801218595</v>
      </c>
      <c r="D16" s="721">
        <f t="shared" ref="D16:R16" ca="1" si="0">SUM(D9:D15)</f>
        <v>0</v>
      </c>
      <c r="E16" s="721">
        <f t="shared" ca="1" si="0"/>
        <v>172751.60428307598</v>
      </c>
      <c r="F16" s="721">
        <f t="shared" si="0"/>
        <v>2056.0325273655958</v>
      </c>
      <c r="G16" s="721">
        <f t="shared" ca="1" si="0"/>
        <v>17997.566298549922</v>
      </c>
      <c r="H16" s="721">
        <f t="shared" si="0"/>
        <v>0</v>
      </c>
      <c r="I16" s="721">
        <f t="shared" si="0"/>
        <v>0</v>
      </c>
      <c r="J16" s="721">
        <f t="shared" si="0"/>
        <v>0</v>
      </c>
      <c r="K16" s="721">
        <f t="shared" si="0"/>
        <v>2.595695858362014</v>
      </c>
      <c r="L16" s="721">
        <f t="shared" si="0"/>
        <v>0</v>
      </c>
      <c r="M16" s="721">
        <f t="shared" ca="1" si="0"/>
        <v>0</v>
      </c>
      <c r="N16" s="721">
        <f t="shared" si="0"/>
        <v>0</v>
      </c>
      <c r="O16" s="721">
        <f t="shared" ca="1" si="0"/>
        <v>11711.200900340253</v>
      </c>
      <c r="P16" s="721">
        <f t="shared" si="0"/>
        <v>168.84000000000003</v>
      </c>
      <c r="Q16" s="721">
        <f t="shared" si="0"/>
        <v>400.4</v>
      </c>
      <c r="R16" s="721">
        <f t="shared" ca="1" si="0"/>
        <v>265094.94550640869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4722.3964940803735</v>
      </c>
      <c r="I19" s="688">
        <f>transport!H54</f>
        <v>0</v>
      </c>
      <c r="J19" s="688">
        <f>transport!I54</f>
        <v>0</v>
      </c>
      <c r="K19" s="688">
        <f>transport!J54</f>
        <v>0</v>
      </c>
      <c r="L19" s="688">
        <f>transport!K54</f>
        <v>0</v>
      </c>
      <c r="M19" s="688">
        <f>transport!L54</f>
        <v>0</v>
      </c>
      <c r="N19" s="688">
        <f>transport!M54</f>
        <v>207.36822013536417</v>
      </c>
      <c r="O19" s="688">
        <f>transport!N54</f>
        <v>0</v>
      </c>
      <c r="P19" s="688">
        <f>transport!O54</f>
        <v>0</v>
      </c>
      <c r="Q19" s="689">
        <f>transport!P54</f>
        <v>0</v>
      </c>
      <c r="R19" s="691">
        <f>SUM(C19:Q19)</f>
        <v>4929.7647142157375</v>
      </c>
      <c r="S19" s="68"/>
    </row>
    <row r="20" spans="1:19" s="457" customFormat="1">
      <c r="A20" s="803" t="s">
        <v>307</v>
      </c>
      <c r="B20" s="808"/>
      <c r="C20" s="688">
        <f>transport!B14</f>
        <v>5.2891676368649145</v>
      </c>
      <c r="D20" s="688">
        <f>transport!C14</f>
        <v>0</v>
      </c>
      <c r="E20" s="688">
        <f>transport!D14</f>
        <v>15.389107929748729</v>
      </c>
      <c r="F20" s="688">
        <f>transport!E14</f>
        <v>997.34769099119694</v>
      </c>
      <c r="G20" s="688">
        <f>transport!F14</f>
        <v>0</v>
      </c>
      <c r="H20" s="688">
        <f>transport!G14</f>
        <v>168201.82005577552</v>
      </c>
      <c r="I20" s="688">
        <f>transport!H14</f>
        <v>35028.296748643508</v>
      </c>
      <c r="J20" s="688">
        <f>transport!I14</f>
        <v>0</v>
      </c>
      <c r="K20" s="688">
        <f>transport!J14</f>
        <v>0</v>
      </c>
      <c r="L20" s="688">
        <f>transport!K14</f>
        <v>0</v>
      </c>
      <c r="M20" s="688">
        <f>transport!L14</f>
        <v>0</v>
      </c>
      <c r="N20" s="688">
        <f>transport!M14</f>
        <v>9092.3624218494369</v>
      </c>
      <c r="O20" s="688">
        <f>transport!N14</f>
        <v>0</v>
      </c>
      <c r="P20" s="688">
        <f>transport!O14</f>
        <v>0</v>
      </c>
      <c r="Q20" s="689">
        <f>transport!P14</f>
        <v>0</v>
      </c>
      <c r="R20" s="691">
        <f>SUM(C20:Q20)</f>
        <v>213340.50519282627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5.2891676368649145</v>
      </c>
      <c r="D22" s="806">
        <f t="shared" ref="D22:R22" si="1">SUM(D18:D21)</f>
        <v>0</v>
      </c>
      <c r="E22" s="806">
        <f t="shared" si="1"/>
        <v>15.389107929748729</v>
      </c>
      <c r="F22" s="806">
        <f t="shared" si="1"/>
        <v>997.34769099119694</v>
      </c>
      <c r="G22" s="806">
        <f t="shared" si="1"/>
        <v>0</v>
      </c>
      <c r="H22" s="806">
        <f t="shared" si="1"/>
        <v>172924.21654985589</v>
      </c>
      <c r="I22" s="806">
        <f t="shared" si="1"/>
        <v>35028.296748643508</v>
      </c>
      <c r="J22" s="806">
        <f t="shared" si="1"/>
        <v>0</v>
      </c>
      <c r="K22" s="806">
        <f t="shared" si="1"/>
        <v>0</v>
      </c>
      <c r="L22" s="806">
        <f t="shared" si="1"/>
        <v>0</v>
      </c>
      <c r="M22" s="806">
        <f t="shared" si="1"/>
        <v>0</v>
      </c>
      <c r="N22" s="806">
        <f t="shared" si="1"/>
        <v>9299.730641984801</v>
      </c>
      <c r="O22" s="806">
        <f t="shared" si="1"/>
        <v>0</v>
      </c>
      <c r="P22" s="806">
        <f t="shared" si="1"/>
        <v>0</v>
      </c>
      <c r="Q22" s="806">
        <f t="shared" si="1"/>
        <v>0</v>
      </c>
      <c r="R22" s="806">
        <f t="shared" si="1"/>
        <v>218270.26990704201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202.84848565359732</v>
      </c>
      <c r="D24" s="688">
        <f>+landbouw!C8</f>
        <v>0</v>
      </c>
      <c r="E24" s="688">
        <f>+landbouw!D8</f>
        <v>225.42268061520357</v>
      </c>
      <c r="F24" s="688">
        <f>+landbouw!E8</f>
        <v>1.9109686478006398</v>
      </c>
      <c r="G24" s="688">
        <f>+landbouw!F8</f>
        <v>661.96192818785823</v>
      </c>
      <c r="H24" s="688">
        <f>+landbouw!G8</f>
        <v>0</v>
      </c>
      <c r="I24" s="688">
        <f>+landbouw!H8</f>
        <v>0</v>
      </c>
      <c r="J24" s="688">
        <f>+landbouw!I8</f>
        <v>0</v>
      </c>
      <c r="K24" s="688">
        <f>+landbouw!J8</f>
        <v>25.093344330194679</v>
      </c>
      <c r="L24" s="688">
        <f>+landbouw!K8</f>
        <v>0</v>
      </c>
      <c r="M24" s="688">
        <f>+landbouw!L8</f>
        <v>0</v>
      </c>
      <c r="N24" s="688">
        <f>+landbouw!M8</f>
        <v>0</v>
      </c>
      <c r="O24" s="688">
        <f>+landbouw!N8</f>
        <v>0</v>
      </c>
      <c r="P24" s="688">
        <f>+landbouw!O8</f>
        <v>0</v>
      </c>
      <c r="Q24" s="689">
        <f>+landbouw!P8</f>
        <v>0</v>
      </c>
      <c r="R24" s="691">
        <f>SUM(C24:Q24)</f>
        <v>1117.2374074346544</v>
      </c>
      <c r="S24" s="68"/>
    </row>
    <row r="25" spans="1:19" s="457" customFormat="1" ht="15" thickBot="1">
      <c r="A25" s="825" t="s">
        <v>912</v>
      </c>
      <c r="B25" s="1001"/>
      <c r="C25" s="1002">
        <f>IF(Onbekend_ele_kWh="---",0,Onbekend_ele_kWh)/1000+IF(REST_rest_ele_kWh="---",0,REST_rest_ele_kWh)/1000</f>
        <v>1951.40049708366</v>
      </c>
      <c r="D25" s="1002"/>
      <c r="E25" s="1002">
        <f>IF(onbekend_gas_kWh="---",0,onbekend_gas_kWh)/1000+IF(REST_rest_gas_kWh="---",0,REST_rest_gas_kWh)/1000</f>
        <v>7013.5750978328206</v>
      </c>
      <c r="F25" s="1002"/>
      <c r="G25" s="1002"/>
      <c r="H25" s="1002"/>
      <c r="I25" s="1002"/>
      <c r="J25" s="1002"/>
      <c r="K25" s="1002"/>
      <c r="L25" s="1002"/>
      <c r="M25" s="1002"/>
      <c r="N25" s="1002"/>
      <c r="O25" s="1002"/>
      <c r="P25" s="1002"/>
      <c r="Q25" s="1003"/>
      <c r="R25" s="691">
        <f>SUM(C25:Q25)</f>
        <v>8964.975594916481</v>
      </c>
      <c r="S25" s="68"/>
    </row>
    <row r="26" spans="1:19" s="457" customFormat="1" ht="15.75" thickBot="1">
      <c r="A26" s="694" t="s">
        <v>913</v>
      </c>
      <c r="B26" s="811"/>
      <c r="C26" s="806">
        <f>SUM(C24:C25)</f>
        <v>2154.2489827372574</v>
      </c>
      <c r="D26" s="806">
        <f t="shared" ref="D26:R26" si="2">SUM(D24:D25)</f>
        <v>0</v>
      </c>
      <c r="E26" s="806">
        <f t="shared" si="2"/>
        <v>7238.9977784480243</v>
      </c>
      <c r="F26" s="806">
        <f t="shared" si="2"/>
        <v>1.9109686478006398</v>
      </c>
      <c r="G26" s="806">
        <f t="shared" si="2"/>
        <v>661.96192818785823</v>
      </c>
      <c r="H26" s="806">
        <f t="shared" si="2"/>
        <v>0</v>
      </c>
      <c r="I26" s="806">
        <f t="shared" si="2"/>
        <v>0</v>
      </c>
      <c r="J26" s="806">
        <f t="shared" si="2"/>
        <v>0</v>
      </c>
      <c r="K26" s="806">
        <f t="shared" si="2"/>
        <v>25.093344330194679</v>
      </c>
      <c r="L26" s="806">
        <f t="shared" si="2"/>
        <v>0</v>
      </c>
      <c r="M26" s="806">
        <f t="shared" si="2"/>
        <v>0</v>
      </c>
      <c r="N26" s="806">
        <f t="shared" si="2"/>
        <v>0</v>
      </c>
      <c r="O26" s="806">
        <f t="shared" si="2"/>
        <v>0</v>
      </c>
      <c r="P26" s="806">
        <f t="shared" si="2"/>
        <v>0</v>
      </c>
      <c r="Q26" s="806">
        <f t="shared" si="2"/>
        <v>0</v>
      </c>
      <c r="R26" s="806">
        <f t="shared" si="2"/>
        <v>10082.213002351134</v>
      </c>
      <c r="S26" s="68"/>
    </row>
    <row r="27" spans="1:19" s="457" customFormat="1" ht="17.25" thickTop="1" thickBot="1">
      <c r="A27" s="695" t="s">
        <v>116</v>
      </c>
      <c r="B27" s="798"/>
      <c r="C27" s="696">
        <f ca="1">C22+C16+C26</f>
        <v>62166.243951592718</v>
      </c>
      <c r="D27" s="696">
        <f t="shared" ref="D27:R27" ca="1" si="3">D22+D16+D26</f>
        <v>0</v>
      </c>
      <c r="E27" s="696">
        <f t="shared" ca="1" si="3"/>
        <v>180005.99116945374</v>
      </c>
      <c r="F27" s="696">
        <f t="shared" si="3"/>
        <v>3055.2911870045932</v>
      </c>
      <c r="G27" s="696">
        <f t="shared" ca="1" si="3"/>
        <v>18659.528226737781</v>
      </c>
      <c r="H27" s="696">
        <f t="shared" si="3"/>
        <v>172924.21654985589</v>
      </c>
      <c r="I27" s="696">
        <f t="shared" si="3"/>
        <v>35028.296748643508</v>
      </c>
      <c r="J27" s="696">
        <f t="shared" si="3"/>
        <v>0</v>
      </c>
      <c r="K27" s="696">
        <f t="shared" si="3"/>
        <v>27.689040188556692</v>
      </c>
      <c r="L27" s="696">
        <f t="shared" si="3"/>
        <v>0</v>
      </c>
      <c r="M27" s="696">
        <f t="shared" ca="1" si="3"/>
        <v>0</v>
      </c>
      <c r="N27" s="696">
        <f t="shared" si="3"/>
        <v>9299.730641984801</v>
      </c>
      <c r="O27" s="696">
        <f t="shared" ca="1" si="3"/>
        <v>11711.200900340253</v>
      </c>
      <c r="P27" s="696">
        <f t="shared" si="3"/>
        <v>168.84000000000003</v>
      </c>
      <c r="Q27" s="696">
        <f t="shared" si="3"/>
        <v>400.4</v>
      </c>
      <c r="R27" s="696">
        <f t="shared" ca="1" si="3"/>
        <v>493447.42841580184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4362.1833715338216</v>
      </c>
      <c r="D40" s="688">
        <f ca="1">tertiair!C20</f>
        <v>0</v>
      </c>
      <c r="E40" s="688">
        <f ca="1">tertiair!D20</f>
        <v>5981.2515693938312</v>
      </c>
      <c r="F40" s="688">
        <f>tertiair!E20</f>
        <v>28.504849973835046</v>
      </c>
      <c r="G40" s="688">
        <f ca="1">tertiair!F20</f>
        <v>1123.7630434944854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11495.702834395974</v>
      </c>
    </row>
    <row r="41" spans="1:18">
      <c r="A41" s="816" t="s">
        <v>225</v>
      </c>
      <c r="B41" s="823"/>
      <c r="C41" s="688">
        <f ca="1">huishoudens!B12</f>
        <v>8275.2787790488637</v>
      </c>
      <c r="D41" s="688">
        <f ca="1">huishoudens!C12</f>
        <v>0</v>
      </c>
      <c r="E41" s="688">
        <f>huishoudens!D12</f>
        <v>28480.899938619092</v>
      </c>
      <c r="F41" s="688">
        <f>huishoudens!E12</f>
        <v>435.56460614449168</v>
      </c>
      <c r="G41" s="688">
        <f>huishoudens!F12</f>
        <v>3580.2840072527756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40772.027331065226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280.74036938663437</v>
      </c>
      <c r="D43" s="688">
        <f ca="1">industrie!C22</f>
        <v>0</v>
      </c>
      <c r="E43" s="688">
        <f>industrie!D22</f>
        <v>433.67255716842936</v>
      </c>
      <c r="F43" s="688">
        <f>industrie!E22</f>
        <v>2.6499275936635187</v>
      </c>
      <c r="G43" s="688">
        <f>industrie!F22</f>
        <v>101.30315096556814</v>
      </c>
      <c r="H43" s="688">
        <f>industrie!G22</f>
        <v>0</v>
      </c>
      <c r="I43" s="688">
        <f>industrie!H22</f>
        <v>0</v>
      </c>
      <c r="J43" s="688">
        <f>industrie!I22</f>
        <v>0</v>
      </c>
      <c r="K43" s="688">
        <f>industrie!J22</f>
        <v>0.91887633386015288</v>
      </c>
      <c r="L43" s="688">
        <f>industrie!K22</f>
        <v>0</v>
      </c>
      <c r="M43" s="688">
        <f>industrie!L22</f>
        <v>0</v>
      </c>
      <c r="N43" s="688">
        <f>industrie!M22</f>
        <v>0</v>
      </c>
      <c r="O43" s="688">
        <f>industrie!N22</f>
        <v>0</v>
      </c>
      <c r="P43" s="688">
        <f>industrie!O22</f>
        <v>0</v>
      </c>
      <c r="Q43" s="763">
        <f>industrie!P22</f>
        <v>0</v>
      </c>
      <c r="R43" s="843">
        <f t="shared" ca="1" si="4"/>
        <v>819.28488144815549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12918.20251996932</v>
      </c>
      <c r="D46" s="721">
        <f t="shared" ref="D46:Q46" ca="1" si="5">SUM(D39:D45)</f>
        <v>0</v>
      </c>
      <c r="E46" s="721">
        <f t="shared" ca="1" si="5"/>
        <v>34895.824065181354</v>
      </c>
      <c r="F46" s="721">
        <f t="shared" si="5"/>
        <v>466.71938371199025</v>
      </c>
      <c r="G46" s="721">
        <f t="shared" ca="1" si="5"/>
        <v>4805.3502017128294</v>
      </c>
      <c r="H46" s="721">
        <f t="shared" si="5"/>
        <v>0</v>
      </c>
      <c r="I46" s="721">
        <f t="shared" si="5"/>
        <v>0</v>
      </c>
      <c r="J46" s="721">
        <f t="shared" si="5"/>
        <v>0</v>
      </c>
      <c r="K46" s="721">
        <f t="shared" si="5"/>
        <v>0.91887633386015288</v>
      </c>
      <c r="L46" s="721">
        <f t="shared" si="5"/>
        <v>0</v>
      </c>
      <c r="M46" s="721">
        <f t="shared" ca="1" si="5"/>
        <v>0</v>
      </c>
      <c r="N46" s="721">
        <f t="shared" si="5"/>
        <v>0</v>
      </c>
      <c r="O46" s="721">
        <f t="shared" ca="1" si="5"/>
        <v>0</v>
      </c>
      <c r="P46" s="721">
        <f t="shared" si="5"/>
        <v>0</v>
      </c>
      <c r="Q46" s="721">
        <f t="shared" si="5"/>
        <v>0</v>
      </c>
      <c r="R46" s="721">
        <f ca="1">SUM(R39:R45)</f>
        <v>53087.015046909357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1260.8798639194597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1260.8798639194597</v>
      </c>
    </row>
    <row r="50" spans="1:18">
      <c r="A50" s="819" t="s">
        <v>307</v>
      </c>
      <c r="B50" s="829"/>
      <c r="C50" s="1008">
        <f ca="1">transport!B18</f>
        <v>1.1386483857559293</v>
      </c>
      <c r="D50" s="1008">
        <f>transport!C18</f>
        <v>0</v>
      </c>
      <c r="E50" s="1008">
        <f>transport!D18</f>
        <v>3.1085998018092433</v>
      </c>
      <c r="F50" s="1008">
        <f>transport!E18</f>
        <v>226.39792585500172</v>
      </c>
      <c r="G50" s="1008">
        <f>transport!F18</f>
        <v>0</v>
      </c>
      <c r="H50" s="1008">
        <f>transport!G18</f>
        <v>44909.885954892066</v>
      </c>
      <c r="I50" s="1008">
        <f>transport!H18</f>
        <v>8722.0458904122333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53862.577019346871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1.1386483857559293</v>
      </c>
      <c r="D52" s="721">
        <f t="shared" ref="D52:Q52" ca="1" si="6">SUM(D48:D51)</f>
        <v>0</v>
      </c>
      <c r="E52" s="721">
        <f t="shared" si="6"/>
        <v>3.1085998018092433</v>
      </c>
      <c r="F52" s="721">
        <f t="shared" si="6"/>
        <v>226.39792585500172</v>
      </c>
      <c r="G52" s="721">
        <f t="shared" si="6"/>
        <v>0</v>
      </c>
      <c r="H52" s="721">
        <f t="shared" si="6"/>
        <v>46170.765818811524</v>
      </c>
      <c r="I52" s="721">
        <f t="shared" si="6"/>
        <v>8722.0458904122333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55123.456883266328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43.669083039200032</v>
      </c>
      <c r="D54" s="1008">
        <f ca="1">+landbouw!C12</f>
        <v>0</v>
      </c>
      <c r="E54" s="1008">
        <f>+landbouw!D12</f>
        <v>45.535381484271127</v>
      </c>
      <c r="F54" s="1008">
        <f>+landbouw!E12</f>
        <v>0.43378988305074523</v>
      </c>
      <c r="G54" s="1008">
        <f>+landbouw!F12</f>
        <v>176.74383482615815</v>
      </c>
      <c r="H54" s="1008">
        <f>+landbouw!G12</f>
        <v>0</v>
      </c>
      <c r="I54" s="1008">
        <f>+landbouw!H12</f>
        <v>0</v>
      </c>
      <c r="J54" s="1008">
        <f>+landbouw!I12</f>
        <v>0</v>
      </c>
      <c r="K54" s="1008">
        <f>+landbouw!J12</f>
        <v>8.8830438928889155</v>
      </c>
      <c r="L54" s="1008">
        <f>+landbouw!K12</f>
        <v>0</v>
      </c>
      <c r="M54" s="1008">
        <f>+landbouw!L12</f>
        <v>0</v>
      </c>
      <c r="N54" s="1008">
        <f>+landbouw!M12</f>
        <v>0</v>
      </c>
      <c r="O54" s="1008">
        <f>+landbouw!N12</f>
        <v>0</v>
      </c>
      <c r="P54" s="1008">
        <f>+landbouw!O12</f>
        <v>0</v>
      </c>
      <c r="Q54" s="1009">
        <f>+landbouw!P12</f>
        <v>0</v>
      </c>
      <c r="R54" s="720">
        <f ca="1">SUM(C54:Q54)</f>
        <v>275.26513312556898</v>
      </c>
    </row>
    <row r="55" spans="1:18" ht="15" thickBot="1">
      <c r="A55" s="819" t="s">
        <v>912</v>
      </c>
      <c r="B55" s="829"/>
      <c r="C55" s="1008">
        <f ca="1">C25*'EF ele_warmte'!B12</f>
        <v>420.09616229230818</v>
      </c>
      <c r="D55" s="1008"/>
      <c r="E55" s="1008">
        <f>E25*EF_CO2_aardgas</f>
        <v>1416.7421697622299</v>
      </c>
      <c r="F55" s="1008"/>
      <c r="G55" s="1008"/>
      <c r="H55" s="1008"/>
      <c r="I55" s="1008"/>
      <c r="J55" s="1008"/>
      <c r="K55" s="1008"/>
      <c r="L55" s="1008"/>
      <c r="M55" s="1008"/>
      <c r="N55" s="1008"/>
      <c r="O55" s="1008"/>
      <c r="P55" s="1008"/>
      <c r="Q55" s="1009"/>
      <c r="R55" s="720">
        <f ca="1">SUM(C55:Q55)</f>
        <v>1836.8383320545381</v>
      </c>
    </row>
    <row r="56" spans="1:18" ht="15.75" thickBot="1">
      <c r="A56" s="817" t="s">
        <v>913</v>
      </c>
      <c r="B56" s="830"/>
      <c r="C56" s="721">
        <f ca="1">SUM(C54:C55)</f>
        <v>463.7652453315082</v>
      </c>
      <c r="D56" s="721">
        <f t="shared" ref="D56:Q56" ca="1" si="7">SUM(D54:D55)</f>
        <v>0</v>
      </c>
      <c r="E56" s="721">
        <f t="shared" si="7"/>
        <v>1462.2775512465009</v>
      </c>
      <c r="F56" s="721">
        <f t="shared" si="7"/>
        <v>0.43378988305074523</v>
      </c>
      <c r="G56" s="721">
        <f t="shared" si="7"/>
        <v>176.74383482615815</v>
      </c>
      <c r="H56" s="721">
        <f t="shared" si="7"/>
        <v>0</v>
      </c>
      <c r="I56" s="721">
        <f t="shared" si="7"/>
        <v>0</v>
      </c>
      <c r="J56" s="721">
        <f t="shared" si="7"/>
        <v>0</v>
      </c>
      <c r="K56" s="721">
        <f t="shared" si="7"/>
        <v>8.8830438928889155</v>
      </c>
      <c r="L56" s="721">
        <f t="shared" si="7"/>
        <v>0</v>
      </c>
      <c r="M56" s="721">
        <f t="shared" si="7"/>
        <v>0</v>
      </c>
      <c r="N56" s="721">
        <f t="shared" si="7"/>
        <v>0</v>
      </c>
      <c r="O56" s="721">
        <f t="shared" si="7"/>
        <v>0</v>
      </c>
      <c r="P56" s="721">
        <f t="shared" si="7"/>
        <v>0</v>
      </c>
      <c r="Q56" s="722">
        <f t="shared" si="7"/>
        <v>0</v>
      </c>
      <c r="R56" s="723">
        <f ca="1">SUM(R54:R55)</f>
        <v>2112.1034651801069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13383.106413686584</v>
      </c>
      <c r="D61" s="729">
        <f t="shared" ref="D61:Q61" ca="1" si="8">D46+D52+D56</f>
        <v>0</v>
      </c>
      <c r="E61" s="729">
        <f t="shared" ca="1" si="8"/>
        <v>36361.210216229665</v>
      </c>
      <c r="F61" s="729">
        <f t="shared" si="8"/>
        <v>693.55109945004267</v>
      </c>
      <c r="G61" s="729">
        <f t="shared" ca="1" si="8"/>
        <v>4982.0940365389879</v>
      </c>
      <c r="H61" s="729">
        <f t="shared" si="8"/>
        <v>46170.765818811524</v>
      </c>
      <c r="I61" s="729">
        <f t="shared" si="8"/>
        <v>8722.0458904122333</v>
      </c>
      <c r="J61" s="729">
        <f t="shared" si="8"/>
        <v>0</v>
      </c>
      <c r="K61" s="729">
        <f t="shared" si="8"/>
        <v>9.8019202267490684</v>
      </c>
      <c r="L61" s="729">
        <f t="shared" si="8"/>
        <v>0</v>
      </c>
      <c r="M61" s="729">
        <f t="shared" ca="1" si="8"/>
        <v>0</v>
      </c>
      <c r="N61" s="729">
        <f t="shared" si="8"/>
        <v>0</v>
      </c>
      <c r="O61" s="729">
        <f t="shared" ca="1" si="8"/>
        <v>0</v>
      </c>
      <c r="P61" s="729">
        <f t="shared" si="8"/>
        <v>0</v>
      </c>
      <c r="Q61" s="729">
        <f t="shared" si="8"/>
        <v>0</v>
      </c>
      <c r="R61" s="729">
        <f ca="1">R46+R52+R56</f>
        <v>110322.57539535579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0.21527931499460817</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1609.2013557258201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1609.2013557258201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1609.2013557258201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1609.2013557258201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38439.730167555223</v>
      </c>
      <c r="C4" s="461">
        <f>huishoudens!C8</f>
        <v>0</v>
      </c>
      <c r="D4" s="461">
        <f>huishoudens!D8</f>
        <v>140994.55415157965</v>
      </c>
      <c r="E4" s="461">
        <f>huishoudens!E8</f>
        <v>1918.7868112092144</v>
      </c>
      <c r="F4" s="461">
        <f>huishoudens!F8</f>
        <v>13409.303397950469</v>
      </c>
      <c r="G4" s="461">
        <f>huishoudens!G8</f>
        <v>0</v>
      </c>
      <c r="H4" s="461">
        <f>huishoudens!H8</f>
        <v>0</v>
      </c>
      <c r="I4" s="461">
        <f>huishoudens!I8</f>
        <v>0</v>
      </c>
      <c r="J4" s="461">
        <f>huishoudens!J8</f>
        <v>0</v>
      </c>
      <c r="K4" s="461">
        <f>huishoudens!K8</f>
        <v>0</v>
      </c>
      <c r="L4" s="461">
        <f>huishoudens!L8</f>
        <v>0</v>
      </c>
      <c r="M4" s="461">
        <f>huishoudens!M8</f>
        <v>0</v>
      </c>
      <c r="N4" s="461">
        <f>huishoudens!N8</f>
        <v>8308.4554551981328</v>
      </c>
      <c r="O4" s="461">
        <f>huishoudens!O8</f>
        <v>165.71333333333337</v>
      </c>
      <c r="P4" s="462">
        <f>huishoudens!P8</f>
        <v>400.4</v>
      </c>
      <c r="Q4" s="463">
        <f>SUM(B4:P4)</f>
        <v>203636.94331682601</v>
      </c>
    </row>
    <row r="5" spans="1:17">
      <c r="A5" s="460" t="s">
        <v>156</v>
      </c>
      <c r="B5" s="461">
        <f ca="1">tertiair!B16</f>
        <v>18921.372649061781</v>
      </c>
      <c r="C5" s="461">
        <f ca="1">tertiair!C16</f>
        <v>0</v>
      </c>
      <c r="D5" s="461">
        <f ca="1">tertiair!D16</f>
        <v>29610.156284127876</v>
      </c>
      <c r="E5" s="461">
        <f>tertiair!E16</f>
        <v>125.57202631645394</v>
      </c>
      <c r="F5" s="461">
        <f ca="1">tertiair!F16</f>
        <v>4208.8503501666119</v>
      </c>
      <c r="G5" s="461">
        <f>tertiair!G16</f>
        <v>0</v>
      </c>
      <c r="H5" s="461">
        <f>tertiair!H16</f>
        <v>0</v>
      </c>
      <c r="I5" s="461">
        <f>tertiair!I16</f>
        <v>0</v>
      </c>
      <c r="J5" s="461">
        <f>tertiair!J16</f>
        <v>0</v>
      </c>
      <c r="K5" s="461">
        <f>tertiair!K16</f>
        <v>0</v>
      </c>
      <c r="L5" s="461">
        <f ca="1">tertiair!L16</f>
        <v>0</v>
      </c>
      <c r="M5" s="461">
        <f>tertiair!M16</f>
        <v>0</v>
      </c>
      <c r="N5" s="461">
        <f ca="1">tertiair!N16</f>
        <v>3355.9512037159921</v>
      </c>
      <c r="O5" s="461">
        <f>tertiair!O16</f>
        <v>3.1266666666666669</v>
      </c>
      <c r="P5" s="462">
        <f>tertiair!P16</f>
        <v>0</v>
      </c>
      <c r="Q5" s="460">
        <f t="shared" ref="Q5:Q14" ca="1" si="0">SUM(B5:P5)</f>
        <v>56225.029180055382</v>
      </c>
    </row>
    <row r="6" spans="1:17">
      <c r="A6" s="460" t="s">
        <v>194</v>
      </c>
      <c r="B6" s="461">
        <f>'openbare verlichting'!B8</f>
        <v>1341.528</v>
      </c>
      <c r="C6" s="461"/>
      <c r="D6" s="461"/>
      <c r="E6" s="461"/>
      <c r="F6" s="461"/>
      <c r="G6" s="461"/>
      <c r="H6" s="461"/>
      <c r="I6" s="461"/>
      <c r="J6" s="461"/>
      <c r="K6" s="461"/>
      <c r="L6" s="461"/>
      <c r="M6" s="461"/>
      <c r="N6" s="461"/>
      <c r="O6" s="461"/>
      <c r="P6" s="462"/>
      <c r="Q6" s="460">
        <f t="shared" si="0"/>
        <v>1341.528</v>
      </c>
    </row>
    <row r="7" spans="1:17">
      <c r="A7" s="460" t="s">
        <v>112</v>
      </c>
      <c r="B7" s="461">
        <f>landbouw!B8</f>
        <v>202.84848565359732</v>
      </c>
      <c r="C7" s="461">
        <f>landbouw!C8</f>
        <v>0</v>
      </c>
      <c r="D7" s="461">
        <f>landbouw!D8</f>
        <v>225.42268061520357</v>
      </c>
      <c r="E7" s="461">
        <f>landbouw!E8</f>
        <v>1.9109686478006398</v>
      </c>
      <c r="F7" s="461">
        <f>landbouw!F8</f>
        <v>661.96192818785823</v>
      </c>
      <c r="G7" s="461">
        <f>landbouw!G8</f>
        <v>0</v>
      </c>
      <c r="H7" s="461">
        <f>landbouw!H8</f>
        <v>0</v>
      </c>
      <c r="I7" s="461">
        <f>landbouw!I8</f>
        <v>0</v>
      </c>
      <c r="J7" s="461">
        <f>landbouw!J8</f>
        <v>25.093344330194679</v>
      </c>
      <c r="K7" s="461">
        <f>landbouw!K8</f>
        <v>0</v>
      </c>
      <c r="L7" s="461">
        <f>landbouw!L8</f>
        <v>0</v>
      </c>
      <c r="M7" s="461">
        <f>landbouw!M8</f>
        <v>0</v>
      </c>
      <c r="N7" s="461">
        <f>landbouw!N8</f>
        <v>0</v>
      </c>
      <c r="O7" s="461">
        <f>landbouw!O8</f>
        <v>0</v>
      </c>
      <c r="P7" s="462">
        <f>landbouw!P8</f>
        <v>0</v>
      </c>
      <c r="Q7" s="460">
        <f t="shared" si="0"/>
        <v>1117.2374074346544</v>
      </c>
    </row>
    <row r="8" spans="1:17">
      <c r="A8" s="460" t="s">
        <v>685</v>
      </c>
      <c r="B8" s="461">
        <f>industrie!B18</f>
        <v>1304.0749846015894</v>
      </c>
      <c r="C8" s="461">
        <f>industrie!C18</f>
        <v>0</v>
      </c>
      <c r="D8" s="461">
        <f>industrie!D18</f>
        <v>2146.893847368462</v>
      </c>
      <c r="E8" s="461">
        <f>industrie!E18</f>
        <v>11.673689839927395</v>
      </c>
      <c r="F8" s="461">
        <f>industrie!F18</f>
        <v>379.41255043283945</v>
      </c>
      <c r="G8" s="461">
        <f>industrie!G18</f>
        <v>0</v>
      </c>
      <c r="H8" s="461">
        <f>industrie!H18</f>
        <v>0</v>
      </c>
      <c r="I8" s="461">
        <f>industrie!I18</f>
        <v>0</v>
      </c>
      <c r="J8" s="461">
        <f>industrie!J18</f>
        <v>2.595695858362014</v>
      </c>
      <c r="K8" s="461">
        <f>industrie!K18</f>
        <v>0</v>
      </c>
      <c r="L8" s="461">
        <f>industrie!L18</f>
        <v>0</v>
      </c>
      <c r="M8" s="461">
        <f>industrie!M18</f>
        <v>0</v>
      </c>
      <c r="N8" s="461">
        <f>industrie!N18</f>
        <v>46.794241426127847</v>
      </c>
      <c r="O8" s="461">
        <f>industrie!O18</f>
        <v>0</v>
      </c>
      <c r="P8" s="462">
        <f>industrie!P18</f>
        <v>0</v>
      </c>
      <c r="Q8" s="460">
        <f t="shared" si="0"/>
        <v>3891.4450095273082</v>
      </c>
    </row>
    <row r="9" spans="1:17" s="466" customFormat="1">
      <c r="A9" s="464" t="s">
        <v>579</v>
      </c>
      <c r="B9" s="465">
        <f>transport!B14</f>
        <v>5.2891676368649145</v>
      </c>
      <c r="C9" s="465">
        <f>transport!C14</f>
        <v>0</v>
      </c>
      <c r="D9" s="465">
        <f>transport!D14</f>
        <v>15.389107929748729</v>
      </c>
      <c r="E9" s="465">
        <f>transport!E14</f>
        <v>997.34769099119694</v>
      </c>
      <c r="F9" s="465">
        <f>transport!F14</f>
        <v>0</v>
      </c>
      <c r="G9" s="465">
        <f>transport!G14</f>
        <v>168201.82005577552</v>
      </c>
      <c r="H9" s="465">
        <f>transport!H14</f>
        <v>35028.296748643508</v>
      </c>
      <c r="I9" s="465">
        <f>transport!I14</f>
        <v>0</v>
      </c>
      <c r="J9" s="465">
        <f>transport!J14</f>
        <v>0</v>
      </c>
      <c r="K9" s="465">
        <f>transport!K14</f>
        <v>0</v>
      </c>
      <c r="L9" s="465">
        <f>transport!L14</f>
        <v>0</v>
      </c>
      <c r="M9" s="465">
        <f>transport!M14</f>
        <v>9092.3624218494369</v>
      </c>
      <c r="N9" s="465">
        <f>transport!N14</f>
        <v>0</v>
      </c>
      <c r="O9" s="465">
        <f>transport!O14</f>
        <v>0</v>
      </c>
      <c r="P9" s="465">
        <f>transport!P14</f>
        <v>0</v>
      </c>
      <c r="Q9" s="464">
        <f>SUM(B9:P9)</f>
        <v>213340.50519282627</v>
      </c>
    </row>
    <row r="10" spans="1:17">
      <c r="A10" s="460" t="s">
        <v>569</v>
      </c>
      <c r="B10" s="461">
        <f>transport!B54</f>
        <v>0</v>
      </c>
      <c r="C10" s="461">
        <f>transport!C54</f>
        <v>0</v>
      </c>
      <c r="D10" s="461">
        <f>transport!D54</f>
        <v>0</v>
      </c>
      <c r="E10" s="461">
        <f>transport!E54</f>
        <v>0</v>
      </c>
      <c r="F10" s="461">
        <f>transport!F54</f>
        <v>0</v>
      </c>
      <c r="G10" s="461">
        <f>transport!G54</f>
        <v>4722.3964940803735</v>
      </c>
      <c r="H10" s="461">
        <f>transport!H54</f>
        <v>0</v>
      </c>
      <c r="I10" s="461">
        <f>transport!I54</f>
        <v>0</v>
      </c>
      <c r="J10" s="461">
        <f>transport!J54</f>
        <v>0</v>
      </c>
      <c r="K10" s="461">
        <f>transport!K54</f>
        <v>0</v>
      </c>
      <c r="L10" s="461">
        <f>transport!L54</f>
        <v>0</v>
      </c>
      <c r="M10" s="461">
        <f>transport!M54</f>
        <v>207.36822013536417</v>
      </c>
      <c r="N10" s="461">
        <f>transport!N54</f>
        <v>0</v>
      </c>
      <c r="O10" s="461">
        <f>transport!O54</f>
        <v>0</v>
      </c>
      <c r="P10" s="462">
        <f>transport!P54</f>
        <v>0</v>
      </c>
      <c r="Q10" s="460">
        <f t="shared" si="0"/>
        <v>4929.7647142157375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1951.40049708366</v>
      </c>
      <c r="C14" s="468"/>
      <c r="D14" s="468">
        <f>'SEAP template'!E25</f>
        <v>7013.5750978328206</v>
      </c>
      <c r="E14" s="468"/>
      <c r="F14" s="468"/>
      <c r="G14" s="468"/>
      <c r="H14" s="468"/>
      <c r="I14" s="468"/>
      <c r="J14" s="468"/>
      <c r="K14" s="468"/>
      <c r="L14" s="468"/>
      <c r="M14" s="468"/>
      <c r="N14" s="468"/>
      <c r="O14" s="468"/>
      <c r="P14" s="469"/>
      <c r="Q14" s="460">
        <f t="shared" si="0"/>
        <v>8964.975594916481</v>
      </c>
    </row>
    <row r="15" spans="1:17" s="473" customFormat="1">
      <c r="A15" s="470" t="s">
        <v>573</v>
      </c>
      <c r="B15" s="471">
        <f ca="1">SUM(B4:B14)</f>
        <v>62166.243951592711</v>
      </c>
      <c r="C15" s="471">
        <f t="shared" ref="C15:Q15" ca="1" si="1">SUM(C4:C14)</f>
        <v>0</v>
      </c>
      <c r="D15" s="471">
        <f t="shared" ca="1" si="1"/>
        <v>180005.99116945377</v>
      </c>
      <c r="E15" s="471">
        <f t="shared" si="1"/>
        <v>3055.2911870045932</v>
      </c>
      <c r="F15" s="471">
        <f t="shared" ca="1" si="1"/>
        <v>18659.528226737781</v>
      </c>
      <c r="G15" s="471">
        <f t="shared" si="1"/>
        <v>172924.21654985589</v>
      </c>
      <c r="H15" s="471">
        <f t="shared" si="1"/>
        <v>35028.296748643508</v>
      </c>
      <c r="I15" s="471">
        <f t="shared" si="1"/>
        <v>0</v>
      </c>
      <c r="J15" s="471">
        <f t="shared" si="1"/>
        <v>27.689040188556692</v>
      </c>
      <c r="K15" s="471">
        <f t="shared" si="1"/>
        <v>0</v>
      </c>
      <c r="L15" s="471">
        <f t="shared" ca="1" si="1"/>
        <v>0</v>
      </c>
      <c r="M15" s="471">
        <f t="shared" si="1"/>
        <v>9299.730641984801</v>
      </c>
      <c r="N15" s="471">
        <f t="shared" ca="1" si="1"/>
        <v>11711.200900340253</v>
      </c>
      <c r="O15" s="471">
        <f t="shared" si="1"/>
        <v>168.84000000000003</v>
      </c>
      <c r="P15" s="471">
        <f t="shared" si="1"/>
        <v>400.4</v>
      </c>
      <c r="Q15" s="471">
        <f t="shared" ca="1" si="1"/>
        <v>493447.4284158019</v>
      </c>
    </row>
    <row r="17" spans="1:17">
      <c r="A17" s="474" t="s">
        <v>574</v>
      </c>
      <c r="B17" s="778">
        <f ca="1">huishoudens!B10</f>
        <v>0.21527931499460817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8275.2787790488637</v>
      </c>
      <c r="C22" s="461">
        <f t="shared" ref="C22:C32" ca="1" si="3">C4*$C$17</f>
        <v>0</v>
      </c>
      <c r="D22" s="461">
        <f t="shared" ref="D22:D32" si="4">D4*$D$17</f>
        <v>28480.899938619092</v>
      </c>
      <c r="E22" s="461">
        <f t="shared" ref="E22:E32" si="5">E4*$E$17</f>
        <v>435.56460614449168</v>
      </c>
      <c r="F22" s="461">
        <f t="shared" ref="F22:F32" si="6">F4*$F$17</f>
        <v>3580.2840072527756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40772.027331065226</v>
      </c>
    </row>
    <row r="23" spans="1:17">
      <c r="A23" s="460" t="s">
        <v>156</v>
      </c>
      <c r="B23" s="461">
        <f t="shared" ca="1" si="2"/>
        <v>4073.3801426477348</v>
      </c>
      <c r="C23" s="461">
        <f t="shared" ca="1" si="3"/>
        <v>0</v>
      </c>
      <c r="D23" s="461">
        <f t="shared" ca="1" si="4"/>
        <v>5981.2515693938312</v>
      </c>
      <c r="E23" s="461">
        <f t="shared" si="5"/>
        <v>28.504849973835046</v>
      </c>
      <c r="F23" s="461">
        <f t="shared" ca="1" si="6"/>
        <v>1123.7630434944854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11206.899605509887</v>
      </c>
    </row>
    <row r="24" spans="1:17">
      <c r="A24" s="460" t="s">
        <v>194</v>
      </c>
      <c r="B24" s="461">
        <f t="shared" ca="1" si="2"/>
        <v>288.80322888608674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288.80322888608674</v>
      </c>
    </row>
    <row r="25" spans="1:17">
      <c r="A25" s="460" t="s">
        <v>112</v>
      </c>
      <c r="B25" s="461">
        <f t="shared" ca="1" si="2"/>
        <v>43.669083039200032</v>
      </c>
      <c r="C25" s="461">
        <f t="shared" ca="1" si="3"/>
        <v>0</v>
      </c>
      <c r="D25" s="461">
        <f t="shared" si="4"/>
        <v>45.535381484271127</v>
      </c>
      <c r="E25" s="461">
        <f t="shared" si="5"/>
        <v>0.43378988305074523</v>
      </c>
      <c r="F25" s="461">
        <f t="shared" si="6"/>
        <v>176.74383482615815</v>
      </c>
      <c r="G25" s="461">
        <f t="shared" si="7"/>
        <v>0</v>
      </c>
      <c r="H25" s="461">
        <f t="shared" si="8"/>
        <v>0</v>
      </c>
      <c r="I25" s="461">
        <f t="shared" si="9"/>
        <v>0</v>
      </c>
      <c r="J25" s="461">
        <f t="shared" si="10"/>
        <v>8.8830438928889155</v>
      </c>
      <c r="K25" s="461">
        <f t="shared" si="11"/>
        <v>0</v>
      </c>
      <c r="L25" s="461">
        <f t="shared" si="12"/>
        <v>0</v>
      </c>
      <c r="M25" s="461">
        <f t="shared" si="13"/>
        <v>0</v>
      </c>
      <c r="N25" s="461">
        <f t="shared" si="14"/>
        <v>0</v>
      </c>
      <c r="O25" s="461">
        <f t="shared" si="15"/>
        <v>0</v>
      </c>
      <c r="P25" s="462">
        <f t="shared" si="16"/>
        <v>0</v>
      </c>
      <c r="Q25" s="460">
        <f t="shared" ca="1" si="17"/>
        <v>275.26513312556898</v>
      </c>
    </row>
    <row r="26" spans="1:17">
      <c r="A26" s="460" t="s">
        <v>685</v>
      </c>
      <c r="B26" s="461">
        <f t="shared" ca="1" si="2"/>
        <v>280.74036938663437</v>
      </c>
      <c r="C26" s="461">
        <f t="shared" ca="1" si="3"/>
        <v>0</v>
      </c>
      <c r="D26" s="461">
        <f t="shared" si="4"/>
        <v>433.67255716842936</v>
      </c>
      <c r="E26" s="461">
        <f t="shared" si="5"/>
        <v>2.6499275936635187</v>
      </c>
      <c r="F26" s="461">
        <f t="shared" si="6"/>
        <v>101.30315096556814</v>
      </c>
      <c r="G26" s="461">
        <f t="shared" si="7"/>
        <v>0</v>
      </c>
      <c r="H26" s="461">
        <f t="shared" si="8"/>
        <v>0</v>
      </c>
      <c r="I26" s="461">
        <f t="shared" si="9"/>
        <v>0</v>
      </c>
      <c r="J26" s="461">
        <f t="shared" si="10"/>
        <v>0.91887633386015288</v>
      </c>
      <c r="K26" s="461">
        <f t="shared" si="11"/>
        <v>0</v>
      </c>
      <c r="L26" s="461">
        <f t="shared" si="12"/>
        <v>0</v>
      </c>
      <c r="M26" s="461">
        <f t="shared" si="13"/>
        <v>0</v>
      </c>
      <c r="N26" s="461">
        <f t="shared" si="14"/>
        <v>0</v>
      </c>
      <c r="O26" s="461">
        <f t="shared" si="15"/>
        <v>0</v>
      </c>
      <c r="P26" s="462">
        <f t="shared" si="16"/>
        <v>0</v>
      </c>
      <c r="Q26" s="460">
        <f t="shared" ca="1" si="17"/>
        <v>819.28488144815549</v>
      </c>
    </row>
    <row r="27" spans="1:17" s="466" customFormat="1">
      <c r="A27" s="464" t="s">
        <v>579</v>
      </c>
      <c r="B27" s="772">
        <f t="shared" ca="1" si="2"/>
        <v>1.1386483857559293</v>
      </c>
      <c r="C27" s="465">
        <f t="shared" ca="1" si="3"/>
        <v>0</v>
      </c>
      <c r="D27" s="465">
        <f t="shared" si="4"/>
        <v>3.1085998018092433</v>
      </c>
      <c r="E27" s="465">
        <f t="shared" si="5"/>
        <v>226.39792585500172</v>
      </c>
      <c r="F27" s="465">
        <f t="shared" si="6"/>
        <v>0</v>
      </c>
      <c r="G27" s="465">
        <f t="shared" si="7"/>
        <v>44909.885954892066</v>
      </c>
      <c r="H27" s="465">
        <f t="shared" si="8"/>
        <v>8722.0458904122333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53862.577019346871</v>
      </c>
    </row>
    <row r="28" spans="1:17">
      <c r="A28" s="460" t="s">
        <v>569</v>
      </c>
      <c r="B28" s="461">
        <f t="shared" ca="1" si="2"/>
        <v>0</v>
      </c>
      <c r="C28" s="461">
        <f t="shared" ca="1" si="3"/>
        <v>0</v>
      </c>
      <c r="D28" s="461">
        <f t="shared" si="4"/>
        <v>0</v>
      </c>
      <c r="E28" s="461">
        <f t="shared" si="5"/>
        <v>0</v>
      </c>
      <c r="F28" s="461">
        <f t="shared" si="6"/>
        <v>0</v>
      </c>
      <c r="G28" s="461">
        <f t="shared" si="7"/>
        <v>1260.8798639194597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1260.8798639194597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420.09616229230818</v>
      </c>
      <c r="C32" s="461">
        <f t="shared" ca="1" si="3"/>
        <v>0</v>
      </c>
      <c r="D32" s="461">
        <f t="shared" si="4"/>
        <v>1416.7421697622299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1836.8383320545381</v>
      </c>
    </row>
    <row r="33" spans="1:17" s="473" customFormat="1">
      <c r="A33" s="470" t="s">
        <v>573</v>
      </c>
      <c r="B33" s="471">
        <f ca="1">SUM(B22:B32)</f>
        <v>13383.106413686584</v>
      </c>
      <c r="C33" s="471">
        <f t="shared" ref="C33:Q33" ca="1" si="18">SUM(C22:C32)</f>
        <v>0</v>
      </c>
      <c r="D33" s="471">
        <f t="shared" ca="1" si="18"/>
        <v>36361.210216229665</v>
      </c>
      <c r="E33" s="471">
        <f t="shared" si="18"/>
        <v>693.55109945004267</v>
      </c>
      <c r="F33" s="471">
        <f t="shared" ca="1" si="18"/>
        <v>4982.0940365389879</v>
      </c>
      <c r="G33" s="471">
        <f t="shared" si="18"/>
        <v>46170.765818811524</v>
      </c>
      <c r="H33" s="471">
        <f t="shared" si="18"/>
        <v>8722.0458904122333</v>
      </c>
      <c r="I33" s="471">
        <f t="shared" si="18"/>
        <v>0</v>
      </c>
      <c r="J33" s="471">
        <f t="shared" si="18"/>
        <v>9.8019202267490684</v>
      </c>
      <c r="K33" s="471">
        <f t="shared" si="18"/>
        <v>0</v>
      </c>
      <c r="L33" s="471">
        <f t="shared" ca="1" si="18"/>
        <v>0</v>
      </c>
      <c r="M33" s="471">
        <f t="shared" si="18"/>
        <v>0</v>
      </c>
      <c r="N33" s="471">
        <f t="shared" ca="1" si="18"/>
        <v>0</v>
      </c>
      <c r="O33" s="471">
        <f t="shared" si="18"/>
        <v>0</v>
      </c>
      <c r="P33" s="471">
        <f t="shared" si="18"/>
        <v>0</v>
      </c>
      <c r="Q33" s="471">
        <f t="shared" ca="1" si="18"/>
        <v>110322.57539535579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1609.2013557258201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1609.2013557258201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0.21527931499460817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0.21527931499460817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2019-06-29T16:12:33Z</dcterms:modified>
</cp:coreProperties>
</file>