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G10" s="1"/>
  <c r="F76" i="14"/>
  <c r="F8" i="56" s="1"/>
  <c r="F10"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P20" s="1"/>
  <c r="D17"/>
  <c r="D20" s="1"/>
  <c r="K78" i="14"/>
  <c r="K8" i="56"/>
  <c r="K10" s="1"/>
  <c r="O78" i="14"/>
  <c r="O9" i="56"/>
  <c r="L90" i="14"/>
  <c r="L17" i="56"/>
  <c r="L20" s="1"/>
  <c r="G90" i="14"/>
  <c r="G18" i="56"/>
  <c r="G20" s="1"/>
  <c r="O90" i="14"/>
  <c r="O18" i="56"/>
  <c r="L78" i="14"/>
  <c r="G78"/>
  <c r="Q89"/>
  <c r="P19" i="56" s="1"/>
  <c r="I76" i="14"/>
  <c r="I8" i="56" s="1"/>
  <c r="I10" s="1"/>
  <c r="I87" i="14"/>
  <c r="I17" i="56" s="1"/>
  <c r="I20" s="1"/>
  <c r="O25" i="48"/>
  <c r="C77" i="14"/>
  <c r="C9" i="56" s="1"/>
  <c r="D9"/>
  <c r="D10" s="1"/>
  <c r="Q88" i="14"/>
  <c r="P18" i="56" s="1"/>
  <c r="D18"/>
  <c r="K90" i="14"/>
  <c r="K18" i="56"/>
  <c r="K20" s="1"/>
  <c r="N78" i="14"/>
  <c r="N8" i="56"/>
  <c r="N10" s="1"/>
  <c r="E8"/>
  <c r="E10" s="1"/>
  <c r="M78" i="14"/>
  <c r="M8" i="56"/>
  <c r="M10" s="1"/>
  <c r="O10"/>
  <c r="C88" i="14"/>
  <c r="C18" i="56" s="1"/>
  <c r="O20"/>
  <c r="F90" i="14"/>
  <c r="E20" i="56"/>
  <c r="D78" i="14"/>
  <c r="B76"/>
  <c r="B8" i="56" s="1"/>
  <c r="B10" s="1"/>
  <c r="Q77" i="14"/>
  <c r="O17" i="18"/>
  <c r="O20" s="1"/>
  <c r="J87" i="14"/>
  <c r="B88"/>
  <c r="B18" i="56" s="1"/>
  <c r="C89" i="14"/>
  <c r="C19" i="56" s="1"/>
  <c r="B89" i="14"/>
  <c r="B19" i="56" s="1"/>
  <c r="B77" i="14"/>
  <c r="B9" i="56" s="1"/>
  <c r="O8" i="18"/>
  <c r="O10" s="1"/>
  <c r="N13" i="15"/>
  <c r="L13"/>
  <c r="O24" i="48"/>
  <c r="O30"/>
  <c r="P24"/>
  <c r="P30"/>
  <c r="R9" i="14"/>
  <c r="E78"/>
  <c r="E55"/>
  <c r="R25"/>
  <c r="B78"/>
  <c r="B4" i="6" s="1"/>
  <c r="E90" i="14"/>
  <c r="I90"/>
  <c r="M90"/>
  <c r="D90"/>
  <c r="J90" l="1"/>
  <c r="J17" i="56"/>
  <c r="J20" s="1"/>
  <c r="Q90" i="14"/>
  <c r="B17" i="6" s="1"/>
  <c r="Q78" i="14"/>
  <c r="B9" i="6" s="1"/>
  <c r="P9" i="56"/>
  <c r="P10" s="1"/>
  <c r="I78" i="14"/>
  <c r="C87"/>
  <c r="C17" i="56" s="1"/>
  <c r="C20" s="1"/>
  <c r="C76" i="14"/>
  <c r="B87"/>
  <c r="C90" l="1"/>
  <c r="C8" i="56"/>
  <c r="C10" s="1"/>
  <c r="C78" i="14"/>
  <c r="B90"/>
  <c r="B17" i="56"/>
  <c r="B20"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31"/>
  <c r="D32"/>
  <c r="D24"/>
  <c r="D28"/>
  <c r="D29"/>
  <c r="L32"/>
  <c r="L27"/>
  <c r="L31"/>
  <c r="L28"/>
  <c r="L22"/>
  <c r="L29"/>
  <c r="L24"/>
  <c r="L30"/>
  <c r="Q10" i="14"/>
  <c r="P5" i="48"/>
  <c r="P23" s="1"/>
  <c r="K31"/>
  <c r="K25"/>
  <c r="K29"/>
  <c r="K26"/>
  <c r="K32"/>
  <c r="K24"/>
  <c r="K27"/>
  <c r="K22"/>
  <c r="K28"/>
  <c r="K30"/>
  <c r="J10" i="14"/>
  <c r="J16" s="1"/>
  <c r="J27" s="1"/>
  <c r="I5" i="48"/>
  <c r="J24"/>
  <c r="J32"/>
  <c r="J29"/>
  <c r="J30"/>
  <c r="J27"/>
  <c r="J31"/>
  <c r="J28"/>
  <c r="Q11" i="14"/>
  <c r="P4" i="48"/>
  <c r="B7"/>
  <c r="C24" i="14"/>
  <c r="C26" s="1"/>
  <c r="P11"/>
  <c r="O4" i="48"/>
  <c r="I25"/>
  <c r="I26"/>
  <c r="I28"/>
  <c r="I27"/>
  <c r="I32"/>
  <c r="I22"/>
  <c r="I31"/>
  <c r="I24"/>
  <c r="I29"/>
  <c r="I30"/>
  <c r="K5"/>
  <c r="L10" i="14"/>
  <c r="L16" s="1"/>
  <c r="L27" s="1"/>
  <c r="E11"/>
  <c r="D4" i="48"/>
  <c r="D22" s="1"/>
  <c r="H26"/>
  <c r="H32"/>
  <c r="H25"/>
  <c r="H22"/>
  <c r="H30"/>
  <c r="H28"/>
  <c r="H29"/>
  <c r="H24"/>
  <c r="H23"/>
  <c r="D11" i="14"/>
  <c r="C4" i="48"/>
  <c r="G32"/>
  <c r="G25"/>
  <c r="G29"/>
  <c r="G24"/>
  <c r="G26"/>
  <c r="G22"/>
  <c r="G30"/>
  <c r="G23"/>
  <c r="B4"/>
  <c r="C11" i="14"/>
  <c r="F24" i="48"/>
  <c r="F32"/>
  <c r="F27"/>
  <c r="F30"/>
  <c r="F29"/>
  <c r="F28"/>
  <c r="F31"/>
  <c r="N24"/>
  <c r="N27"/>
  <c r="N32"/>
  <c r="N30"/>
  <c r="N29"/>
  <c r="N28"/>
  <c r="N31"/>
  <c r="B10"/>
  <c r="C19" i="14"/>
  <c r="E32" i="48"/>
  <c r="E28"/>
  <c r="E24"/>
  <c r="E31"/>
  <c r="E29"/>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O22"/>
  <c r="F4"/>
  <c r="F22" s="1"/>
  <c r="G11" i="14"/>
  <c r="I18"/>
  <c r="H13" i="48"/>
  <c r="H31" s="1"/>
  <c r="K33"/>
  <c r="L61" i="14"/>
  <c r="J63"/>
  <c r="Q13"/>
  <c r="P8" i="48"/>
  <c r="P26" s="1"/>
  <c r="M32"/>
  <c r="M22"/>
  <c r="M25"/>
  <c r="M26"/>
  <c r="M29"/>
  <c r="M30"/>
  <c r="M24"/>
  <c r="M23"/>
  <c r="K23"/>
  <c r="K15"/>
  <c r="I15"/>
  <c r="I23"/>
  <c r="I33" s="1"/>
  <c r="G13"/>
  <c r="H18" i="14"/>
  <c r="N18"/>
  <c r="M13" i="48"/>
  <c r="M31" s="1"/>
  <c r="P15"/>
  <c r="P22"/>
  <c r="P33" s="1"/>
  <c r="J12" i="17"/>
  <c r="K54" i="14" s="1"/>
  <c r="K56" s="1"/>
  <c r="J7" i="48"/>
  <c r="J25" s="1"/>
  <c r="K24" i="14"/>
  <c r="K26" s="1"/>
  <c r="L63"/>
  <c r="J46"/>
  <c r="J61" s="1"/>
  <c r="Q16"/>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8" i="48"/>
  <c r="P13" i="14"/>
  <c r="P16" s="1"/>
  <c r="P27" s="1"/>
  <c r="K11"/>
  <c r="J4" i="48"/>
  <c r="N20" i="14"/>
  <c r="M9" i="48"/>
  <c r="E7"/>
  <c r="E25" s="1"/>
  <c r="F24" i="14"/>
  <c r="F26" s="1"/>
  <c r="F20"/>
  <c r="F22" s="1"/>
  <c r="E9" i="48"/>
  <c r="E27" s="1"/>
  <c r="H9"/>
  <c r="I20" i="14"/>
  <c r="P46"/>
  <c r="P61" s="1"/>
  <c r="E12" i="17"/>
  <c r="F54" i="14" s="1"/>
  <c r="F56" s="1"/>
  <c r="N19"/>
  <c r="N22" s="1"/>
  <c r="N27" s="1"/>
  <c r="M10" i="48"/>
  <c r="M28" s="1"/>
  <c r="E20" i="14"/>
  <c r="E22" s="1"/>
  <c r="D9" i="48"/>
  <c r="D27" s="1"/>
  <c r="G31"/>
  <c r="Q13"/>
  <c r="B9"/>
  <c r="C20" i="14"/>
  <c r="R18"/>
  <c r="D18" i="22"/>
  <c r="E50" i="14" s="1"/>
  <c r="E52" s="1"/>
  <c r="Q63"/>
  <c r="I52"/>
  <c r="I61" s="1"/>
  <c r="N4" i="48"/>
  <c r="N22" s="1"/>
  <c r="O11" i="14"/>
  <c r="H19"/>
  <c r="G10" i="48"/>
  <c r="I22" i="14"/>
  <c r="I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52" l="1"/>
  <c r="H61" s="1"/>
  <c r="H63" s="1"/>
  <c r="N63"/>
  <c r="M27" i="48"/>
  <c r="M33" s="1"/>
  <c r="M15"/>
  <c r="H20" i="14"/>
  <c r="H22" s="1"/>
  <c r="H27" s="1"/>
  <c r="G9" i="48"/>
  <c r="E22"/>
  <c r="Q4"/>
  <c r="K10" i="14"/>
  <c r="J5" i="48"/>
  <c r="J23" s="1"/>
  <c r="R20" i="14"/>
  <c r="R22" s="1"/>
  <c r="C22"/>
  <c r="P63"/>
  <c r="I63"/>
  <c r="Q9" i="48"/>
  <c r="R11" i="14"/>
  <c r="O26" i="48"/>
  <c r="O33" s="1"/>
  <c r="O15"/>
  <c r="F10" i="14"/>
  <c r="E5" i="48"/>
  <c r="E23" s="1"/>
  <c r="H27"/>
  <c r="H33" s="1"/>
  <c r="H15"/>
  <c r="G28"/>
  <c r="Q10"/>
  <c r="J22"/>
  <c r="R19" i="14"/>
  <c r="G18" i="22"/>
  <c r="H50" i="14" s="1"/>
  <c r="D15" i="48"/>
  <c r="E16" i="14"/>
  <c r="E27" s="1"/>
  <c r="E63" s="1"/>
  <c r="D33" i="48"/>
  <c r="M61" i="14"/>
  <c r="M63" s="1"/>
  <c r="F23" i="48"/>
  <c r="C16" i="14"/>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F13" i="14"/>
  <c r="E8" i="48"/>
  <c r="G27"/>
  <c r="G33" s="1"/>
  <c r="G15"/>
  <c r="K16" i="14"/>
  <c r="K27" s="1"/>
  <c r="F16"/>
  <c r="F27" s="1"/>
  <c r="R10"/>
  <c r="C27"/>
  <c r="B3" i="6" s="1"/>
  <c r="B12" s="1"/>
  <c r="C55" i="14" s="1"/>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E26"/>
  <c r="E33" s="1"/>
  <c r="E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<sst xmlns="http://schemas.openxmlformats.org/spreadsheetml/2006/main" count="2492" uniqueCount="953">
  <si>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</si>
  <si>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</si>
  <si>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</si>
  <si>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</si>
  <si>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</si>
  <si>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</si>
  <si>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</si>
  <si>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</si>
  <si>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</si>
  <si>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</si>
  <si>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</si>
  <si>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</si>
  <si>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</si>
  <si>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</si>
  <si>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</si>
  <si>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</si>
  <si>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</si>
  <si>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</si>
  <si>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</si>
  <si>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</si>
  <si>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</si>
  <si>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</si>
  <si>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</si>
  <si>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</si>
  <si>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</si>
  <si>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</si>
  <si>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</si>
  <si>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</si>
  <si>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</si>
  <si>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</si>
  <si>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</si>
  <si>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</si>
  <si>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</si>
  <si>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</si>
  <si>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</si>
  <si>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</si>
  <si>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</si>
  <si>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</si>
  <si>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</si>
  <si>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</si>
  <si>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</si>
  <si>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</si>
  <si>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</si>
  <si>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</si>
  <si>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</si>
  <si>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</si>
  <si>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</si>
  <si>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</si>
  <si>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</si>
  <si>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</si>
  <si>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</si>
  <si>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</si>
  <si>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</si>
  <si>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</si>
  <si>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</si>
  <si>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</si>
  <si>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</si>
  <si>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</si>
  <si>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</si>
  <si>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</si>
  <si>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</si>
  <si>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</si>
  <si>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</si>
  <si>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</si>
  <si>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</si>
  <si>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</si>
  <si>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</si>
  <si>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</si>
  <si>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</si>
  <si>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</si>
  <si>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</si>
  <si>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</si>
  <si>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</si>
  <si>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</si>
  <si>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</si>
  <si>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</si>
  <si>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</si>
  <si>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</si>
  <si>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</si>
  <si>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</si>
  <si>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</si>
  <si>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</si>
  <si>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</si>
  <si>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</si>
  <si>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</si>
  <si>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</si>
  <si>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</si>
  <si>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</si>
  <si>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</si>
  <si>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</si>
  <si>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</si>
  <si>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</si>
  <si>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</si>
  <si>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</si>
  <si>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</si>
  <si>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</si>
  <si>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</si>
  <si>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</si>
  <si>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</si>
  <si>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</si>
  <si>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</si>
  <si>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</si>
  <si>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</si>
  <si>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</si>
  <si>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</si>
  <si>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</si>
  <si>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</si>
  <si>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</si>
  <si>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</si>
  <si>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</si>
  <si>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</si>
  <si>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</si>
  <si>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</si>
  <si>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</si>
  <si>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</si>
  <si>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</si>
  <si>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</si>
  <si>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</si>
  <si>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</si>
  <si>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</si>
  <si>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</si>
  <si>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</si>
  <si>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</si>
  <si>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</si>
  <si>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</si>
  <si>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</si>
  <si>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</si>
  <si>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</si>
  <si>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</si>
  <si>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</si>
  <si>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</si>
  <si>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</si>
  <si>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</si>
  <si>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</si>
  <si>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</si>
  <si>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</si>
  <si>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</si>
  <si>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</si>
  <si>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</si>
  <si>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</si>
  <si>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</si>
  <si>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</si>
  <si>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</si>
  <si>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</si>
  <si>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</si>
  <si>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</si>
  <si>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</si>
  <si>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</si>
  <si>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</si>
  <si>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</si>
  <si>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</si>
  <si>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</si>
  <si>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</si>
  <si>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</si>
  <si>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</si>
  <si>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</si>
  <si>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</si>
  <si>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</si>
  <si>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</si>
  <si>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</si>
  <si>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</si>
  <si>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</si>
  <si>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</si>
  <si>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</si>
  <si>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</si>
  <si>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</si>
  <si>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</si>
  <si>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</si>
  <si>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</si>
  <si>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</si>
  <si>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</si>
  <si>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</si>
  <si>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</si>
  <si>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</si>
  <si>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</si>
  <si>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</si>
  <si>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</si>
  <si>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</si>
  <si>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</si>
  <si>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</si>
  <si>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</si>
  <si>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</si>
  <si>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</si>
  <si>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</si>
  <si>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</si>
  <si>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</si>
  <si>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</si>
  <si>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</si>
  <si>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</si>
  <si>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</si>
  <si>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</si>
  <si>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</si>
  <si>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</si>
  <si>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</si>
  <si>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</si>
  <si>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</si>
  <si>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</si>
  <si>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</si>
  <si>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</si>
  <si>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</si>
  <si>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</si>
  <si>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</si>
  <si>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</si>
  <si>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</si>
  <si>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</si>
  <si>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</si>
  <si>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</si>
  <si>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</si>
  <si>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</si>
  <si>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</si>
  <si>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</si>
  <si>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</si>
  <si>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</si>
  <si>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</si>
  <si>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</si>
  <si>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</si>
  <si>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</si>
  <si>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</si>
  <si>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</si>
  <si>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</si>
  <si>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</si>
  <si>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</si>
  <si>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</si>
  <si>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</si>
  <si>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</si>
  <si>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</si>
  <si>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</si>
  <si>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</si>
  <si>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</si>
  <si>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</si>
  <si>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</si>
  <si>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</si>
  <si>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</si>
  <si>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</si>
  <si>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</si>
  <si>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</si>
  <si>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</si>
  <si>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</si>
  <si>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</si>
  <si>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</si>
  <si>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</si>
  <si>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</si>
  <si>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</si>
  <si>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</si>
  <si>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</si>
  <si>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</si>
  <si>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</si>
  <si>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</si>
  <si>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</si>
  <si>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</si>
  <si>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</si>
  <si>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</si>
  <si>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</si>
  <si>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</si>
  <si>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</si>
  <si>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</si>
  <si>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</si>
  <si>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</si>
  <si>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</si>
  <si>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</si>
  <si>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</si>
  <si>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</si>
  <si>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</si>
  <si>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</si>
  <si>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</si>
  <si>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</si>
  <si>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</si>
  <si>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</si>
  <si>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</si>
  <si>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</si>
  <si>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</si>
  <si>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</si>
  <si>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</si>
  <si>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</si>
  <si>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</si>
  <si>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</si>
  <si>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</si>
  <si>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</si>
  <si>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</si>
  <si>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</si>
  <si>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</si>
  <si>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</si>
  <si>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</si>
  <si>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</si>
  <si>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</si>
  <si>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</si>
  <si>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</si>
  <si>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</si>
  <si>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</si>
  <si>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</si>
  <si>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</si>
  <si>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</si>
  <si>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</si>
  <si>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</si>
  <si>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</si>
  <si>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</si>
  <si>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</si>
  <si>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</si>
  <si>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</si>
  <si>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</si>
  <si>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</si>
  <si>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</si>
  <si>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</si>
  <si>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</si>
  <si>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</si>
  <si>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</si>
  <si>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</si>
  <si>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</si>
  <si>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</si>
  <si>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</si>
  <si>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</si>
  <si>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</si>
  <si>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</si>
  <si>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</si>
  <si>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</si>
  <si>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</si>
  <si>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</si>
  <si>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</si>
  <si>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</si>
  <si>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</si>
  <si>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</si>
  <si>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</si>
  <si>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</si>
  <si>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</si>
  <si>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</si>
  <si>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</si>
  <si>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</si>
  <si>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</si>
  <si>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</si>
  <si>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</si>
  <si>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</si>
  <si>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</si>
  <si>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</si>
  <si>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</si>
  <si>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</si>
  <si>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</si>
  <si>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</si>
  <si>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</si>
  <si>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</si>
  <si>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</si>
  <si>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</si>
  <si>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</si>
  <si>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</si>
  <si>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</si>
  <si>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</si>
  <si>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</si>
  <si>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</si>
  <si>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</si>
  <si>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</si>
  <si>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</si>
  <si>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</si>
  <si>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</si>
  <si>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</si>
  <si>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</si>
  <si>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</si>
  <si>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</si>
  <si>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</si>
  <si>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</si>
  <si>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</si>
  <si>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</si>
  <si>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</si>
  <si>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</si>
  <si>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</si>
  <si>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</si>
  <si>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</si>
  <si>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</si>
  <si>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</si>
  <si>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</si>
  <si>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</si>
  <si>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</si>
  <si>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</si>
  <si>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</si>
  <si>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</si>
  <si>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</si>
  <si>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</si>
  <si>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</si>
  <si>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</si>
  <si>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</si>
  <si>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</si>
  <si>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</si>
  <si>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</si>
  <si>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</si>
  <si>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</si>
  <si>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</si>
  <si>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</si>
  <si>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</si>
  <si>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</si>
  <si>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</si>
  <si>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</si>
  <si>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</si>
  <si>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</si>
  <si>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</si>
  <si>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</si>
  <si>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</si>
  <si>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</si>
  <si>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</si>
  <si>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</si>
  <si>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</si>
  <si>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</si>
  <si>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</si>
  <si>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</si>
  <si>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</si>
  <si>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</si>
  <si>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</si>
  <si>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</si>
  <si>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</si>
  <si>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</si>
  <si>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</si>
  <si>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</si>
  <si>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</si>
  <si>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</si>
  <si>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</si>
  <si>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</si>
  <si>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</si>
  <si>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</si>
  <si>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</si>
  <si>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</si>
  <si>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</si>
  <si>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</si>
  <si>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</si>
  <si>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</si>
  <si>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</si>
  <si>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</si>
  <si>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</si>
  <si>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</si>
  <si>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</si>
  <si>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</si>
  <si>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</si>
  <si>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</si>
  <si>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</si>
  <si>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</si>
  <si>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</si>
  <si>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</si>
  <si>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</si>
  <si>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</si>
  <si>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</si>
  <si>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</si>
  <si>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</si>
  <si>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</si>
  <si>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</si>
  <si>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</si>
  <si>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</si>
  <si>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</si>
  <si>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</si>
  <si>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</si>
  <si>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</si>
  <si>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</si>
  <si>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</si>
  <si>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</si>
  <si>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</si>
  <si>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</si>
  <si>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</si>
  <si>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</si>
  <si>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</si>
  <si>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</si>
  <si>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</si>
  <si>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</si>
  <si>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</si>
  <si>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</si>
  <si>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</si>
  <si>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</si>
  <si>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</si>
  <si>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</si>
  <si>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</si>
  <si>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</si>
  <si>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</si>
  <si>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</si>
  <si>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</si>
  <si>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</si>
  <si>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</si>
  <si>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</si>
  <si>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</si>
  <si>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</si>
  <si>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</si>
  <si>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</si>
  <si>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</si>
  <si>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</si>
  <si>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</si>
  <si>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</si>
  <si>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</si>
  <si>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</si>
  <si>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</si>
  <si>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</si>
  <si>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</si>
  <si>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</si>
  <si>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</si>
  <si>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</si>
  <si>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</si>
  <si>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</si>
  <si>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</si>
  <si>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</si>
  <si>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</si>
  <si>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</si>
  <si>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</si>
  <si>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</si>
  <si>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</si>
  <si>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</si>
  <si>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</si>
  <si>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</si>
  <si>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</si>
  <si>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</si>
  <si>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</si>
  <si>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</si>
  <si>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</si>
  <si>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</si>
  <si>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</si>
  <si>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</si>
  <si>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</si>
  <si>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</si>
  <si>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</si>
  <si>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</si>
  <si>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</si>
  <si>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</si>
  <si>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</si>
  <si>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</si>
  <si>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</si>
  <si>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</si>
  <si>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</si>
  <si>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</si>
  <si>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</si>
  <si>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</si>
  <si>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</si>
  <si>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</si>
  <si>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</si>
  <si>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</si>
  <si>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</si>
  <si>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</si>
  <si>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</si>
  <si>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</si>
  <si>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</si>
  <si>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</si>
  <si>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</si>
  <si>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</si>
  <si>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</si>
  <si>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</si>
  <si>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</si>
  <si>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</si>
  <si>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</si>
  <si>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</si>
  <si>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</si>
  <si>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</si>
  <si>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</si>
  <si>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</si>
  <si>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</si>
  <si>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</si>
  <si>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</si>
  <si>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</si>
  <si>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</si>
  <si>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</si>
  <si>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</si>
  <si>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</si>
  <si>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</si>
  <si>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</si>
  <si>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</si>
  <si>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</si>
  <si>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</si>
  <si>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</si>
  <si>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</si>
  <si>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</si>
  <si>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</si>
  <si>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</si>
  <si>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</si>
  <si>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</si>
  <si>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</si>
  <si>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</si>
  <si>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</si>
  <si>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</si>
  <si>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</si>
  <si>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</si>
  <si>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</si>
  <si>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</si>
  <si>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</si>
  <si>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</si>
  <si>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</si>
  <si>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</si>
  <si>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</si>
  <si>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</si>
  <si>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</si>
  <si>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</si>
  <si>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</si>
  <si>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</si>
  <si>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</si>
  <si>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</si>
  <si>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</si>
  <si>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</si>
  <si>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</si>
  <si>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</si>
  <si>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</si>
  <si>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</si>
  <si>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</si>
  <si>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</si>
  <si>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</si>
  <si>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</si>
  <si>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</si>
  <si>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</si>
  <si>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</si>
  <si>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</si>
  <si>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</si>
  <si>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</si>
  <si>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</si>
  <si>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</si>
  <si>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</si>
  <si>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</si>
  <si>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</si>
  <si>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</si>
  <si>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</si>
  <si>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</si>
  <si>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</si>
  <si>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</si>
  <si>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</si>
  <si>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</si>
  <si>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</si>
  <si>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</si>
  <si>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</si>
  <si>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</si>
  <si>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</si>
  <si>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</si>
  <si>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</si>
  <si>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</si>
  <si>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</si>
  <si>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</si>
  <si>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</si>
  <si>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</si>
  <si>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</si>
  <si>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</si>
  <si>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</si>
  <si>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</si>
  <si>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</si>
  <si>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</si>
  <si>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</si>
  <si>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</si>
  <si>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</si>
  <si>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</si>
  <si>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</si>
  <si>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</si>
  <si>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</si>
  <si>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</si>
  <si>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</si>
  <si>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</si>
  <si>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</si>
  <si>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</si>
  <si>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</si>
  <si>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</si>
  <si>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</si>
  <si>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</si>
  <si>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</si>
  <si>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</si>
  <si>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</si>
  <si>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</si>
  <si>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</si>
  <si>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</si>
  <si>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</si>
  <si>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</si>
  <si>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</si>
  <si>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</si>
  <si>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</si>
  <si>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</si>
  <si>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</si>
  <si>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</si>
  <si>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</si>
  <si>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</si>
  <si>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</si>
  <si>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</si>
  <si>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</si>
  <si>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</si>
  <si>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</si>
  <si>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</si>
  <si>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</si>
  <si>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</si>
  <si>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</si>
  <si>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</si>
  <si>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</si>
  <si>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</si>
  <si>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</si>
  <si>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</si>
  <si>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</si>
  <si>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</si>
  <si>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</si>
  <si>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</si>
  <si>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</si>
  <si>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</si>
  <si>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</si>
  <si>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</si>
  <si>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</si>
  <si>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</si>
  <si>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</si>
  <si>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</si>
  <si>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</si>
  <si>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</si>
  <si>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</si>
  <si>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</si>
  <si>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</si>
  <si>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</si>
  <si>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</si>
  <si>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</si>
  <si>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</si>
  <si>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</si>
  <si>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</si>
  <si>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</si>
  <si>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</si>
  <si>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</si>
  <si>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</si>
  <si>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</si>
  <si>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</si>
  <si>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</si>
  <si>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</si>
  <si>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</si>
  <si>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</si>
  <si>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</si>
  <si>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</si>
  <si>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</si>
  <si>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</si>
  <si>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</si>
  <si>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</si>
  <si>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</si>
  <si>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</si>
  <si>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</si>
  <si>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</si>
  <si>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</si>
  <si>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</si>
  <si>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</si>
  <si>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</si>
  <si>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</si>
  <si>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</si>
  <si>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</si>
  <si>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</si>
  <si>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</si>
  <si>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</si>
  <si>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</si>
  <si>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</si>
  <si>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</si>
  <si>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</si>
  <si>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</si>
  <si>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</si>
  <si>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</si>
  <si>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</si>
  <si>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</si>
  <si>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</si>
  <si>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</si>
  <si>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</si>
  <si>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</si>
  <si>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</si>
  <si>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</si>
  <si>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</si>
  <si>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</si>
  <si>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</si>
  <si>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</si>
  <si>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</si>
  <si>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</si>
  <si>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</si>
  <si>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</si>
  <si>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</si>
  <si>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</si>
  <si>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</si>
  <si>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</si>
  <si>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</si>
  <si>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</si>
  <si>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</si>
  <si>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</si>
  <si>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</si>
  <si>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</si>
  <si>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</si>
  <si>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</si>
  <si>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</si>
  <si>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</si>
  <si>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</si>
  <si>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</si>
  <si>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</si>
  <si>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</si>
  <si>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</si>
  <si>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</si>
  <si>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</si>
  <si>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</si>
  <si>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</si>
  <si>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</si>
  <si>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</si>
  <si>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</si>
  <si>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</si>
  <si>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</si>
  <si>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</si>
  <si>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</si>
  <si>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</si>
  <si>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</si>
  <si>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</si>
  <si>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</si>
  <si>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</si>
  <si>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</si>
  <si>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</si>
  <si>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</si>
  <si>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</si>
  <si>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</si>
  <si>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</si>
  <si>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</si>
  <si>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</si>
  <si>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</si>
  <si>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</si>
  <si>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</si>
  <si>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</si>
  <si>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</si>
  <si>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</si>
  <si>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</si>
  <si>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</si>
  <si>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</si>
  <si>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</si>
  <si>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</si>
  <si>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</si>
  <si>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</si>
  <si>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</si>
  <si>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</si>
  <si>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</si>
  <si>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</si>
  <si>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</si>
  <si>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</si>
  <si>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</si>
  <si>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</si>
  <si>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</si>
  <si>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</si>
  <si>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</si>
  <si>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</si>
  <si>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</si>
  <si>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</si>
  <si>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</si>
  <si>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</si>
  <si>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</si>
  <si>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</si>
  <si>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</si>
  <si>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</si>
  <si>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</si>
  <si>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</si>
  <si>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</si>
  <si>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</si>
  <si>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</si>
  <si>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</si>
  <si>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</si>
  <si>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</si>
  <si>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</si>
  <si>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</si>
  <si>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</si>
  <si>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</si>
  <si>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</si>
  <si>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</si>
  <si>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</si>
  <si>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</si>
  <si>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</si>
  <si>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</si>
  <si>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</si>
  <si>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</si>
  <si>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</si>
  <si>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</si>
  <si>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</si>
  <si>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</si>
  <si>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</si>
  <si>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</si>
  <si>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</si>
  <si>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</si>
  <si>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</si>
  <si>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</si>
  <si>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</si>
  <si>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</si>
  <si>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</si>
  <si>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</si>
  <si>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</si>
  <si>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</si>
  <si>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</si>
  <si>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</si>
  <si>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</si>
  <si>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</si>
  <si>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</si>
  <si>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</si>
  <si>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</si>
  <si>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</si>
  <si>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</si>
  <si>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</si>
  <si>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</si>
  <si>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</si>
  <si>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</si>
  <si>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</si>
  <si>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</si>
  <si>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</si>
  <si>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</si>
  <si>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</si>
  <si>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</si>
  <si>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</si>
  <si>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</si>
  <si>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</si>
  <si>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</si>
  <si>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</si>
  <si>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</si>
  <si>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</si>
  <si>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</si>
  <si>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</si>
  <si>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</si>
  <si>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</si>
  <si>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</si>
  <si>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</si>
  <si>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</si>
  <si>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</si>
  <si>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</si>
  <si>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</si>
  <si>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</si>
  <si>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</si>
  <si>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</si>
  <si>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</si>
  <si>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</si>
  <si>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</si>
  <si>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</si>
  <si>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</si>
  <si>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</si>
  <si>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</si>
  <si>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</si>
  <si>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</si>
  <si>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</si>
  <si>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</si>
  <si>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</si>
  <si>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</si>
  <si>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</si>
  <si>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</si>
  <si>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</si>
  <si>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</si>
  <si>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</si>
  <si>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</si>
  <si>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</si>
  <si>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</si>
  <si>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</si>
  <si>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</si>
  <si>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</si>
  <si>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</si>
  <si>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</si>
  <si>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</si>
  <si>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</si>
  <si>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</si>
  <si>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</si>
  <si>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</si>
  <si>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</si>
  <si>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</si>
  <si>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</si>
  <si>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</si>
  <si>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</si>
  <si>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</si>
  <si>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</si>
  <si>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24041</t>
  </si>
  <si>
    <t>HOEGAARDEN</t>
  </si>
  <si>
    <t>Paarden&amp;pony's 200 - 600 kg</t>
  </si>
  <si>
    <t>Paarden&amp;pony's &lt; 200 kg</t>
  </si>
  <si>
    <t>op basis van VEA (maart 2018) en Inventaris Hernieuwbare Energiebronnen (juni 2018)</t>
  </si>
  <si>
    <t>VEA (juni 2018)</t>
  </si>
  <si>
    <t>Helmke Drive Center</t>
  </si>
  <si>
    <t>Bleyveldstraat 9, 3320 Hoegaarden</t>
  </si>
  <si>
    <t>WKK-0002 Interbrew Hoegaarden</t>
  </si>
  <si>
    <t>interne verbrandingsmotor</t>
  </si>
  <si>
    <t>WKK interne verbrandinsgmotor (gas)</t>
  </si>
  <si>
    <t>Altenaken 7, 3320 Hoegaarden</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</si>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</sst>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24041</v>
      </c>
      <c r="B6" s="397"/>
      <c r="C6" s="398"/>
    </row>
    <row r="7" spans="1:7" s="395" customFormat="1" ht="15.75" customHeight="1">
      <c r="A7" s="399" t="str">
        <f>txtMunicipality</f>
        <v>HOEGAARDEN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5044.6113532579784</v>
      </c>
      <c r="D10" s="688">
        <f ca="1">tertiair!C16</f>
        <v>0</v>
      </c>
      <c r="E10" s="688">
        <f ca="1">tertiair!D16</f>
        <v>6808.7138062197973</v>
      </c>
      <c r="F10" s="688">
        <f>tertiair!E16</f>
        <v>49.0737736215615</v>
      </c>
      <c r="G10" s="688">
        <f ca="1">tertiair!F16</f>
        <v>849.19556511567453</v>
      </c>
      <c r="H10" s="688">
        <f>tertiair!G16</f>
        <v>0</v>
      </c>
      <c r="I10" s="688">
        <f>tertiair!H16</f>
        <v>0</v>
      </c>
      <c r="J10" s="688">
        <f>tertiair!I16</f>
        <v>0</v>
      </c>
      <c r="K10" s="688">
        <f>tertiair!J16</f>
        <v>0</v>
      </c>
      <c r="L10" s="688">
        <f>tertiair!K16</f>
        <v>0</v>
      </c>
      <c r="M10" s="688">
        <f ca="1">tertiair!L16</f>
        <v>0</v>
      </c>
      <c r="N10" s="688">
        <f>tertiair!M16</f>
        <v>0</v>
      </c>
      <c r="O10" s="688">
        <f ca="1">tertiair!N16</f>
        <v>172.45814239508587</v>
      </c>
      <c r="P10" s="688">
        <f>tertiair!O16</f>
        <v>0</v>
      </c>
      <c r="Q10" s="689">
        <f>tertiair!P16</f>
        <v>0</v>
      </c>
      <c r="R10" s="691">
        <f ca="1">SUM(C10:Q10)</f>
        <v>12924.052640610098</v>
      </c>
      <c r="S10" s="68"/>
    </row>
    <row r="11" spans="1:19" s="457" customFormat="1">
      <c r="A11" s="803" t="s">
        <v>225</v>
      </c>
      <c r="B11" s="808"/>
      <c r="C11" s="688">
        <f>huishoudens!B8</f>
        <v>12068.046820449374</v>
      </c>
      <c r="D11" s="688">
        <f>huishoudens!C8</f>
        <v>0</v>
      </c>
      <c r="E11" s="688">
        <f>huishoudens!D8</f>
        <v>31375.729635582022</v>
      </c>
      <c r="F11" s="688">
        <f>huishoudens!E8</f>
        <v>1110.1523457930027</v>
      </c>
      <c r="G11" s="688">
        <f>huishoudens!F8</f>
        <v>8721.0808791616619</v>
      </c>
      <c r="H11" s="688">
        <f>huishoudens!G8</f>
        <v>0</v>
      </c>
      <c r="I11" s="688">
        <f>huishoudens!H8</f>
        <v>0</v>
      </c>
      <c r="J11" s="688">
        <f>huishoudens!I8</f>
        <v>0</v>
      </c>
      <c r="K11" s="688">
        <f>huishoudens!J8</f>
        <v>1047.6930248741348</v>
      </c>
      <c r="L11" s="688">
        <f>huishoudens!K8</f>
        <v>0</v>
      </c>
      <c r="M11" s="688">
        <f>huishoudens!L8</f>
        <v>0</v>
      </c>
      <c r="N11" s="688">
        <f>huishoudens!M8</f>
        <v>0</v>
      </c>
      <c r="O11" s="688">
        <f>huishoudens!N8</f>
        <v>5938.0865785812493</v>
      </c>
      <c r="P11" s="688">
        <f>huishoudens!O8</f>
        <v>37.520000000000003</v>
      </c>
      <c r="Q11" s="689">
        <f>huishoudens!P8</f>
        <v>76.266666666666666</v>
      </c>
      <c r="R11" s="691">
        <f>SUM(C11:Q11)</f>
        <v>60374.575951108105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12556.385600617503</v>
      </c>
      <c r="D13" s="688">
        <f>industrie!C18</f>
        <v>1060.7142857142858</v>
      </c>
      <c r="E13" s="688">
        <f>industrie!D18</f>
        <v>23148.044657767783</v>
      </c>
      <c r="F13" s="688">
        <f>industrie!E18</f>
        <v>113.34162942726768</v>
      </c>
      <c r="G13" s="688">
        <f>industrie!F18</f>
        <v>1633.3525227535224</v>
      </c>
      <c r="H13" s="688">
        <f>industrie!G18</f>
        <v>0</v>
      </c>
      <c r="I13" s="688">
        <f>industrie!H18</f>
        <v>0</v>
      </c>
      <c r="J13" s="688">
        <f>industrie!I18</f>
        <v>0</v>
      </c>
      <c r="K13" s="688">
        <f>industrie!J18</f>
        <v>13.93403260762628</v>
      </c>
      <c r="L13" s="688">
        <f>industrie!K18</f>
        <v>0</v>
      </c>
      <c r="M13" s="688">
        <f>industrie!L18</f>
        <v>0</v>
      </c>
      <c r="N13" s="688">
        <f>industrie!M18</f>
        <v>0</v>
      </c>
      <c r="O13" s="688">
        <f>industrie!N18</f>
        <v>0</v>
      </c>
      <c r="P13" s="688">
        <f>industrie!O18</f>
        <v>0</v>
      </c>
      <c r="Q13" s="689">
        <f>industrie!P18</f>
        <v>0</v>
      </c>
      <c r="R13" s="691">
        <f>SUM(C13:Q13)</f>
        <v>38525.772728887991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29669.043774324855</v>
      </c>
      <c r="D16" s="721">
        <f t="shared" ref="D16:R16" ca="1" si="0">SUM(D9:D15)</f>
        <v>1060.7142857142858</v>
      </c>
      <c r="E16" s="721">
        <f t="shared" ca="1" si="0"/>
        <v>61332.4880995696</v>
      </c>
      <c r="F16" s="721">
        <f t="shared" si="0"/>
        <v>1272.5677488418319</v>
      </c>
      <c r="G16" s="721">
        <f t="shared" ca="1" si="0"/>
        <v>11203.62896703086</v>
      </c>
      <c r="H16" s="721">
        <f t="shared" si="0"/>
        <v>0</v>
      </c>
      <c r="I16" s="721">
        <f t="shared" si="0"/>
        <v>0</v>
      </c>
      <c r="J16" s="721">
        <f t="shared" si="0"/>
        <v>0</v>
      </c>
      <c r="K16" s="721">
        <f t="shared" si="0"/>
        <v>1061.6270574817611</v>
      </c>
      <c r="L16" s="721">
        <f t="shared" si="0"/>
        <v>0</v>
      </c>
      <c r="M16" s="721">
        <f t="shared" ca="1" si="0"/>
        <v>0</v>
      </c>
      <c r="N16" s="721">
        <f t="shared" si="0"/>
        <v>0</v>
      </c>
      <c r="O16" s="721">
        <f t="shared" ca="1" si="0"/>
        <v>6110.5447209763352</v>
      </c>
      <c r="P16" s="721">
        <f t="shared" si="0"/>
        <v>37.520000000000003</v>
      </c>
      <c r="Q16" s="721">
        <f t="shared" si="0"/>
        <v>76.266666666666666</v>
      </c>
      <c r="R16" s="721">
        <f t="shared" ca="1" si="0"/>
        <v>111824.40132060621</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428.86094577188783</v>
      </c>
      <c r="I19" s="688">
        <f>transport!H54</f>
        <v>0</v>
      </c>
      <c r="J19" s="688">
        <f>transport!I54</f>
        <v>0</v>
      </c>
      <c r="K19" s="688">
        <f>transport!J54</f>
        <v>0</v>
      </c>
      <c r="L19" s="688">
        <f>transport!K54</f>
        <v>0</v>
      </c>
      <c r="M19" s="688">
        <f>transport!L54</f>
        <v>0</v>
      </c>
      <c r="N19" s="688">
        <f>transport!M54</f>
        <v>18.831991579225441</v>
      </c>
      <c r="O19" s="688">
        <f>transport!N54</f>
        <v>0</v>
      </c>
      <c r="P19" s="688">
        <f>transport!O54</f>
        <v>0</v>
      </c>
      <c r="Q19" s="689">
        <f>transport!P54</f>
        <v>0</v>
      </c>
      <c r="R19" s="691">
        <f>SUM(C19:Q19)</f>
        <v>447.69293735111324</v>
      </c>
      <c r="S19" s="68"/>
    </row>
    <row r="20" spans="1:19" s="457" customFormat="1">
      <c r="A20" s="803" t="s">
        <v>307</v>
      </c>
      <c r="B20" s="808"/>
      <c r="C20" s="688">
        <f>transport!B14</f>
        <v>2.6602684444436311</v>
      </c>
      <c r="D20" s="688">
        <f>transport!C14</f>
        <v>0</v>
      </c>
      <c r="E20" s="688">
        <f>transport!D14</f>
        <v>7.103672922093252</v>
      </c>
      <c r="F20" s="688">
        <f>transport!E14</f>
        <v>499.54383847877625</v>
      </c>
      <c r="G20" s="688">
        <f>transport!F14</f>
        <v>0</v>
      </c>
      <c r="H20" s="688">
        <f>transport!G14</f>
        <v>101252.45567478801</v>
      </c>
      <c r="I20" s="688">
        <f>transport!H14</f>
        <v>16584.239763188551</v>
      </c>
      <c r="J20" s="688">
        <f>transport!I14</f>
        <v>0</v>
      </c>
      <c r="K20" s="688">
        <f>transport!J14</f>
        <v>0</v>
      </c>
      <c r="L20" s="688">
        <f>transport!K14</f>
        <v>0</v>
      </c>
      <c r="M20" s="688">
        <f>transport!L14</f>
        <v>0</v>
      </c>
      <c r="N20" s="688">
        <f>transport!M14</f>
        <v>5267.4285148725003</v>
      </c>
      <c r="O20" s="688">
        <f>transport!N14</f>
        <v>0</v>
      </c>
      <c r="P20" s="688">
        <f>transport!O14</f>
        <v>0</v>
      </c>
      <c r="Q20" s="689">
        <f>transport!P14</f>
        <v>0</v>
      </c>
      <c r="R20" s="691">
        <f>SUM(C20:Q20)</f>
        <v>123613.43173269439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2.6602684444436311</v>
      </c>
      <c r="D22" s="806">
        <f t="shared" ref="D22:R22" si="1">SUM(D18:D21)</f>
        <v>0</v>
      </c>
      <c r="E22" s="806">
        <f t="shared" si="1"/>
        <v>7.103672922093252</v>
      </c>
      <c r="F22" s="806">
        <f t="shared" si="1"/>
        <v>499.54383847877625</v>
      </c>
      <c r="G22" s="806">
        <f t="shared" si="1"/>
        <v>0</v>
      </c>
      <c r="H22" s="806">
        <f t="shared" si="1"/>
        <v>101681.3166205599</v>
      </c>
      <c r="I22" s="806">
        <f t="shared" si="1"/>
        <v>16584.239763188551</v>
      </c>
      <c r="J22" s="806">
        <f t="shared" si="1"/>
        <v>0</v>
      </c>
      <c r="K22" s="806">
        <f t="shared" si="1"/>
        <v>0</v>
      </c>
      <c r="L22" s="806">
        <f t="shared" si="1"/>
        <v>0</v>
      </c>
      <c r="M22" s="806">
        <f t="shared" si="1"/>
        <v>0</v>
      </c>
      <c r="N22" s="806">
        <f t="shared" si="1"/>
        <v>5286.2605064517256</v>
      </c>
      <c r="O22" s="806">
        <f t="shared" si="1"/>
        <v>0</v>
      </c>
      <c r="P22" s="806">
        <f t="shared" si="1"/>
        <v>0</v>
      </c>
      <c r="Q22" s="806">
        <f t="shared" si="1"/>
        <v>0</v>
      </c>
      <c r="R22" s="806">
        <f t="shared" si="1"/>
        <v>124061.12467004549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551.63244210956202</v>
      </c>
      <c r="D24" s="688">
        <f>+landbouw!C8</f>
        <v>0</v>
      </c>
      <c r="E24" s="688">
        <f>+landbouw!D8</f>
        <v>132.8860964581433</v>
      </c>
      <c r="F24" s="688">
        <f>+landbouw!E8</f>
        <v>5.1967472105325037</v>
      </c>
      <c r="G24" s="688">
        <f>+landbouw!F8</f>
        <v>1800.1597293331679</v>
      </c>
      <c r="H24" s="688">
        <f>+landbouw!G8</f>
        <v>0</v>
      </c>
      <c r="I24" s="688">
        <f>+landbouw!H8</f>
        <v>0</v>
      </c>
      <c r="J24" s="688">
        <f>+landbouw!I8</f>
        <v>0</v>
      </c>
      <c r="K24" s="688">
        <f>+landbouw!J8</f>
        <v>68.239616228635825</v>
      </c>
      <c r="L24" s="688">
        <f>+landbouw!K8</f>
        <v>0</v>
      </c>
      <c r="M24" s="688">
        <f>+landbouw!L8</f>
        <v>0</v>
      </c>
      <c r="N24" s="688">
        <f>+landbouw!M8</f>
        <v>0</v>
      </c>
      <c r="O24" s="688">
        <f>+landbouw!N8</f>
        <v>0</v>
      </c>
      <c r="P24" s="688">
        <f>+landbouw!O8</f>
        <v>0</v>
      </c>
      <c r="Q24" s="689">
        <f>+landbouw!P8</f>
        <v>0</v>
      </c>
      <c r="R24" s="691">
        <f>SUM(C24:Q24)</f>
        <v>2558.1146313400413</v>
      </c>
      <c r="S24" s="68"/>
    </row>
    <row r="25" spans="1:19" s="457" customFormat="1" ht="15" thickBot="1">
      <c r="A25" s="825" t="s">
        <v>912</v>
      </c>
      <c r="B25" s="1001"/>
      <c r="C25" s="1002">
        <f>IF(Onbekend_ele_kWh="---",0,Onbekend_ele_kWh)/1000+IF(REST_rest_ele_kWh="---",0,REST_rest_ele_kWh)/1000</f>
        <v>436.607973431939</v>
      </c>
      <c r="D25" s="1002"/>
      <c r="E25" s="1002">
        <f>IF(onbekend_gas_kWh="---",0,onbekend_gas_kWh)/1000+IF(REST_rest_gas_kWh="---",0,REST_rest_gas_kWh)/1000</f>
        <v>1039.0752038112701</v>
      </c>
      <c r="F25" s="1002"/>
      <c r="G25" s="1002"/>
      <c r="H25" s="1002"/>
      <c r="I25" s="1002"/>
      <c r="J25" s="1002"/>
      <c r="K25" s="1002"/>
      <c r="L25" s="1002"/>
      <c r="M25" s="1002"/>
      <c r="N25" s="1002"/>
      <c r="O25" s="1002"/>
      <c r="P25" s="1002"/>
      <c r="Q25" s="1003"/>
      <c r="R25" s="691">
        <f>SUM(C25:Q25)</f>
        <v>1475.683177243209</v>
      </c>
      <c r="S25" s="68"/>
    </row>
    <row r="26" spans="1:19" s="457" customFormat="1" ht="15.75" thickBot="1">
      <c r="A26" s="694" t="s">
        <v>913</v>
      </c>
      <c r="B26" s="811"/>
      <c r="C26" s="806">
        <f>SUM(C24:C25)</f>
        <v>988.24041554150108</v>
      </c>
      <c r="D26" s="806">
        <f t="shared" ref="D26:R26" si="2">SUM(D24:D25)</f>
        <v>0</v>
      </c>
      <c r="E26" s="806">
        <f t="shared" si="2"/>
        <v>1171.9613002694134</v>
      </c>
      <c r="F26" s="806">
        <f t="shared" si="2"/>
        <v>5.1967472105325037</v>
      </c>
      <c r="G26" s="806">
        <f t="shared" si="2"/>
        <v>1800.1597293331679</v>
      </c>
      <c r="H26" s="806">
        <f t="shared" si="2"/>
        <v>0</v>
      </c>
      <c r="I26" s="806">
        <f t="shared" si="2"/>
        <v>0</v>
      </c>
      <c r="J26" s="806">
        <f t="shared" si="2"/>
        <v>0</v>
      </c>
      <c r="K26" s="806">
        <f t="shared" si="2"/>
        <v>68.239616228635825</v>
      </c>
      <c r="L26" s="806">
        <f t="shared" si="2"/>
        <v>0</v>
      </c>
      <c r="M26" s="806">
        <f t="shared" si="2"/>
        <v>0</v>
      </c>
      <c r="N26" s="806">
        <f t="shared" si="2"/>
        <v>0</v>
      </c>
      <c r="O26" s="806">
        <f t="shared" si="2"/>
        <v>0</v>
      </c>
      <c r="P26" s="806">
        <f t="shared" si="2"/>
        <v>0</v>
      </c>
      <c r="Q26" s="806">
        <f t="shared" si="2"/>
        <v>0</v>
      </c>
      <c r="R26" s="806">
        <f t="shared" si="2"/>
        <v>4033.7978085832501</v>
      </c>
      <c r="S26" s="68"/>
    </row>
    <row r="27" spans="1:19" s="457" customFormat="1" ht="17.25" thickTop="1" thickBot="1">
      <c r="A27" s="695" t="s">
        <v>116</v>
      </c>
      <c r="B27" s="798"/>
      <c r="C27" s="696">
        <f ca="1">C22+C16+C26</f>
        <v>30659.944458310802</v>
      </c>
      <c r="D27" s="696">
        <f t="shared" ref="D27:R27" ca="1" si="3">D22+D16+D26</f>
        <v>1060.7142857142858</v>
      </c>
      <c r="E27" s="696">
        <f t="shared" ca="1" si="3"/>
        <v>62511.553072761111</v>
      </c>
      <c r="F27" s="696">
        <f t="shared" si="3"/>
        <v>1777.3083345311406</v>
      </c>
      <c r="G27" s="696">
        <f t="shared" ca="1" si="3"/>
        <v>13003.788696364027</v>
      </c>
      <c r="H27" s="696">
        <f t="shared" si="3"/>
        <v>101681.3166205599</v>
      </c>
      <c r="I27" s="696">
        <f t="shared" si="3"/>
        <v>16584.239763188551</v>
      </c>
      <c r="J27" s="696">
        <f t="shared" si="3"/>
        <v>0</v>
      </c>
      <c r="K27" s="696">
        <f t="shared" si="3"/>
        <v>1129.866673710397</v>
      </c>
      <c r="L27" s="696">
        <f t="shared" si="3"/>
        <v>0</v>
      </c>
      <c r="M27" s="696">
        <f t="shared" ca="1" si="3"/>
        <v>0</v>
      </c>
      <c r="N27" s="696">
        <f t="shared" si="3"/>
        <v>5286.2605064517256</v>
      </c>
      <c r="O27" s="696">
        <f t="shared" ca="1" si="3"/>
        <v>6110.5447209763352</v>
      </c>
      <c r="P27" s="696">
        <f t="shared" si="3"/>
        <v>37.520000000000003</v>
      </c>
      <c r="Q27" s="696">
        <f t="shared" si="3"/>
        <v>76.266666666666666</v>
      </c>
      <c r="R27" s="696">
        <f t="shared" ca="1" si="3"/>
        <v>239919.32379923493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1039.7587874638291</v>
      </c>
      <c r="D40" s="688">
        <f ca="1">tertiair!C20</f>
        <v>0</v>
      </c>
      <c r="E40" s="688">
        <f ca="1">tertiair!D20</f>
        <v>1375.3601888563992</v>
      </c>
      <c r="F40" s="688">
        <f>tertiair!E20</f>
        <v>11.139746612094461</v>
      </c>
      <c r="G40" s="688">
        <f ca="1">tertiair!F20</f>
        <v>226.73521588588511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2652.9939388182079</v>
      </c>
    </row>
    <row r="41" spans="1:18">
      <c r="A41" s="816" t="s">
        <v>225</v>
      </c>
      <c r="B41" s="823"/>
      <c r="C41" s="688">
        <f ca="1">huishoudens!B12</f>
        <v>2487.3784817899468</v>
      </c>
      <c r="D41" s="688">
        <f ca="1">huishoudens!C12</f>
        <v>0</v>
      </c>
      <c r="E41" s="688">
        <f>huishoudens!D12</f>
        <v>6337.897386387569</v>
      </c>
      <c r="F41" s="688">
        <f>huishoudens!E12</f>
        <v>252.00458249501162</v>
      </c>
      <c r="G41" s="688">
        <f>huishoudens!F12</f>
        <v>2328.528594736164</v>
      </c>
      <c r="H41" s="688">
        <f>huishoudens!G12</f>
        <v>0</v>
      </c>
      <c r="I41" s="688">
        <f>huishoudens!H12</f>
        <v>0</v>
      </c>
      <c r="J41" s="688">
        <f>huishoudens!I12</f>
        <v>0</v>
      </c>
      <c r="K41" s="688">
        <f>huishoudens!J12</f>
        <v>370.88333080544373</v>
      </c>
      <c r="L41" s="688">
        <f>huishoudens!K12</f>
        <v>0</v>
      </c>
      <c r="M41" s="688">
        <f>huishoudens!L12</f>
        <v>0</v>
      </c>
      <c r="N41" s="688">
        <f>huishoudens!M12</f>
        <v>0</v>
      </c>
      <c r="O41" s="688">
        <f>huishoudens!N12</f>
        <v>0</v>
      </c>
      <c r="P41" s="688">
        <f>huishoudens!O12</f>
        <v>0</v>
      </c>
      <c r="Q41" s="763">
        <f>huishoudens!P12</f>
        <v>0</v>
      </c>
      <c r="R41" s="844">
        <f t="shared" ca="1" si="4"/>
        <v>11776.692376214136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2588.0313373585436</v>
      </c>
      <c r="D43" s="688">
        <f ca="1">industrie!C22</f>
        <v>0</v>
      </c>
      <c r="E43" s="688">
        <f>industrie!D22</f>
        <v>4675.9050208690924</v>
      </c>
      <c r="F43" s="688">
        <f>industrie!E22</f>
        <v>25.728549879989764</v>
      </c>
      <c r="G43" s="688">
        <f>industrie!F22</f>
        <v>436.10512357519053</v>
      </c>
      <c r="H43" s="688">
        <f>industrie!G22</f>
        <v>0</v>
      </c>
      <c r="I43" s="688">
        <f>industrie!H22</f>
        <v>0</v>
      </c>
      <c r="J43" s="688">
        <f>industrie!I22</f>
        <v>0</v>
      </c>
      <c r="K43" s="688">
        <f>industrie!J22</f>
        <v>4.9326475430997032</v>
      </c>
      <c r="L43" s="688">
        <f>industrie!K22</f>
        <v>0</v>
      </c>
      <c r="M43" s="688">
        <f>industrie!L22</f>
        <v>0</v>
      </c>
      <c r="N43" s="688">
        <f>industrie!M22</f>
        <v>0</v>
      </c>
      <c r="O43" s="688">
        <f>industrie!N22</f>
        <v>0</v>
      </c>
      <c r="P43" s="688">
        <f>industrie!O22</f>
        <v>0</v>
      </c>
      <c r="Q43" s="763">
        <f>industrie!P22</f>
        <v>0</v>
      </c>
      <c r="R43" s="843">
        <f t="shared" ca="1" si="4"/>
        <v>7730.7026792259167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6115.1686066123202</v>
      </c>
      <c r="D46" s="721">
        <f t="shared" ref="D46:Q46" ca="1" si="5">SUM(D39:D45)</f>
        <v>0</v>
      </c>
      <c r="E46" s="721">
        <f t="shared" ca="1" si="5"/>
        <v>12389.162596113059</v>
      </c>
      <c r="F46" s="721">
        <f t="shared" si="5"/>
        <v>288.87287898709587</v>
      </c>
      <c r="G46" s="721">
        <f t="shared" ca="1" si="5"/>
        <v>2991.3689341972399</v>
      </c>
      <c r="H46" s="721">
        <f t="shared" si="5"/>
        <v>0</v>
      </c>
      <c r="I46" s="721">
        <f t="shared" si="5"/>
        <v>0</v>
      </c>
      <c r="J46" s="721">
        <f t="shared" si="5"/>
        <v>0</v>
      </c>
      <c r="K46" s="721">
        <f t="shared" si="5"/>
        <v>375.81597834854341</v>
      </c>
      <c r="L46" s="721">
        <f t="shared" si="5"/>
        <v>0</v>
      </c>
      <c r="M46" s="721">
        <f t="shared" ca="1" si="5"/>
        <v>0</v>
      </c>
      <c r="N46" s="721">
        <f t="shared" si="5"/>
        <v>0</v>
      </c>
      <c r="O46" s="721">
        <f t="shared" ca="1" si="5"/>
        <v>0</v>
      </c>
      <c r="P46" s="721">
        <f t="shared" si="5"/>
        <v>0</v>
      </c>
      <c r="Q46" s="721">
        <f t="shared" si="5"/>
        <v>0</v>
      </c>
      <c r="R46" s="721">
        <f ca="1">SUM(R39:R45)</f>
        <v>22160.388994258261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114.50587252109406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114.50587252109406</v>
      </c>
    </row>
    <row r="50" spans="1:18">
      <c r="A50" s="819" t="s">
        <v>307</v>
      </c>
      <c r="B50" s="829"/>
      <c r="C50" s="1008">
        <f ca="1">transport!B18</f>
        <v>0.54831528108435901</v>
      </c>
      <c r="D50" s="1008">
        <f>transport!C18</f>
        <v>0</v>
      </c>
      <c r="E50" s="1008">
        <f>transport!D18</f>
        <v>1.434941930262837</v>
      </c>
      <c r="F50" s="1008">
        <f>transport!E18</f>
        <v>113.39645133468221</v>
      </c>
      <c r="G50" s="1008">
        <f>transport!F18</f>
        <v>0</v>
      </c>
      <c r="H50" s="1008">
        <f>transport!G18</f>
        <v>27034.4056651684</v>
      </c>
      <c r="I50" s="1008">
        <f>transport!H18</f>
        <v>4129.475701033949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31279.261074748378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0.54831528108435901</v>
      </c>
      <c r="D52" s="721">
        <f t="shared" ref="D52:Q52" ca="1" si="6">SUM(D48:D51)</f>
        <v>0</v>
      </c>
      <c r="E52" s="721">
        <f t="shared" si="6"/>
        <v>1.434941930262837</v>
      </c>
      <c r="F52" s="721">
        <f t="shared" si="6"/>
        <v>113.39645133468221</v>
      </c>
      <c r="G52" s="721">
        <f t="shared" si="6"/>
        <v>0</v>
      </c>
      <c r="H52" s="721">
        <f t="shared" si="6"/>
        <v>27148.911537689495</v>
      </c>
      <c r="I52" s="721">
        <f t="shared" si="6"/>
        <v>4129.475701033949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31393.766947269472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113.69848715166569</v>
      </c>
      <c r="D54" s="1008">
        <f ca="1">+landbouw!C12</f>
        <v>0</v>
      </c>
      <c r="E54" s="1008">
        <f>+landbouw!D12</f>
        <v>26.84299148454495</v>
      </c>
      <c r="F54" s="1008">
        <f>+landbouw!E12</f>
        <v>1.1796616167908784</v>
      </c>
      <c r="G54" s="1008">
        <f>+landbouw!F12</f>
        <v>480.64264773195583</v>
      </c>
      <c r="H54" s="1008">
        <f>+landbouw!G12</f>
        <v>0</v>
      </c>
      <c r="I54" s="1008">
        <f>+landbouw!H12</f>
        <v>0</v>
      </c>
      <c r="J54" s="1008">
        <f>+landbouw!I12</f>
        <v>0</v>
      </c>
      <c r="K54" s="1008">
        <f>+landbouw!J12</f>
        <v>24.15682414493708</v>
      </c>
      <c r="L54" s="1008">
        <f>+landbouw!K12</f>
        <v>0</v>
      </c>
      <c r="M54" s="1008">
        <f>+landbouw!L12</f>
        <v>0</v>
      </c>
      <c r="N54" s="1008">
        <f>+landbouw!M12</f>
        <v>0</v>
      </c>
      <c r="O54" s="1008">
        <f>+landbouw!N12</f>
        <v>0</v>
      </c>
      <c r="P54" s="1008">
        <f>+landbouw!O12</f>
        <v>0</v>
      </c>
      <c r="Q54" s="1009">
        <f>+landbouw!P12</f>
        <v>0</v>
      </c>
      <c r="R54" s="720">
        <f ca="1">SUM(C54:Q54)</f>
        <v>646.5206121298944</v>
      </c>
    </row>
    <row r="55" spans="1:18" ht="15" thickBot="1">
      <c r="A55" s="819" t="s">
        <v>912</v>
      </c>
      <c r="B55" s="829"/>
      <c r="C55" s="1008">
        <f ca="1">C25*'EF ele_warmte'!B12</f>
        <v>89.990476027344627</v>
      </c>
      <c r="D55" s="1008"/>
      <c r="E55" s="1008">
        <f>E25*EF_CO2_aardgas</f>
        <v>209.89319116987656</v>
      </c>
      <c r="F55" s="1008"/>
      <c r="G55" s="1008"/>
      <c r="H55" s="1008"/>
      <c r="I55" s="1008"/>
      <c r="J55" s="1008"/>
      <c r="K55" s="1008"/>
      <c r="L55" s="1008"/>
      <c r="M55" s="1008"/>
      <c r="N55" s="1008"/>
      <c r="O55" s="1008"/>
      <c r="P55" s="1008"/>
      <c r="Q55" s="1009"/>
      <c r="R55" s="720">
        <f ca="1">SUM(C55:Q55)</f>
        <v>299.8836671972212</v>
      </c>
    </row>
    <row r="56" spans="1:18" ht="15.75" thickBot="1">
      <c r="A56" s="817" t="s">
        <v>913</v>
      </c>
      <c r="B56" s="830"/>
      <c r="C56" s="721">
        <f ca="1">SUM(C54:C55)</f>
        <v>203.68896317901033</v>
      </c>
      <c r="D56" s="721">
        <f t="shared" ref="D56:Q56" ca="1" si="7">SUM(D54:D55)</f>
        <v>0</v>
      </c>
      <c r="E56" s="721">
        <f t="shared" si="7"/>
        <v>236.7361826544215</v>
      </c>
      <c r="F56" s="721">
        <f t="shared" si="7"/>
        <v>1.1796616167908784</v>
      </c>
      <c r="G56" s="721">
        <f t="shared" si="7"/>
        <v>480.64264773195583</v>
      </c>
      <c r="H56" s="721">
        <f t="shared" si="7"/>
        <v>0</v>
      </c>
      <c r="I56" s="721">
        <f t="shared" si="7"/>
        <v>0</v>
      </c>
      <c r="J56" s="721">
        <f t="shared" si="7"/>
        <v>0</v>
      </c>
      <c r="K56" s="721">
        <f t="shared" si="7"/>
        <v>24.15682414493708</v>
      </c>
      <c r="L56" s="721">
        <f t="shared" si="7"/>
        <v>0</v>
      </c>
      <c r="M56" s="721">
        <f t="shared" si="7"/>
        <v>0</v>
      </c>
      <c r="N56" s="721">
        <f t="shared" si="7"/>
        <v>0</v>
      </c>
      <c r="O56" s="721">
        <f t="shared" si="7"/>
        <v>0</v>
      </c>
      <c r="P56" s="721">
        <f t="shared" si="7"/>
        <v>0</v>
      </c>
      <c r="Q56" s="722">
        <f t="shared" si="7"/>
        <v>0</v>
      </c>
      <c r="R56" s="723">
        <f ca="1">SUM(R54:R55)</f>
        <v>946.40427932711555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6319.405885072415</v>
      </c>
      <c r="D61" s="729">
        <f t="shared" ref="D61:Q61" ca="1" si="8">D46+D52+D56</f>
        <v>0</v>
      </c>
      <c r="E61" s="729">
        <f t="shared" ca="1" si="8"/>
        <v>12627.333720697745</v>
      </c>
      <c r="F61" s="729">
        <f t="shared" si="8"/>
        <v>403.44899193856895</v>
      </c>
      <c r="G61" s="729">
        <f t="shared" ca="1" si="8"/>
        <v>3472.0115819291959</v>
      </c>
      <c r="H61" s="729">
        <f t="shared" si="8"/>
        <v>27148.911537689495</v>
      </c>
      <c r="I61" s="729">
        <f t="shared" si="8"/>
        <v>4129.475701033949</v>
      </c>
      <c r="J61" s="729">
        <f t="shared" si="8"/>
        <v>0</v>
      </c>
      <c r="K61" s="729">
        <f t="shared" si="8"/>
        <v>399.97280249348051</v>
      </c>
      <c r="L61" s="729">
        <f t="shared" si="8"/>
        <v>0</v>
      </c>
      <c r="M61" s="729">
        <f t="shared" ca="1" si="8"/>
        <v>0</v>
      </c>
      <c r="N61" s="729">
        <f t="shared" si="8"/>
        <v>0</v>
      </c>
      <c r="O61" s="729">
        <f t="shared" ca="1" si="8"/>
        <v>0</v>
      </c>
      <c r="P61" s="729">
        <f t="shared" si="8"/>
        <v>0</v>
      </c>
      <c r="Q61" s="729">
        <f t="shared" si="8"/>
        <v>0</v>
      </c>
      <c r="R61" s="729">
        <f ca="1">R46+R52+R56</f>
        <v>54500.560220854844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0.20611276363090256</v>
      </c>
      <c r="D63" s="773">
        <f t="shared" ca="1" si="9"/>
        <v>0</v>
      </c>
      <c r="E63" s="1010">
        <f t="shared" ca="1" si="9"/>
        <v>0.20200000000000001</v>
      </c>
      <c r="F63" s="773">
        <f t="shared" si="9"/>
        <v>0.22700000000000001</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12</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1310.8476932772508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742.5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873.52941176470586</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2065.347693277251</v>
      </c>
      <c r="C78" s="744">
        <f>SUM(C72:C77)</f>
        <v>0</v>
      </c>
      <c r="D78" s="745">
        <f t="shared" ref="D78:H78" si="10">SUM(D76:D77)</f>
        <v>0</v>
      </c>
      <c r="E78" s="745">
        <f t="shared" si="10"/>
        <v>0</v>
      </c>
      <c r="F78" s="745">
        <f t="shared" si="10"/>
        <v>0</v>
      </c>
      <c r="G78" s="745">
        <f t="shared" si="10"/>
        <v>0</v>
      </c>
      <c r="H78" s="745">
        <f t="shared" si="10"/>
        <v>0</v>
      </c>
      <c r="I78" s="745">
        <f>SUM(I76:I77)</f>
        <v>0</v>
      </c>
      <c r="J78" s="745">
        <f>SUM(J76:J77)</f>
        <v>873.52941176470586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1060.7142857142858</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1247.8991596638657</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1060.7142857142858</v>
      </c>
      <c r="C90" s="744">
        <f>SUM(C87:C89)</f>
        <v>0</v>
      </c>
      <c r="D90" s="744">
        <f t="shared" ref="D90:H90" si="12">SUM(D87:D89)</f>
        <v>0</v>
      </c>
      <c r="E90" s="744">
        <f t="shared" si="12"/>
        <v>0</v>
      </c>
      <c r="F90" s="744">
        <f t="shared" si="12"/>
        <v>0</v>
      </c>
      <c r="G90" s="744">
        <f t="shared" si="12"/>
        <v>0</v>
      </c>
      <c r="H90" s="744">
        <f t="shared" si="12"/>
        <v>0</v>
      </c>
      <c r="I90" s="744">
        <f>SUM(I87:I89)</f>
        <v>0</v>
      </c>
      <c r="J90" s="744">
        <f>SUM(J87:J89)</f>
        <v>1247.8991596638657</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12068.046820449374</v>
      </c>
      <c r="C4" s="461">
        <f>huishoudens!C8</f>
        <v>0</v>
      </c>
      <c r="D4" s="461">
        <f>huishoudens!D8</f>
        <v>31375.729635582022</v>
      </c>
      <c r="E4" s="461">
        <f>huishoudens!E8</f>
        <v>1110.1523457930027</v>
      </c>
      <c r="F4" s="461">
        <f>huishoudens!F8</f>
        <v>8721.0808791616619</v>
      </c>
      <c r="G4" s="461">
        <f>huishoudens!G8</f>
        <v>0</v>
      </c>
      <c r="H4" s="461">
        <f>huishoudens!H8</f>
        <v>0</v>
      </c>
      <c r="I4" s="461">
        <f>huishoudens!I8</f>
        <v>0</v>
      </c>
      <c r="J4" s="461">
        <f>huishoudens!J8</f>
        <v>1047.6930248741348</v>
      </c>
      <c r="K4" s="461">
        <f>huishoudens!K8</f>
        <v>0</v>
      </c>
      <c r="L4" s="461">
        <f>huishoudens!L8</f>
        <v>0</v>
      </c>
      <c r="M4" s="461">
        <f>huishoudens!M8</f>
        <v>0</v>
      </c>
      <c r="N4" s="461">
        <f>huishoudens!N8</f>
        <v>5938.0865785812493</v>
      </c>
      <c r="O4" s="461">
        <f>huishoudens!O8</f>
        <v>37.520000000000003</v>
      </c>
      <c r="P4" s="462">
        <f>huishoudens!P8</f>
        <v>76.266666666666666</v>
      </c>
      <c r="Q4" s="463">
        <f>SUM(B4:P4)</f>
        <v>60374.575951108105</v>
      </c>
    </row>
    <row r="5" spans="1:17">
      <c r="A5" s="460" t="s">
        <v>156</v>
      </c>
      <c r="B5" s="461">
        <f ca="1">tertiair!B16</f>
        <v>4654.9463532579784</v>
      </c>
      <c r="C5" s="461">
        <f ca="1">tertiair!C16</f>
        <v>0</v>
      </c>
      <c r="D5" s="461">
        <f ca="1">tertiair!D16</f>
        <v>6808.7138062197973</v>
      </c>
      <c r="E5" s="461">
        <f>tertiair!E16</f>
        <v>49.0737736215615</v>
      </c>
      <c r="F5" s="461">
        <f ca="1">tertiair!F16</f>
        <v>849.19556511567453</v>
      </c>
      <c r="G5" s="461">
        <f>tertiair!G16</f>
        <v>0</v>
      </c>
      <c r="H5" s="461">
        <f>tertiair!H16</f>
        <v>0</v>
      </c>
      <c r="I5" s="461">
        <f>tertiair!I16</f>
        <v>0</v>
      </c>
      <c r="J5" s="461">
        <f>tertiair!J16</f>
        <v>0</v>
      </c>
      <c r="K5" s="461">
        <f>tertiair!K16</f>
        <v>0</v>
      </c>
      <c r="L5" s="461">
        <f ca="1">tertiair!L16</f>
        <v>0</v>
      </c>
      <c r="M5" s="461">
        <f>tertiair!M16</f>
        <v>0</v>
      </c>
      <c r="N5" s="461">
        <f ca="1">tertiair!N16</f>
        <v>172.45814239508587</v>
      </c>
      <c r="O5" s="461">
        <f>tertiair!O16</f>
        <v>0</v>
      </c>
      <c r="P5" s="462">
        <f>tertiair!P16</f>
        <v>0</v>
      </c>
      <c r="Q5" s="460">
        <f t="shared" ref="Q5:Q14" ca="1" si="0">SUM(B5:P5)</f>
        <v>12534.387640610097</v>
      </c>
    </row>
    <row r="6" spans="1:17">
      <c r="A6" s="460" t="s">
        <v>194</v>
      </c>
      <c r="B6" s="461">
        <f>'openbare verlichting'!B8</f>
        <v>389.66500000000002</v>
      </c>
      <c r="C6" s="461"/>
      <c r="D6" s="461"/>
      <c r="E6" s="461"/>
      <c r="F6" s="461"/>
      <c r="G6" s="461"/>
      <c r="H6" s="461"/>
      <c r="I6" s="461"/>
      <c r="J6" s="461"/>
      <c r="K6" s="461"/>
      <c r="L6" s="461"/>
      <c r="M6" s="461"/>
      <c r="N6" s="461"/>
      <c r="O6" s="461"/>
      <c r="P6" s="462"/>
      <c r="Q6" s="460">
        <f t="shared" si="0"/>
        <v>389.66500000000002</v>
      </c>
    </row>
    <row r="7" spans="1:17">
      <c r="A7" s="460" t="s">
        <v>112</v>
      </c>
      <c r="B7" s="461">
        <f>landbouw!B8</f>
        <v>551.63244210956202</v>
      </c>
      <c r="C7" s="461">
        <f>landbouw!C8</f>
        <v>0</v>
      </c>
      <c r="D7" s="461">
        <f>landbouw!D8</f>
        <v>132.8860964581433</v>
      </c>
      <c r="E7" s="461">
        <f>landbouw!E8</f>
        <v>5.1967472105325037</v>
      </c>
      <c r="F7" s="461">
        <f>landbouw!F8</f>
        <v>1800.1597293331679</v>
      </c>
      <c r="G7" s="461">
        <f>landbouw!G8</f>
        <v>0</v>
      </c>
      <c r="H7" s="461">
        <f>landbouw!H8</f>
        <v>0</v>
      </c>
      <c r="I7" s="461">
        <f>landbouw!I8</f>
        <v>0</v>
      </c>
      <c r="J7" s="461">
        <f>landbouw!J8</f>
        <v>68.239616228635825</v>
      </c>
      <c r="K7" s="461">
        <f>landbouw!K8</f>
        <v>0</v>
      </c>
      <c r="L7" s="461">
        <f>landbouw!L8</f>
        <v>0</v>
      </c>
      <c r="M7" s="461">
        <f>landbouw!M8</f>
        <v>0</v>
      </c>
      <c r="N7" s="461">
        <f>landbouw!N8</f>
        <v>0</v>
      </c>
      <c r="O7" s="461">
        <f>landbouw!O8</f>
        <v>0</v>
      </c>
      <c r="P7" s="462">
        <f>landbouw!P8</f>
        <v>0</v>
      </c>
      <c r="Q7" s="460">
        <f t="shared" si="0"/>
        <v>2558.1146313400413</v>
      </c>
    </row>
    <row r="8" spans="1:17">
      <c r="A8" s="460" t="s">
        <v>685</v>
      </c>
      <c r="B8" s="461">
        <f>industrie!B18</f>
        <v>12556.385600617503</v>
      </c>
      <c r="C8" s="461">
        <f>industrie!C18</f>
        <v>1060.7142857142858</v>
      </c>
      <c r="D8" s="461">
        <f>industrie!D18</f>
        <v>23148.044657767783</v>
      </c>
      <c r="E8" s="461">
        <f>industrie!E18</f>
        <v>113.34162942726768</v>
      </c>
      <c r="F8" s="461">
        <f>industrie!F18</f>
        <v>1633.3525227535224</v>
      </c>
      <c r="G8" s="461">
        <f>industrie!G18</f>
        <v>0</v>
      </c>
      <c r="H8" s="461">
        <f>industrie!H18</f>
        <v>0</v>
      </c>
      <c r="I8" s="461">
        <f>industrie!I18</f>
        <v>0</v>
      </c>
      <c r="J8" s="461">
        <f>industrie!J18</f>
        <v>13.93403260762628</v>
      </c>
      <c r="K8" s="461">
        <f>industrie!K18</f>
        <v>0</v>
      </c>
      <c r="L8" s="461">
        <f>industrie!L18</f>
        <v>0</v>
      </c>
      <c r="M8" s="461">
        <f>industrie!M18</f>
        <v>0</v>
      </c>
      <c r="N8" s="461">
        <f>industrie!N18</f>
        <v>0</v>
      </c>
      <c r="O8" s="461">
        <f>industrie!O18</f>
        <v>0</v>
      </c>
      <c r="P8" s="462">
        <f>industrie!P18</f>
        <v>0</v>
      </c>
      <c r="Q8" s="460">
        <f t="shared" si="0"/>
        <v>38525.772728887991</v>
      </c>
    </row>
    <row r="9" spans="1:17" s="466" customFormat="1">
      <c r="A9" s="464" t="s">
        <v>579</v>
      </c>
      <c r="B9" s="465">
        <f>transport!B14</f>
        <v>2.6602684444436311</v>
      </c>
      <c r="C9" s="465">
        <f>transport!C14</f>
        <v>0</v>
      </c>
      <c r="D9" s="465">
        <f>transport!D14</f>
        <v>7.103672922093252</v>
      </c>
      <c r="E9" s="465">
        <f>transport!E14</f>
        <v>499.54383847877625</v>
      </c>
      <c r="F9" s="465">
        <f>transport!F14</f>
        <v>0</v>
      </c>
      <c r="G9" s="465">
        <f>transport!G14</f>
        <v>101252.45567478801</v>
      </c>
      <c r="H9" s="465">
        <f>transport!H14</f>
        <v>16584.239763188551</v>
      </c>
      <c r="I9" s="465">
        <f>transport!I14</f>
        <v>0</v>
      </c>
      <c r="J9" s="465">
        <f>transport!J14</f>
        <v>0</v>
      </c>
      <c r="K9" s="465">
        <f>transport!K14</f>
        <v>0</v>
      </c>
      <c r="L9" s="465">
        <f>transport!L14</f>
        <v>0</v>
      </c>
      <c r="M9" s="465">
        <f>transport!M14</f>
        <v>5267.4285148725003</v>
      </c>
      <c r="N9" s="465">
        <f>transport!N14</f>
        <v>0</v>
      </c>
      <c r="O9" s="465">
        <f>transport!O14</f>
        <v>0</v>
      </c>
      <c r="P9" s="465">
        <f>transport!P14</f>
        <v>0</v>
      </c>
      <c r="Q9" s="464">
        <f>SUM(B9:P9)</f>
        <v>123613.43173269439</v>
      </c>
    </row>
    <row r="10" spans="1:17">
      <c r="A10" s="460" t="s">
        <v>569</v>
      </c>
      <c r="B10" s="461">
        <f>transport!B54</f>
        <v>0</v>
      </c>
      <c r="C10" s="461">
        <f>transport!C54</f>
        <v>0</v>
      </c>
      <c r="D10" s="461">
        <f>transport!D54</f>
        <v>0</v>
      </c>
      <c r="E10" s="461">
        <f>transport!E54</f>
        <v>0</v>
      </c>
      <c r="F10" s="461">
        <f>transport!F54</f>
        <v>0</v>
      </c>
      <c r="G10" s="461">
        <f>transport!G54</f>
        <v>428.86094577188783</v>
      </c>
      <c r="H10" s="461">
        <f>transport!H54</f>
        <v>0</v>
      </c>
      <c r="I10" s="461">
        <f>transport!I54</f>
        <v>0</v>
      </c>
      <c r="J10" s="461">
        <f>transport!J54</f>
        <v>0</v>
      </c>
      <c r="K10" s="461">
        <f>transport!K54</f>
        <v>0</v>
      </c>
      <c r="L10" s="461">
        <f>transport!L54</f>
        <v>0</v>
      </c>
      <c r="M10" s="461">
        <f>transport!M54</f>
        <v>18.831991579225441</v>
      </c>
      <c r="N10" s="461">
        <f>transport!N54</f>
        <v>0</v>
      </c>
      <c r="O10" s="461">
        <f>transport!O54</f>
        <v>0</v>
      </c>
      <c r="P10" s="462">
        <f>transport!P54</f>
        <v>0</v>
      </c>
      <c r="Q10" s="460">
        <f t="shared" si="0"/>
        <v>447.69293735111324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436.607973431939</v>
      </c>
      <c r="C14" s="468"/>
      <c r="D14" s="468">
        <f>'SEAP template'!E25</f>
        <v>1039.0752038112701</v>
      </c>
      <c r="E14" s="468"/>
      <c r="F14" s="468"/>
      <c r="G14" s="468"/>
      <c r="H14" s="468"/>
      <c r="I14" s="468"/>
      <c r="J14" s="468"/>
      <c r="K14" s="468"/>
      <c r="L14" s="468"/>
      <c r="M14" s="468"/>
      <c r="N14" s="468"/>
      <c r="O14" s="468"/>
      <c r="P14" s="469"/>
      <c r="Q14" s="460">
        <f t="shared" si="0"/>
        <v>1475.683177243209</v>
      </c>
    </row>
    <row r="15" spans="1:17" s="473" customFormat="1">
      <c r="A15" s="470" t="s">
        <v>573</v>
      </c>
      <c r="B15" s="471">
        <f ca="1">SUM(B4:B14)</f>
        <v>30659.944458310802</v>
      </c>
      <c r="C15" s="471">
        <f t="shared" ref="C15:Q15" ca="1" si="1">SUM(C4:C14)</f>
        <v>1060.7142857142858</v>
      </c>
      <c r="D15" s="471">
        <f t="shared" ca="1" si="1"/>
        <v>62511.553072761104</v>
      </c>
      <c r="E15" s="471">
        <f t="shared" si="1"/>
        <v>1777.3083345311406</v>
      </c>
      <c r="F15" s="471">
        <f t="shared" ca="1" si="1"/>
        <v>13003.788696364029</v>
      </c>
      <c r="G15" s="471">
        <f t="shared" si="1"/>
        <v>101681.3166205599</v>
      </c>
      <c r="H15" s="471">
        <f t="shared" si="1"/>
        <v>16584.239763188551</v>
      </c>
      <c r="I15" s="471">
        <f t="shared" si="1"/>
        <v>0</v>
      </c>
      <c r="J15" s="471">
        <f t="shared" si="1"/>
        <v>1129.866673710397</v>
      </c>
      <c r="K15" s="471">
        <f t="shared" si="1"/>
        <v>0</v>
      </c>
      <c r="L15" s="471">
        <f t="shared" ca="1" si="1"/>
        <v>0</v>
      </c>
      <c r="M15" s="471">
        <f t="shared" si="1"/>
        <v>5286.2605064517256</v>
      </c>
      <c r="N15" s="471">
        <f t="shared" ca="1" si="1"/>
        <v>6110.5447209763352</v>
      </c>
      <c r="O15" s="471">
        <f t="shared" si="1"/>
        <v>37.520000000000003</v>
      </c>
      <c r="P15" s="471">
        <f t="shared" si="1"/>
        <v>76.266666666666666</v>
      </c>
      <c r="Q15" s="471">
        <f t="shared" ca="1" si="1"/>
        <v>239919.32379923496</v>
      </c>
    </row>
    <row r="17" spans="1:17">
      <c r="A17" s="474" t="s">
        <v>574</v>
      </c>
      <c r="B17" s="778">
        <f ca="1">huishoudens!B10</f>
        <v>0.20611276363090256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2487.3784817899468</v>
      </c>
      <c r="C22" s="461">
        <f t="shared" ref="C22:C32" ca="1" si="3">C4*$C$17</f>
        <v>0</v>
      </c>
      <c r="D22" s="461">
        <f t="shared" ref="D22:D32" si="4">D4*$D$17</f>
        <v>6337.897386387569</v>
      </c>
      <c r="E22" s="461">
        <f t="shared" ref="E22:E32" si="5">E4*$E$17</f>
        <v>252.00458249501162</v>
      </c>
      <c r="F22" s="461">
        <f t="shared" ref="F22:F32" si="6">F4*$F$17</f>
        <v>2328.528594736164</v>
      </c>
      <c r="G22" s="461">
        <f t="shared" ref="G22:G32" si="7">G4*$G$17</f>
        <v>0</v>
      </c>
      <c r="H22" s="461">
        <f t="shared" ref="H22:H32" si="8">H4*$H$17</f>
        <v>0</v>
      </c>
      <c r="I22" s="461">
        <f t="shared" ref="I22:I32" si="9">I4*$I$17</f>
        <v>0</v>
      </c>
      <c r="J22" s="461">
        <f t="shared" ref="J22:J32" si="10">J4*$J$17</f>
        <v>370.88333080544373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11776.692376214136</v>
      </c>
    </row>
    <row r="23" spans="1:17">
      <c r="A23" s="460" t="s">
        <v>156</v>
      </c>
      <c r="B23" s="461">
        <f t="shared" ca="1" si="2"/>
        <v>959.4438574235935</v>
      </c>
      <c r="C23" s="461">
        <f t="shared" ca="1" si="3"/>
        <v>0</v>
      </c>
      <c r="D23" s="461">
        <f t="shared" ca="1" si="4"/>
        <v>1375.3601888563992</v>
      </c>
      <c r="E23" s="461">
        <f t="shared" si="5"/>
        <v>11.139746612094461</v>
      </c>
      <c r="F23" s="461">
        <f t="shared" ca="1" si="6"/>
        <v>226.73521588588511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2572.6790087779723</v>
      </c>
    </row>
    <row r="24" spans="1:17">
      <c r="A24" s="460" t="s">
        <v>194</v>
      </c>
      <c r="B24" s="461">
        <f t="shared" ca="1" si="2"/>
        <v>80.314930040235652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80.314930040235652</v>
      </c>
    </row>
    <row r="25" spans="1:17">
      <c r="A25" s="460" t="s">
        <v>112</v>
      </c>
      <c r="B25" s="461">
        <f t="shared" ca="1" si="2"/>
        <v>113.69848715166569</v>
      </c>
      <c r="C25" s="461">
        <f t="shared" ca="1" si="3"/>
        <v>0</v>
      </c>
      <c r="D25" s="461">
        <f t="shared" si="4"/>
        <v>26.84299148454495</v>
      </c>
      <c r="E25" s="461">
        <f t="shared" si="5"/>
        <v>1.1796616167908784</v>
      </c>
      <c r="F25" s="461">
        <f t="shared" si="6"/>
        <v>480.64264773195583</v>
      </c>
      <c r="G25" s="461">
        <f t="shared" si="7"/>
        <v>0</v>
      </c>
      <c r="H25" s="461">
        <f t="shared" si="8"/>
        <v>0</v>
      </c>
      <c r="I25" s="461">
        <f t="shared" si="9"/>
        <v>0</v>
      </c>
      <c r="J25" s="461">
        <f t="shared" si="10"/>
        <v>24.15682414493708</v>
      </c>
      <c r="K25" s="461">
        <f t="shared" si="11"/>
        <v>0</v>
      </c>
      <c r="L25" s="461">
        <f t="shared" si="12"/>
        <v>0</v>
      </c>
      <c r="M25" s="461">
        <f t="shared" si="13"/>
        <v>0</v>
      </c>
      <c r="N25" s="461">
        <f t="shared" si="14"/>
        <v>0</v>
      </c>
      <c r="O25" s="461">
        <f t="shared" si="15"/>
        <v>0</v>
      </c>
      <c r="P25" s="462">
        <f t="shared" si="16"/>
        <v>0</v>
      </c>
      <c r="Q25" s="460">
        <f t="shared" ca="1" si="17"/>
        <v>646.5206121298944</v>
      </c>
    </row>
    <row r="26" spans="1:17">
      <c r="A26" s="460" t="s">
        <v>685</v>
      </c>
      <c r="B26" s="461">
        <f t="shared" ca="1" si="2"/>
        <v>2588.0313373585436</v>
      </c>
      <c r="C26" s="461">
        <f t="shared" ca="1" si="3"/>
        <v>0</v>
      </c>
      <c r="D26" s="461">
        <f t="shared" si="4"/>
        <v>4675.9050208690924</v>
      </c>
      <c r="E26" s="461">
        <f t="shared" si="5"/>
        <v>25.728549879989764</v>
      </c>
      <c r="F26" s="461">
        <f t="shared" si="6"/>
        <v>436.10512357519053</v>
      </c>
      <c r="G26" s="461">
        <f t="shared" si="7"/>
        <v>0</v>
      </c>
      <c r="H26" s="461">
        <f t="shared" si="8"/>
        <v>0</v>
      </c>
      <c r="I26" s="461">
        <f t="shared" si="9"/>
        <v>0</v>
      </c>
      <c r="J26" s="461">
        <f t="shared" si="10"/>
        <v>4.9326475430997032</v>
      </c>
      <c r="K26" s="461">
        <f t="shared" si="11"/>
        <v>0</v>
      </c>
      <c r="L26" s="461">
        <f t="shared" si="12"/>
        <v>0</v>
      </c>
      <c r="M26" s="461">
        <f t="shared" si="13"/>
        <v>0</v>
      </c>
      <c r="N26" s="461">
        <f t="shared" si="14"/>
        <v>0</v>
      </c>
      <c r="O26" s="461">
        <f t="shared" si="15"/>
        <v>0</v>
      </c>
      <c r="P26" s="462">
        <f t="shared" si="16"/>
        <v>0</v>
      </c>
      <c r="Q26" s="460">
        <f t="shared" ca="1" si="17"/>
        <v>7730.7026792259167</v>
      </c>
    </row>
    <row r="27" spans="1:17" s="466" customFormat="1">
      <c r="A27" s="464" t="s">
        <v>579</v>
      </c>
      <c r="B27" s="772">
        <f t="shared" ca="1" si="2"/>
        <v>0.54831528108435901</v>
      </c>
      <c r="C27" s="465">
        <f t="shared" ca="1" si="3"/>
        <v>0</v>
      </c>
      <c r="D27" s="465">
        <f t="shared" si="4"/>
        <v>1.434941930262837</v>
      </c>
      <c r="E27" s="465">
        <f t="shared" si="5"/>
        <v>113.39645133468221</v>
      </c>
      <c r="F27" s="465">
        <f t="shared" si="6"/>
        <v>0</v>
      </c>
      <c r="G27" s="465">
        <f t="shared" si="7"/>
        <v>27034.4056651684</v>
      </c>
      <c r="H27" s="465">
        <f t="shared" si="8"/>
        <v>4129.475701033949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31279.261074748378</v>
      </c>
    </row>
    <row r="28" spans="1:17">
      <c r="A28" s="460" t="s">
        <v>569</v>
      </c>
      <c r="B28" s="461">
        <f t="shared" ca="1" si="2"/>
        <v>0</v>
      </c>
      <c r="C28" s="461">
        <f t="shared" ca="1" si="3"/>
        <v>0</v>
      </c>
      <c r="D28" s="461">
        <f t="shared" si="4"/>
        <v>0</v>
      </c>
      <c r="E28" s="461">
        <f t="shared" si="5"/>
        <v>0</v>
      </c>
      <c r="F28" s="461">
        <f t="shared" si="6"/>
        <v>0</v>
      </c>
      <c r="G28" s="461">
        <f t="shared" si="7"/>
        <v>114.50587252109406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114.50587252109406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89.990476027344627</v>
      </c>
      <c r="C32" s="461">
        <f t="shared" ca="1" si="3"/>
        <v>0</v>
      </c>
      <c r="D32" s="461">
        <f t="shared" si="4"/>
        <v>209.89319116987656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299.8836671972212</v>
      </c>
    </row>
    <row r="33" spans="1:17" s="473" customFormat="1">
      <c r="A33" s="470" t="s">
        <v>573</v>
      </c>
      <c r="B33" s="471">
        <f ca="1">SUM(B22:B32)</f>
        <v>6319.405885072415</v>
      </c>
      <c r="C33" s="471">
        <f t="shared" ref="C33:Q33" ca="1" si="18">SUM(C22:C32)</f>
        <v>0</v>
      </c>
      <c r="D33" s="471">
        <f t="shared" ca="1" si="18"/>
        <v>12627.333720697745</v>
      </c>
      <c r="E33" s="471">
        <f t="shared" si="18"/>
        <v>403.44899193856895</v>
      </c>
      <c r="F33" s="471">
        <f t="shared" ca="1" si="18"/>
        <v>3472.0115819291959</v>
      </c>
      <c r="G33" s="471">
        <f t="shared" si="18"/>
        <v>27148.911537689495</v>
      </c>
      <c r="H33" s="471">
        <f t="shared" si="18"/>
        <v>4129.475701033949</v>
      </c>
      <c r="I33" s="471">
        <f t="shared" si="18"/>
        <v>0</v>
      </c>
      <c r="J33" s="471">
        <f t="shared" si="18"/>
        <v>399.97280249348051</v>
      </c>
      <c r="K33" s="471">
        <f t="shared" si="18"/>
        <v>0</v>
      </c>
      <c r="L33" s="471">
        <f t="shared" ca="1" si="18"/>
        <v>0</v>
      </c>
      <c r="M33" s="471">
        <f t="shared" si="18"/>
        <v>0</v>
      </c>
      <c r="N33" s="471">
        <f t="shared" ca="1" si="18"/>
        <v>0</v>
      </c>
      <c r="O33" s="471">
        <f t="shared" si="18"/>
        <v>0</v>
      </c>
      <c r="P33" s="471">
        <f t="shared" si="18"/>
        <v>0</v>
      </c>
      <c r="Q33" s="471">
        <f t="shared" ca="1" si="18"/>
        <v>54500.560220854844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12</v>
      </c>
      <c r="C5" s="1037"/>
      <c r="D5" s="1037"/>
      <c r="E5" s="1037"/>
      <c r="F5" s="1037"/>
      <c r="G5" s="1037"/>
      <c r="H5" s="1037"/>
      <c r="I5" s="1037"/>
      <c r="J5" s="1037"/>
      <c r="K5" s="1037"/>
      <c r="L5" s="1037"/>
      <c r="M5" s="1037"/>
      <c r="N5" s="1037"/>
      <c r="O5" s="1037"/>
      <c r="P5" s="1038">
        <f>'SEAP template'!Q73</f>
        <v>0</v>
      </c>
    </row>
    <row r="6" spans="1:16">
      <c r="A6" s="1039" t="s">
        <v>251</v>
      </c>
      <c r="B6" s="1037">
        <f>'SEAP template'!B74</f>
        <v>1310.8476932772508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742.5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873.52941176470586</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2065.347693277251</v>
      </c>
      <c r="C10" s="1041">
        <f>SUM(C4:C9)</f>
        <v>0</v>
      </c>
      <c r="D10" s="1041">
        <f t="shared" ref="D10:H10" si="0">SUM(D8:D9)</f>
        <v>0</v>
      </c>
      <c r="E10" s="1041">
        <f t="shared" si="0"/>
        <v>0</v>
      </c>
      <c r="F10" s="1041">
        <f t="shared" si="0"/>
        <v>0</v>
      </c>
      <c r="G10" s="1041">
        <f t="shared" si="0"/>
        <v>0</v>
      </c>
      <c r="H10" s="1041">
        <f t="shared" si="0"/>
        <v>0</v>
      </c>
      <c r="I10" s="1041">
        <f>SUM(I8:I9)</f>
        <v>0</v>
      </c>
      <c r="J10" s="1041">
        <f>SUM(J8:J9)</f>
        <v>873.52941176470586</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0.20611276363090256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1060.7142857142858</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1247.8991596638657</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1060.7142857142858</v>
      </c>
      <c r="C20" s="1041">
        <f>SUM(C17:C19)</f>
        <v>0</v>
      </c>
      <c r="D20" s="1041">
        <f t="shared" ref="D20:H20" si="2">SUM(D17:D19)</f>
        <v>0</v>
      </c>
      <c r="E20" s="1041">
        <f t="shared" si="2"/>
        <v>0</v>
      </c>
      <c r="F20" s="1041">
        <f t="shared" si="2"/>
        <v>0</v>
      </c>
      <c r="G20" s="1041">
        <f t="shared" si="2"/>
        <v>0</v>
      </c>
      <c r="H20" s="1041">
        <f t="shared" si="2"/>
        <v>0</v>
      </c>
      <c r="I20" s="1041">
        <f>SUM(I17:I19)</f>
        <v>0</v>
      </c>
      <c r="J20" s="1041">
        <f>SUM(J17:J19)</f>
        <v>1247.8991596638657</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0.20611276363090256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0.20611276363090256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0.20611276363090256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24041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2681</v>
      </c>
      <c r="C9" s="338">
        <v>2828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2544</v>
      </c>
    </row>
    <row r="15" spans="1:6">
      <c r="A15" s="1286" t="s">
        <v>184</v>
      </c>
      <c r="B15" s="335">
        <v>3</v>
      </c>
    </row>
    <row r="16" spans="1:6">
      <c r="A16" s="1286" t="s">
        <v>6</v>
      </c>
      <c r="B16" s="335">
        <v>120</v>
      </c>
    </row>
    <row r="17" spans="1:6">
      <c r="A17" s="1286" t="s">
        <v>7</v>
      </c>
      <c r="B17" s="335">
        <v>175</v>
      </c>
    </row>
    <row r="18" spans="1:6">
      <c r="A18" s="1286" t="s">
        <v>8</v>
      </c>
      <c r="B18" s="335">
        <v>314</v>
      </c>
    </row>
    <row r="19" spans="1:6">
      <c r="A19" s="1286" t="s">
        <v>9</v>
      </c>
      <c r="B19" s="335">
        <v>392</v>
      </c>
    </row>
    <row r="20" spans="1:6">
      <c r="A20" s="1286" t="s">
        <v>10</v>
      </c>
      <c r="B20" s="335">
        <v>131</v>
      </c>
    </row>
    <row r="21" spans="1:6">
      <c r="A21" s="1286" t="s">
        <v>11</v>
      </c>
      <c r="B21" s="335">
        <v>2238</v>
      </c>
    </row>
    <row r="22" spans="1:6">
      <c r="A22" s="1286" t="s">
        <v>12</v>
      </c>
      <c r="B22" s="335">
        <v>3291</v>
      </c>
    </row>
    <row r="23" spans="1:6">
      <c r="A23" s="1286" t="s">
        <v>13</v>
      </c>
      <c r="B23" s="335">
        <v>47</v>
      </c>
    </row>
    <row r="24" spans="1:6">
      <c r="A24" s="1286" t="s">
        <v>14</v>
      </c>
      <c r="B24" s="335">
        <v>8</v>
      </c>
    </row>
    <row r="25" spans="1:6">
      <c r="A25" s="1286" t="s">
        <v>15</v>
      </c>
      <c r="B25" s="335">
        <v>842</v>
      </c>
    </row>
    <row r="26" spans="1:6">
      <c r="A26" s="1286" t="s">
        <v>16</v>
      </c>
      <c r="B26" s="335">
        <v>167</v>
      </c>
    </row>
    <row r="27" spans="1:6">
      <c r="A27" s="1286" t="s">
        <v>17</v>
      </c>
      <c r="B27" s="335">
        <v>0</v>
      </c>
    </row>
    <row r="28" spans="1:6" s="341" customFormat="1">
      <c r="A28" s="1287" t="s">
        <v>18</v>
      </c>
      <c r="B28" s="1287">
        <v>15</v>
      </c>
    </row>
    <row r="29" spans="1:6">
      <c r="A29" s="1287" t="s">
        <v>942</v>
      </c>
      <c r="B29" s="1287">
        <v>36</v>
      </c>
      <c r="C29" s="341"/>
      <c r="D29" s="341"/>
      <c r="E29" s="341"/>
      <c r="F29" s="341"/>
    </row>
    <row r="30" spans="1:6">
      <c r="A30" s="1282" t="s">
        <v>943</v>
      </c>
      <c r="B30" s="1282">
        <v>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3668.6915899300002</v>
      </c>
    </row>
    <row r="39" spans="1:6">
      <c r="A39" s="1286" t="s">
        <v>30</v>
      </c>
      <c r="B39" s="1286" t="s">
        <v>31</v>
      </c>
      <c r="C39" s="335">
        <v>1716</v>
      </c>
      <c r="D39" s="335">
        <v>34784622.655855902</v>
      </c>
      <c r="E39" s="335">
        <v>2607</v>
      </c>
      <c r="F39" s="335">
        <v>11046556.868289299</v>
      </c>
    </row>
    <row r="40" spans="1:6">
      <c r="A40" s="1286" t="s">
        <v>30</v>
      </c>
      <c r="B40" s="1286" t="s">
        <v>29</v>
      </c>
      <c r="C40" s="335">
        <v>0</v>
      </c>
      <c r="D40" s="335">
        <v>0</v>
      </c>
      <c r="E40" s="335">
        <v>0</v>
      </c>
      <c r="F40" s="335">
        <v>0</v>
      </c>
    </row>
    <row r="41" spans="1:6">
      <c r="A41" s="1286" t="s">
        <v>32</v>
      </c>
      <c r="B41" s="1286" t="s">
        <v>33</v>
      </c>
      <c r="C41" s="335">
        <v>12</v>
      </c>
      <c r="D41" s="335">
        <v>349900.69802948699</v>
      </c>
      <c r="E41" s="335">
        <v>23</v>
      </c>
      <c r="F41" s="335">
        <v>136024.96239190301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34401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668431.33636018902</v>
      </c>
      <c r="E48" s="335">
        <v>26</v>
      </c>
      <c r="F48" s="335">
        <v>2649074.7605662001</v>
      </c>
    </row>
    <row r="49" spans="1:6">
      <c r="A49" s="1286" t="s">
        <v>32</v>
      </c>
      <c r="B49" s="1286" t="s">
        <v>40</v>
      </c>
      <c r="C49" s="335">
        <v>0</v>
      </c>
      <c r="D49" s="335">
        <v>0</v>
      </c>
      <c r="E49" s="335">
        <v>0</v>
      </c>
      <c r="F49" s="335">
        <v>0</v>
      </c>
    </row>
    <row r="50" spans="1:6">
      <c r="A50" s="1286" t="s">
        <v>32</v>
      </c>
      <c r="B50" s="1286" t="s">
        <v>41</v>
      </c>
      <c r="C50" s="335">
        <v>11</v>
      </c>
      <c r="D50" s="335">
        <v>24644688.650497001</v>
      </c>
      <c r="E50" s="335">
        <v>10</v>
      </c>
      <c r="F50" s="335">
        <v>8994384.8776594009</v>
      </c>
    </row>
    <row r="51" spans="1:6">
      <c r="A51" s="1286" t="s">
        <v>42</v>
      </c>
      <c r="B51" s="1286" t="s">
        <v>43</v>
      </c>
      <c r="C51" s="335">
        <v>8</v>
      </c>
      <c r="D51" s="335">
        <v>127058.830880579</v>
      </c>
      <c r="E51" s="335">
        <v>44</v>
      </c>
      <c r="F51" s="335">
        <v>389988.55820154602</v>
      </c>
    </row>
    <row r="52" spans="1:6">
      <c r="A52" s="1286" t="s">
        <v>42</v>
      </c>
      <c r="B52" s="1286" t="s">
        <v>29</v>
      </c>
      <c r="C52" s="335">
        <v>2</v>
      </c>
      <c r="D52" s="335">
        <v>20265.001112927999</v>
      </c>
      <c r="E52" s="335">
        <v>15</v>
      </c>
      <c r="F52" s="335">
        <v>161643.883908016</v>
      </c>
    </row>
    <row r="53" spans="1:6">
      <c r="A53" s="1286" t="s">
        <v>44</v>
      </c>
      <c r="B53" s="1286" t="s">
        <v>45</v>
      </c>
      <c r="C53" s="335">
        <v>48</v>
      </c>
      <c r="D53" s="335">
        <v>1039075.20381127</v>
      </c>
      <c r="E53" s="335">
        <v>88</v>
      </c>
      <c r="F53" s="335">
        <v>436607.97343193903</v>
      </c>
    </row>
    <row r="54" spans="1:6">
      <c r="A54" s="1286" t="s">
        <v>46</v>
      </c>
      <c r="B54" s="1286" t="s">
        <v>47</v>
      </c>
      <c r="C54" s="335">
        <v>0</v>
      </c>
      <c r="D54" s="335">
        <v>0</v>
      </c>
      <c r="E54" s="335">
        <v>1</v>
      </c>
      <c r="F54" s="335">
        <v>389665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v>
      </c>
      <c r="D57" s="335">
        <v>149279.11070009001</v>
      </c>
      <c r="E57" s="335">
        <v>8</v>
      </c>
      <c r="F57" s="335">
        <v>68055.585712687302</v>
      </c>
    </row>
    <row r="58" spans="1:6">
      <c r="A58" s="1286" t="s">
        <v>49</v>
      </c>
      <c r="B58" s="1286" t="s">
        <v>51</v>
      </c>
      <c r="C58" s="335">
        <v>0</v>
      </c>
      <c r="D58" s="335">
        <v>0</v>
      </c>
      <c r="E58" s="335">
        <v>3</v>
      </c>
      <c r="F58" s="335">
        <v>7019.2579006243996</v>
      </c>
    </row>
    <row r="59" spans="1:6">
      <c r="A59" s="1286" t="s">
        <v>49</v>
      </c>
      <c r="B59" s="1286" t="s">
        <v>52</v>
      </c>
      <c r="C59" s="335">
        <v>17</v>
      </c>
      <c r="D59" s="335">
        <v>910724.12434056099</v>
      </c>
      <c r="E59" s="335">
        <v>23</v>
      </c>
      <c r="F59" s="335">
        <v>786473.44507406699</v>
      </c>
    </row>
    <row r="60" spans="1:6">
      <c r="A60" s="1286" t="s">
        <v>49</v>
      </c>
      <c r="B60" s="1286" t="s">
        <v>53</v>
      </c>
      <c r="C60" s="335">
        <v>16</v>
      </c>
      <c r="D60" s="335">
        <v>966627.18721873802</v>
      </c>
      <c r="E60" s="335">
        <v>19</v>
      </c>
      <c r="F60" s="335">
        <v>484858.93309756398</v>
      </c>
    </row>
    <row r="61" spans="1:6">
      <c r="A61" s="1286" t="s">
        <v>49</v>
      </c>
      <c r="B61" s="1286" t="s">
        <v>54</v>
      </c>
      <c r="C61" s="335">
        <v>59</v>
      </c>
      <c r="D61" s="335">
        <v>3067603.3708275901</v>
      </c>
      <c r="E61" s="335">
        <v>116</v>
      </c>
      <c r="F61" s="335">
        <v>1325391.28614897</v>
      </c>
    </row>
    <row r="62" spans="1:6">
      <c r="A62" s="1286" t="s">
        <v>49</v>
      </c>
      <c r="B62" s="1286" t="s">
        <v>55</v>
      </c>
      <c r="C62" s="335">
        <v>0</v>
      </c>
      <c r="D62" s="335">
        <v>0</v>
      </c>
      <c r="E62" s="335">
        <v>3</v>
      </c>
      <c r="F62" s="335">
        <v>24449.2372842154</v>
      </c>
    </row>
    <row r="63" spans="1:6">
      <c r="A63" s="1286" t="s">
        <v>49</v>
      </c>
      <c r="B63" s="1286" t="s">
        <v>29</v>
      </c>
      <c r="C63" s="335">
        <v>74</v>
      </c>
      <c r="D63" s="335">
        <v>2454229.4067132398</v>
      </c>
      <c r="E63" s="335">
        <v>85</v>
      </c>
      <c r="F63" s="335">
        <v>1958698.6080398499</v>
      </c>
    </row>
    <row r="64" spans="1:6">
      <c r="A64" s="1286" t="s">
        <v>56</v>
      </c>
      <c r="B64" s="1286" t="s">
        <v>57</v>
      </c>
      <c r="C64" s="335">
        <v>0</v>
      </c>
      <c r="D64" s="335">
        <v>0</v>
      </c>
      <c r="E64" s="335">
        <v>0</v>
      </c>
      <c r="F64" s="335">
        <v>0</v>
      </c>
    </row>
    <row r="65" spans="1:6">
      <c r="A65" s="1286" t="s">
        <v>56</v>
      </c>
      <c r="B65" s="1286" t="s">
        <v>29</v>
      </c>
      <c r="C65" s="335">
        <v>0</v>
      </c>
      <c r="D65" s="335">
        <v>0</v>
      </c>
      <c r="E65" s="335">
        <v>1</v>
      </c>
      <c r="F65" s="335">
        <v>874.4853665974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6</v>
      </c>
      <c r="F68" s="335">
        <v>26208.723171683199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11232794</v>
      </c>
      <c r="E73" s="335">
        <v>11657170.185419446</v>
      </c>
    </row>
    <row r="74" spans="1:6">
      <c r="A74" s="1286" t="s">
        <v>64</v>
      </c>
      <c r="B74" s="1286" t="s">
        <v>772</v>
      </c>
      <c r="C74" s="1297" t="s">
        <v>766</v>
      </c>
      <c r="D74" s="335">
        <v>1166998.218921714</v>
      </c>
      <c r="E74" s="335">
        <v>1256868.5172875274</v>
      </c>
    </row>
    <row r="75" spans="1:6">
      <c r="A75" s="1286" t="s">
        <v>65</v>
      </c>
      <c r="B75" s="1286" t="s">
        <v>771</v>
      </c>
      <c r="C75" s="1297" t="s">
        <v>767</v>
      </c>
      <c r="D75" s="335">
        <v>10266099</v>
      </c>
      <c r="E75" s="335">
        <v>10586047.924705721</v>
      </c>
    </row>
    <row r="76" spans="1:6">
      <c r="A76" s="1286" t="s">
        <v>65</v>
      </c>
      <c r="B76" s="1286" t="s">
        <v>772</v>
      </c>
      <c r="C76" s="1297" t="s">
        <v>768</v>
      </c>
      <c r="D76" s="335">
        <v>113171.21892171408</v>
      </c>
      <c r="E76" s="335">
        <v>121439.11540177057</v>
      </c>
    </row>
    <row r="77" spans="1:6">
      <c r="A77" s="1286" t="s">
        <v>66</v>
      </c>
      <c r="B77" s="1286" t="s">
        <v>771</v>
      </c>
      <c r="C77" s="1297" t="s">
        <v>769</v>
      </c>
      <c r="D77" s="335">
        <v>104939549</v>
      </c>
      <c r="E77" s="335">
        <v>114969355.61658096</v>
      </c>
    </row>
    <row r="78" spans="1:6">
      <c r="A78" s="1282" t="s">
        <v>66</v>
      </c>
      <c r="B78" s="1282" t="s">
        <v>772</v>
      </c>
      <c r="C78" s="1282" t="s">
        <v>770</v>
      </c>
      <c r="D78" s="1282">
        <v>12507224</v>
      </c>
      <c r="E78" s="1282">
        <v>13147220.158165999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117789.56215657182</v>
      </c>
      <c r="C83" s="335">
        <v>114165.90437032624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12</v>
      </c>
    </row>
    <row r="90" spans="1:6">
      <c r="A90" s="1286" t="s">
        <v>567</v>
      </c>
      <c r="B90" s="1301">
        <v>0</v>
      </c>
    </row>
    <row r="91" spans="1:6">
      <c r="A91" s="1286" t="s">
        <v>68</v>
      </c>
      <c r="B91" s="335">
        <v>1021.4899521600743</v>
      </c>
    </row>
    <row r="92" spans="1:6">
      <c r="A92" s="1282" t="s">
        <v>69</v>
      </c>
      <c r="B92" s="338">
        <v>289.35774111717643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1048</v>
      </c>
    </row>
    <row r="98" spans="1:6">
      <c r="A98" s="1286" t="s">
        <v>72</v>
      </c>
      <c r="B98" s="335">
        <v>1</v>
      </c>
    </row>
    <row r="99" spans="1:6">
      <c r="A99" s="1286" t="s">
        <v>73</v>
      </c>
      <c r="B99" s="335">
        <v>17</v>
      </c>
    </row>
    <row r="100" spans="1:6">
      <c r="A100" s="1286" t="s">
        <v>74</v>
      </c>
      <c r="B100" s="335">
        <v>119</v>
      </c>
    </row>
    <row r="101" spans="1:6">
      <c r="A101" s="1286" t="s">
        <v>75</v>
      </c>
      <c r="B101" s="335">
        <v>28</v>
      </c>
    </row>
    <row r="102" spans="1:6">
      <c r="A102" s="1286" t="s">
        <v>76</v>
      </c>
      <c r="B102" s="335">
        <v>31</v>
      </c>
    </row>
    <row r="103" spans="1:6">
      <c r="A103" s="1286" t="s">
        <v>77</v>
      </c>
      <c r="B103" s="335">
        <v>100</v>
      </c>
    </row>
    <row r="104" spans="1:6">
      <c r="A104" s="1286" t="s">
        <v>78</v>
      </c>
      <c r="B104" s="335">
        <v>1043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22</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30659.944458310802</v>
      </c>
      <c r="C3" s="44" t="s">
        <v>170</v>
      </c>
      <c r="D3" s="44"/>
      <c r="E3" s="157"/>
      <c r="F3" s="44"/>
      <c r="G3" s="44"/>
      <c r="H3" s="44"/>
      <c r="I3" s="44"/>
      <c r="J3" s="44"/>
      <c r="K3" s="97"/>
    </row>
    <row r="4" spans="1:11">
      <c r="A4" s="365" t="s">
        <v>171</v>
      </c>
      <c r="B4" s="50">
        <f>IF(ISERROR('SEAP template'!B78),0,'SEAP template'!B78)</f>
        <v>2065.347693277251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0.20611276363090256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1060.7142857142858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389.66500000000002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389.66500000000002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0.20611276363090256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80.314930040235652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11046.556868289299</v>
      </c>
      <c r="C5" s="18">
        <f>IF(ISERROR('Eigen informatie GS &amp; warmtenet'!B57),0,'Eigen informatie GS &amp; warmtenet'!B57)</f>
        <v>0</v>
      </c>
      <c r="D5" s="31">
        <f>(SUM(HH_hh_gas_kWh,HH_rest_gas_kWh)/1000)*0.902</f>
        <v>31375.729635582022</v>
      </c>
      <c r="E5" s="18">
        <f>B46*B57</f>
        <v>1110.1523457930027</v>
      </c>
      <c r="F5" s="18">
        <f>B51*B62</f>
        <v>8721.0808791616619</v>
      </c>
      <c r="G5" s="19"/>
      <c r="H5" s="18"/>
      <c r="I5" s="18"/>
      <c r="J5" s="18">
        <f>B50*B61+C50*C61</f>
        <v>1047.6930248741348</v>
      </c>
      <c r="K5" s="18"/>
      <c r="L5" s="18"/>
      <c r="M5" s="18"/>
      <c r="N5" s="18">
        <f>B48*B59+C48*C59</f>
        <v>5938.0865785812493</v>
      </c>
      <c r="O5" s="18">
        <f>B69*B70*B71</f>
        <v>37.520000000000003</v>
      </c>
      <c r="P5" s="18">
        <f>B77*B78*B79/1000-B77*B78*B79/1000/B80</f>
        <v>76.266666666666666</v>
      </c>
    </row>
    <row r="6" spans="1:16">
      <c r="A6" s="17" t="s">
        <v>639</v>
      </c>
      <c r="B6" s="780">
        <f>kWh_PV_kleiner_dan_10kW</f>
        <v>1021.4899521600743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12068.046820449374</v>
      </c>
      <c r="C8" s="22">
        <f>C5</f>
        <v>0</v>
      </c>
      <c r="D8" s="22">
        <f>D5</f>
        <v>31375.729635582022</v>
      </c>
      <c r="E8" s="22">
        <f>E5</f>
        <v>1110.1523457930027</v>
      </c>
      <c r="F8" s="22">
        <f>F5</f>
        <v>8721.0808791616619</v>
      </c>
      <c r="G8" s="22"/>
      <c r="H8" s="22"/>
      <c r="I8" s="22"/>
      <c r="J8" s="22">
        <f>J5</f>
        <v>1047.6930248741348</v>
      </c>
      <c r="K8" s="22"/>
      <c r="L8" s="22">
        <f>L5</f>
        <v>0</v>
      </c>
      <c r="M8" s="22">
        <f>M5</f>
        <v>0</v>
      </c>
      <c r="N8" s="22">
        <f>N5</f>
        <v>5938.0865785812493</v>
      </c>
      <c r="O8" s="22">
        <f>O5</f>
        <v>37.520000000000003</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0.20611276363090256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2487.3784817899468</v>
      </c>
      <c r="C12" s="24">
        <f ca="1">C10*C8</f>
        <v>0</v>
      </c>
      <c r="D12" s="24">
        <f>D8*D10</f>
        <v>6337.897386387569</v>
      </c>
      <c r="E12" s="24">
        <f>E10*E8</f>
        <v>252.00458249501162</v>
      </c>
      <c r="F12" s="24">
        <f>F10*F8</f>
        <v>2328.528594736164</v>
      </c>
      <c r="G12" s="24"/>
      <c r="H12" s="24"/>
      <c r="I12" s="24"/>
      <c r="J12" s="24">
        <f>J10*J8</f>
        <v>370.88333080544373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1048</v>
      </c>
      <c r="C18" s="169" t="s">
        <v>111</v>
      </c>
      <c r="D18" s="231"/>
      <c r="E18" s="16"/>
    </row>
    <row r="19" spans="1:7">
      <c r="A19" s="174" t="s">
        <v>72</v>
      </c>
      <c r="B19" s="38">
        <f>aantalw2001_ander</f>
        <v>1</v>
      </c>
      <c r="C19" s="169" t="s">
        <v>111</v>
      </c>
      <c r="D19" s="232"/>
      <c r="E19" s="16"/>
    </row>
    <row r="20" spans="1:7">
      <c r="A20" s="174" t="s">
        <v>73</v>
      </c>
      <c r="B20" s="38">
        <f>aantalw2001_propaan</f>
        <v>17</v>
      </c>
      <c r="C20" s="170">
        <f>IF(ISERROR(B20/SUM($B$20,$B$21,$B$22)*100),0,B20/SUM($B$20,$B$21,$B$22)*100)</f>
        <v>10.365853658536585</v>
      </c>
      <c r="D20" s="232"/>
      <c r="E20" s="16"/>
    </row>
    <row r="21" spans="1:7">
      <c r="A21" s="174" t="s">
        <v>74</v>
      </c>
      <c r="B21" s="38">
        <f>aantalw2001_elektriciteit</f>
        <v>119</v>
      </c>
      <c r="C21" s="170">
        <f>IF(ISERROR(B21/SUM($B$20,$B$21,$B$22)*100),0,B21/SUM($B$20,$B$21,$B$22)*100)</f>
        <v>72.560975609756099</v>
      </c>
      <c r="D21" s="232"/>
      <c r="E21" s="16"/>
    </row>
    <row r="22" spans="1:7">
      <c r="A22" s="174" t="s">
        <v>75</v>
      </c>
      <c r="B22" s="38">
        <f>aantalw2001_hout</f>
        <v>28</v>
      </c>
      <c r="C22" s="170">
        <f>IF(ISERROR(B22/SUM($B$20,$B$21,$B$22)*100),0,B22/SUM($B$20,$B$21,$B$22)*100)</f>
        <v>17.073170731707318</v>
      </c>
      <c r="D22" s="232"/>
      <c r="E22" s="16"/>
    </row>
    <row r="23" spans="1:7">
      <c r="A23" s="174" t="s">
        <v>76</v>
      </c>
      <c r="B23" s="38">
        <f>aantalw2001_niet_gespec</f>
        <v>31</v>
      </c>
      <c r="C23" s="169" t="s">
        <v>111</v>
      </c>
      <c r="D23" s="231"/>
      <c r="E23" s="16"/>
    </row>
    <row r="24" spans="1:7">
      <c r="A24" s="174" t="s">
        <v>77</v>
      </c>
      <c r="B24" s="38">
        <f>aantalw2001_steenkool</f>
        <v>100</v>
      </c>
      <c r="C24" s="169" t="s">
        <v>111</v>
      </c>
      <c r="D24" s="232"/>
      <c r="E24" s="16"/>
    </row>
    <row r="25" spans="1:7">
      <c r="A25" s="174" t="s">
        <v>78</v>
      </c>
      <c r="B25" s="38">
        <f>aantalw2001_stookolie</f>
        <v>1043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2681</v>
      </c>
      <c r="C28" s="37"/>
      <c r="D28" s="231"/>
    </row>
    <row r="29" spans="1:7" s="16" customFormat="1">
      <c r="A29" s="233" t="s">
        <v>666</v>
      </c>
      <c r="B29" s="38">
        <f>SUM(HH_hh_gas_aantal,HH_rest_gas_aantal)</f>
        <v>1716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1716</v>
      </c>
      <c r="C32" s="170">
        <f>IF(ISERROR(B32/SUM($B$32,$B$34,$B$35,$B$36,$B$38,$B$39)*100),0,B32/SUM($B$32,$B$34,$B$35,$B$36,$B$38,$B$39)*100)</f>
        <v>64.101606275681732</v>
      </c>
      <c r="D32" s="236"/>
      <c r="G32" s="16"/>
    </row>
    <row r="33" spans="1:7">
      <c r="A33" s="174" t="s">
        <v>72</v>
      </c>
      <c r="B33" s="35" t="s">
        <v>111</v>
      </c>
      <c r="C33" s="170"/>
      <c r="D33" s="236"/>
      <c r="G33" s="16"/>
    </row>
    <row r="34" spans="1:7">
      <c r="A34" s="174" t="s">
        <v>73</v>
      </c>
      <c r="B34" s="34">
        <f>IF((($B$28-$B$32-$B$39-$B$77-$B$38)*C20/100)&lt;0,0,($B$28-$B$32-$B$39-$B$77-$B$38)*C20/100)</f>
        <v>50.378048780487809</v>
      </c>
      <c r="C34" s="170">
        <f>IF(ISERROR(B34/SUM($B$32,$B$34,$B$35,$B$36,$B$38,$B$39)*100),0,B34/SUM($B$32,$B$34,$B$35,$B$36,$B$38,$B$39)*100)</f>
        <v>1.8818845267272251</v>
      </c>
      <c r="D34" s="236"/>
      <c r="G34" s="16"/>
    </row>
    <row r="35" spans="1:7">
      <c r="A35" s="174" t="s">
        <v>74</v>
      </c>
      <c r="B35" s="34">
        <f>IF((($B$28-$B$32-$B$39-$B$77-$B$38)*C21/100)&lt;0,0,($B$28-$B$32-$B$39-$B$77-$B$38)*C21/100)</f>
        <v>352.64634146341467</v>
      </c>
      <c r="C35" s="170">
        <f>IF(ISERROR(B35/SUM($B$32,$B$34,$B$35,$B$36,$B$38,$B$39)*100),0,B35/SUM($B$32,$B$34,$B$35,$B$36,$B$38,$B$39)*100)</f>
        <v>13.173191687090574</v>
      </c>
      <c r="D35" s="236"/>
      <c r="G35" s="16"/>
    </row>
    <row r="36" spans="1:7">
      <c r="A36" s="174" t="s">
        <v>75</v>
      </c>
      <c r="B36" s="34">
        <f>IF((($B$28-$B$32-$B$39-$B$77-$B$38)*C22/100)&lt;0,0,($B$28-$B$32-$B$39-$B$77-$B$38)*C22/100)</f>
        <v>82.975609756097583</v>
      </c>
      <c r="C36" s="170">
        <f>IF(ISERROR(B36/SUM($B$32,$B$34,$B$35,$B$36,$B$38,$B$39)*100),0,B36/SUM($B$32,$B$34,$B$35,$B$36,$B$38,$B$39)*100)</f>
        <v>3.0995745146095475</v>
      </c>
      <c r="D36" s="236"/>
      <c r="G36" s="16"/>
    </row>
    <row r="37" spans="1:7">
      <c r="A37" s="174" t="s">
        <v>76</v>
      </c>
      <c r="B37" s="35" t="s">
        <v>111</v>
      </c>
      <c r="C37" s="170"/>
      <c r="D37" s="176"/>
      <c r="G37" s="16"/>
    </row>
    <row r="38" spans="1:7">
      <c r="A38" s="174" t="s">
        <v>77</v>
      </c>
      <c r="B38" s="34">
        <f>IF((B24-(B29-B18)*0.1)&lt;0,0,B24-(B29-B18)*0.1)</f>
        <v>33.200000000000003</v>
      </c>
      <c r="C38" s="170">
        <f>IF(ISERROR(B38/SUM($B$32,$B$34,$B$35,$B$36,$B$38,$B$39)*100),0,B38/SUM($B$32,$B$34,$B$35,$B$36,$B$38,$B$39)*100)</f>
        <v>1.2401942472917447</v>
      </c>
      <c r="D38" s="237"/>
      <c r="G38" s="16"/>
    </row>
    <row r="39" spans="1:7">
      <c r="A39" s="174" t="s">
        <v>78</v>
      </c>
      <c r="B39" s="34">
        <f>IF((B25-(B29-B18))&lt;0,0,B25-(B29-B18)*0.9)</f>
        <v>441.79999999999995</v>
      </c>
      <c r="C39" s="170">
        <f>IF(ISERROR(B39/SUM($B$32,$B$34,$B$35,$B$36,$B$38,$B$39)*100),0,B39/SUM($B$32,$B$34,$B$35,$B$36,$B$38,$B$39)*100)</f>
        <v>16.503548748599176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1716</v>
      </c>
      <c r="C44" s="35" t="s">
        <v>111</v>
      </c>
      <c r="D44" s="177"/>
    </row>
    <row r="45" spans="1:7">
      <c r="A45" s="174" t="s">
        <v>72</v>
      </c>
      <c r="B45" s="34" t="str">
        <f t="shared" si="0"/>
        <v>-</v>
      </c>
      <c r="C45" s="35" t="s">
        <v>111</v>
      </c>
      <c r="D45" s="177"/>
    </row>
    <row r="46" spans="1:7">
      <c r="A46" s="174" t="s">
        <v>73</v>
      </c>
      <c r="B46" s="34">
        <f t="shared" si="0"/>
        <v>50.378048780487809</v>
      </c>
      <c r="C46" s="35" t="s">
        <v>111</v>
      </c>
      <c r="D46" s="177"/>
    </row>
    <row r="47" spans="1:7">
      <c r="A47" s="174" t="s">
        <v>74</v>
      </c>
      <c r="B47" s="34">
        <f t="shared" si="0"/>
        <v>352.64634146341467</v>
      </c>
      <c r="C47" s="35" t="s">
        <v>111</v>
      </c>
      <c r="D47" s="177"/>
    </row>
    <row r="48" spans="1:7">
      <c r="A48" s="174" t="s">
        <v>75</v>
      </c>
      <c r="B48" s="34">
        <f t="shared" si="0"/>
        <v>82.975609756097583</v>
      </c>
      <c r="C48" s="34">
        <f>B48*10</f>
        <v>829.75609756097583</v>
      </c>
      <c r="D48" s="237"/>
    </row>
    <row r="49" spans="1:6">
      <c r="A49" s="174" t="s">
        <v>76</v>
      </c>
      <c r="B49" s="34" t="str">
        <f t="shared" si="0"/>
        <v>-</v>
      </c>
      <c r="C49" s="35" t="s">
        <v>111</v>
      </c>
      <c r="D49" s="237"/>
    </row>
    <row r="50" spans="1:6">
      <c r="A50" s="174" t="s">
        <v>77</v>
      </c>
      <c r="B50" s="34">
        <f t="shared" si="0"/>
        <v>33.200000000000003</v>
      </c>
      <c r="C50" s="34">
        <f>B50*2</f>
        <v>66.400000000000006</v>
      </c>
      <c r="D50" s="237"/>
    </row>
    <row r="51" spans="1:6">
      <c r="A51" s="174" t="s">
        <v>78</v>
      </c>
      <c r="B51" s="34">
        <f t="shared" si="0"/>
        <v>441.79999999999995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4654.9463532579784</v>
      </c>
      <c r="C5" s="18">
        <f>IF(ISERROR('Eigen informatie GS &amp; warmtenet'!B58),0,'Eigen informatie GS &amp; warmtenet'!B58)</f>
        <v>0</v>
      </c>
      <c r="D5" s="31">
        <f>SUM(D6:D12)</f>
        <v>6808.7138062197973</v>
      </c>
      <c r="E5" s="18">
        <f>SUM(E6:E12)</f>
        <v>49.0737736215615</v>
      </c>
      <c r="F5" s="18">
        <f>SUM(F6:F12)</f>
        <v>849.19556511567453</v>
      </c>
      <c r="G5" s="19"/>
      <c r="H5" s="18"/>
      <c r="I5" s="18"/>
      <c r="J5" s="18">
        <f>SUM(J6:J12)</f>
        <v>0</v>
      </c>
      <c r="K5" s="18"/>
      <c r="L5" s="18"/>
      <c r="M5" s="18"/>
      <c r="N5" s="18">
        <f>SUM(N6:N12)</f>
        <v>172.45814239508587</v>
      </c>
      <c r="O5" s="18">
        <f>B38*B39*B40</f>
        <v>0</v>
      </c>
      <c r="P5" s="18">
        <f>B46*B47*B48/1000-B46*B47*B48/1000/B49</f>
        <v>0</v>
      </c>
      <c r="R5" s="33"/>
    </row>
    <row r="6" spans="1:18">
      <c r="A6" s="33" t="s">
        <v>54</v>
      </c>
      <c r="B6" s="38">
        <f>B26</f>
        <v>1325.39128614897</v>
      </c>
      <c r="C6" s="34"/>
      <c r="D6" s="38">
        <f>IF(ISERROR(TER_kantoor_gas_kWh/1000),0,TER_kantoor_gas_kWh/1000)*0.902</f>
        <v>2766.9782404864864</v>
      </c>
      <c r="E6" s="34">
        <f>$C$26*'E Balans VL '!I12/100/3.6*1000000</f>
        <v>2.17523572537461</v>
      </c>
      <c r="F6" s="34">
        <f>$C$26*('E Balans VL '!L12+'E Balans VL '!N12)/100/3.6*1000000</f>
        <v>156.23244787347488</v>
      </c>
      <c r="G6" s="35"/>
      <c r="H6" s="34"/>
      <c r="I6" s="34"/>
      <c r="J6" s="34">
        <f>$C$26*('E Balans VL '!D12+'E Balans VL '!E12)/100/3.6*1000000</f>
        <v>0</v>
      </c>
      <c r="K6" s="34"/>
      <c r="L6" s="34"/>
      <c r="M6" s="34"/>
      <c r="N6" s="34">
        <f>$C$26*'E Balans VL '!Y12/100/3.6*1000000</f>
        <v>0.26778903312483993</v>
      </c>
      <c r="O6" s="34"/>
      <c r="P6" s="34"/>
      <c r="R6" s="33"/>
    </row>
    <row r="7" spans="1:18">
      <c r="A7" s="33" t="s">
        <v>53</v>
      </c>
      <c r="B7" s="38">
        <f t="shared" ref="B7:B12" si="0">B27</f>
        <v>484.85893309756398</v>
      </c>
      <c r="C7" s="34"/>
      <c r="D7" s="38">
        <f>IF(ISERROR(TER_horeca_gas_kWh/1000),0,TER_horeca_gas_kWh/1000)*0.902</f>
        <v>871.89772287130177</v>
      </c>
      <c r="E7" s="34">
        <f>$C$27*'E Balans VL '!I9/100/3.6*1000000</f>
        <v>25.160670113444265</v>
      </c>
      <c r="F7" s="34">
        <f>$C$27*('E Balans VL '!L9+'E Balans VL '!N9)/100/3.6*1000000</f>
        <v>110.6451603482496</v>
      </c>
      <c r="G7" s="35"/>
      <c r="H7" s="34"/>
      <c r="I7" s="34"/>
      <c r="J7" s="34">
        <f>$C$27*('E Balans VL '!D9+'E Balans VL '!E9)/100/3.6*1000000</f>
        <v>0</v>
      </c>
      <c r="K7" s="34"/>
      <c r="L7" s="34"/>
      <c r="M7" s="34"/>
      <c r="N7" s="34">
        <f>$C$27*'E Balans VL '!Y9/100/3.6*1000000</f>
        <v>5.120088113880282E-2</v>
      </c>
      <c r="O7" s="34"/>
      <c r="P7" s="34"/>
      <c r="R7" s="33"/>
    </row>
    <row r="8" spans="1:18">
      <c r="A8" s="6" t="s">
        <v>52</v>
      </c>
      <c r="B8" s="38">
        <f t="shared" si="0"/>
        <v>786.47344507406694</v>
      </c>
      <c r="C8" s="34"/>
      <c r="D8" s="38">
        <f>IF(ISERROR(TER_handel_gas_kWh/1000),0,TER_handel_gas_kWh/1000)*0.902</f>
        <v>821.47316015518595</v>
      </c>
      <c r="E8" s="34">
        <f>$C$28*'E Balans VL '!I13/100/3.6*1000000</f>
        <v>4.235256146465125</v>
      </c>
      <c r="F8" s="34">
        <f>$C$28*('E Balans VL '!L13+'E Balans VL '!N13)/100/3.6*1000000</f>
        <v>160.38530733635974</v>
      </c>
      <c r="G8" s="35"/>
      <c r="H8" s="34"/>
      <c r="I8" s="34"/>
      <c r="J8" s="34">
        <f>$C$28*('E Balans VL '!D13+'E Balans VL '!E13)/100/3.6*1000000</f>
        <v>0</v>
      </c>
      <c r="K8" s="34"/>
      <c r="L8" s="34"/>
      <c r="M8" s="34"/>
      <c r="N8" s="34">
        <f>$C$28*'E Balans VL '!Y13/100/3.6*1000000</f>
        <v>3.910717117626286</v>
      </c>
      <c r="O8" s="34"/>
      <c r="P8" s="34"/>
      <c r="R8" s="33"/>
    </row>
    <row r="9" spans="1:18">
      <c r="A9" s="33" t="s">
        <v>51</v>
      </c>
      <c r="B9" s="38">
        <f t="shared" si="0"/>
        <v>7.0192579006243996</v>
      </c>
      <c r="C9" s="34"/>
      <c r="D9" s="38">
        <f>IF(ISERROR(TER_gezond_gas_kWh/1000),0,TER_gezond_gas_kWh/1000)*0.902</f>
        <v>0</v>
      </c>
      <c r="E9" s="34">
        <f>$C$29*'E Balans VL '!I10/100/3.6*1000000</f>
        <v>6.9561644021892714E-3</v>
      </c>
      <c r="F9" s="34">
        <f>$C$29*('E Balans VL '!L10+'E Balans VL '!N10)/100/3.6*1000000</f>
        <v>2.4354801691696477</v>
      </c>
      <c r="G9" s="35"/>
      <c r="H9" s="34"/>
      <c r="I9" s="34"/>
      <c r="J9" s="34">
        <f>$C$29*('E Balans VL '!D10+'E Balans VL '!E10)/100/3.6*1000000</f>
        <v>0</v>
      </c>
      <c r="K9" s="34"/>
      <c r="L9" s="34"/>
      <c r="M9" s="34"/>
      <c r="N9" s="34">
        <f>$C$29*'E Balans VL '!Y10/100/3.6*1000000</f>
        <v>6.0484337254283822E-2</v>
      </c>
      <c r="O9" s="34"/>
      <c r="P9" s="34"/>
      <c r="R9" s="33"/>
    </row>
    <row r="10" spans="1:18">
      <c r="A10" s="33" t="s">
        <v>50</v>
      </c>
      <c r="B10" s="38">
        <f t="shared" si="0"/>
        <v>68.055585712687304</v>
      </c>
      <c r="C10" s="34"/>
      <c r="D10" s="38">
        <f>IF(ISERROR(TER_ander_gas_kWh/1000),0,TER_ander_gas_kWh/1000)*0.902</f>
        <v>134.64975785148118</v>
      </c>
      <c r="E10" s="34">
        <f>$C$30*'E Balans VL '!I14/100/3.6*1000000</f>
        <v>0.55676270784369863</v>
      </c>
      <c r="F10" s="34">
        <f>$C$30*('E Balans VL '!L14+'E Balans VL '!N14)/100/3.6*1000000</f>
        <v>19.896682604744463</v>
      </c>
      <c r="G10" s="35"/>
      <c r="H10" s="34"/>
      <c r="I10" s="34"/>
      <c r="J10" s="34">
        <f>$C$30*('E Balans VL '!D14+'E Balans VL '!E14)/100/3.6*1000000</f>
        <v>0</v>
      </c>
      <c r="K10" s="34"/>
      <c r="L10" s="34"/>
      <c r="M10" s="34"/>
      <c r="N10" s="34">
        <f>$C$30*'E Balans VL '!Y14/100/3.6*1000000</f>
        <v>39.259143308869618</v>
      </c>
      <c r="O10" s="34"/>
      <c r="P10" s="34"/>
      <c r="R10" s="33"/>
    </row>
    <row r="11" spans="1:18">
      <c r="A11" s="33" t="s">
        <v>55</v>
      </c>
      <c r="B11" s="38">
        <f t="shared" si="0"/>
        <v>24.4492372842154</v>
      </c>
      <c r="C11" s="34"/>
      <c r="D11" s="38">
        <f>IF(ISERROR(TER_onderwijs_gas_kWh/1000),0,TER_onderwijs_gas_kWh/1000)*0.902</f>
        <v>0</v>
      </c>
      <c r="E11" s="34">
        <f>$C$31*'E Balans VL '!I11/100/3.6*1000000</f>
        <v>1.5069478246248665E-2</v>
      </c>
      <c r="F11" s="34">
        <f>$C$31*('E Balans VL '!L11+'E Balans VL '!N11)/100/3.6*1000000</f>
        <v>9.4524710813904917</v>
      </c>
      <c r="G11" s="35"/>
      <c r="H11" s="34"/>
      <c r="I11" s="34"/>
      <c r="J11" s="34">
        <f>$C$31*('E Balans VL '!D11+'E Balans VL '!E11)/100/3.6*1000000</f>
        <v>0</v>
      </c>
      <c r="K11" s="34"/>
      <c r="L11" s="34"/>
      <c r="M11" s="34"/>
      <c r="N11" s="34">
        <f>$C$31*'E Balans VL '!Y11/100/3.6*1000000</f>
        <v>7.9528129525870572E-2</v>
      </c>
      <c r="O11" s="34"/>
      <c r="P11" s="34"/>
      <c r="R11" s="33"/>
    </row>
    <row r="12" spans="1:18">
      <c r="A12" s="33" t="s">
        <v>260</v>
      </c>
      <c r="B12" s="38">
        <f t="shared" si="0"/>
        <v>1958.6986080398499</v>
      </c>
      <c r="C12" s="34"/>
      <c r="D12" s="38">
        <f>IF(ISERROR(TER_rest_gas_kWh/1000),0,TER_rest_gas_kWh/1000)*0.902</f>
        <v>2213.7149248553424</v>
      </c>
      <c r="E12" s="34">
        <f>$C$32*'E Balans VL '!I8/100/3.6*1000000</f>
        <v>16.923823285785364</v>
      </c>
      <c r="F12" s="34">
        <f>$C$32*('E Balans VL '!L8+'E Balans VL '!N8)/100/3.6*1000000</f>
        <v>390.14801570228565</v>
      </c>
      <c r="G12" s="35"/>
      <c r="H12" s="34"/>
      <c r="I12" s="34"/>
      <c r="J12" s="34">
        <f>$C$32*('E Balans VL '!D8+'E Balans VL '!E8)/100/3.6*1000000</f>
        <v>0</v>
      </c>
      <c r="K12" s="34"/>
      <c r="L12" s="34"/>
      <c r="M12" s="34"/>
      <c r="N12" s="34">
        <f>$C$32*'E Balans VL '!Y8/100/3.6*1000000</f>
        <v>128.82927958754618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4654.9463532579784</v>
      </c>
      <c r="C16" s="22">
        <f t="shared" ca="1" si="1"/>
        <v>0</v>
      </c>
      <c r="D16" s="22">
        <f t="shared" ca="1" si="1"/>
        <v>6808.7138062197973</v>
      </c>
      <c r="E16" s="22">
        <f t="shared" si="1"/>
        <v>49.0737736215615</v>
      </c>
      <c r="F16" s="22">
        <f t="shared" ca="1" si="1"/>
        <v>849.19556511567453</v>
      </c>
      <c r="G16" s="22">
        <f t="shared" si="1"/>
        <v>0</v>
      </c>
      <c r="H16" s="22">
        <f t="shared" si="1"/>
        <v>0</v>
      </c>
      <c r="I16" s="22">
        <f t="shared" si="1"/>
        <v>0</v>
      </c>
      <c r="J16" s="22">
        <f t="shared" si="1"/>
        <v>0</v>
      </c>
      <c r="K16" s="22">
        <f t="shared" si="1"/>
        <v>0</v>
      </c>
      <c r="L16" s="22">
        <f t="shared" ca="1" si="1"/>
        <v>0</v>
      </c>
      <c r="M16" s="22">
        <f t="shared" si="1"/>
        <v>0</v>
      </c>
      <c r="N16" s="22">
        <f t="shared" ca="1" si="1"/>
        <v>172.45814239508587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0.20611276363090256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959.4438574235935</v>
      </c>
      <c r="C20" s="24">
        <f t="shared" ref="C20:P20" ca="1" si="2">C16*C18</f>
        <v>0</v>
      </c>
      <c r="D20" s="24">
        <f t="shared" ca="1" si="2"/>
        <v>1375.3601888563992</v>
      </c>
      <c r="E20" s="24">
        <f t="shared" si="2"/>
        <v>11.139746612094461</v>
      </c>
      <c r="F20" s="24">
        <f t="shared" ca="1" si="2"/>
        <v>226.73521588588511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1325.39128614897</v>
      </c>
      <c r="C26" s="40">
        <f>IF(ISERROR(B26*3.6/1000000/'E Balans VL '!Z12*100),0,B26*3.6/1000000/'E Balans VL '!Z12*100)</f>
        <v>2.8163614351429268E-2</v>
      </c>
      <c r="D26" s="240" t="s">
        <v>707</v>
      </c>
      <c r="F26" s="6"/>
    </row>
    <row r="27" spans="1:18">
      <c r="A27" s="234" t="s">
        <v>53</v>
      </c>
      <c r="B27" s="34">
        <f>IF(ISERROR(TER_horeca_ele_kWh/1000),0,TER_horeca_ele_kWh/1000)</f>
        <v>484.85893309756398</v>
      </c>
      <c r="C27" s="40">
        <f>IF(ISERROR(B27*3.6/1000000/'E Balans VL '!Z9*100),0,B27*3.6/1000000/'E Balans VL '!Z9*100)</f>
        <v>3.8162147432648064E-2</v>
      </c>
      <c r="D27" s="240" t="s">
        <v>707</v>
      </c>
      <c r="F27" s="6"/>
    </row>
    <row r="28" spans="1:18">
      <c r="A28" s="174" t="s">
        <v>52</v>
      </c>
      <c r="B28" s="34">
        <f>IF(ISERROR(TER_handel_ele_kWh/1000),0,TER_handel_ele_kWh/1000)</f>
        <v>786.47344507406694</v>
      </c>
      <c r="C28" s="40">
        <f>IF(ISERROR(B28*3.6/1000000/'E Balans VL '!Z13*100),0,B28*3.6/1000000/'E Balans VL '!Z13*100)</f>
        <v>2.202954210049525E-2</v>
      </c>
      <c r="D28" s="240" t="s">
        <v>707</v>
      </c>
      <c r="F28" s="6"/>
    </row>
    <row r="29" spans="1:18">
      <c r="A29" s="234" t="s">
        <v>51</v>
      </c>
      <c r="B29" s="34">
        <f>IF(ISERROR(TER_gezond_ele_kWh/1000),0,TER_gezond_ele_kWh/1000)</f>
        <v>7.0192579006243996</v>
      </c>
      <c r="C29" s="40">
        <f>IF(ISERROR(B29*3.6/1000000/'E Balans VL '!Z10*100),0,B29*3.6/1000000/'E Balans VL '!Z10*100)</f>
        <v>8.9797533930038257E-4</v>
      </c>
      <c r="D29" s="240" t="s">
        <v>707</v>
      </c>
      <c r="F29" s="6"/>
    </row>
    <row r="30" spans="1:18">
      <c r="A30" s="234" t="s">
        <v>50</v>
      </c>
      <c r="B30" s="34">
        <f>IF(ISERROR(TER_ander_ele_kWh/1000),0,TER_ander_ele_kWh/1000)</f>
        <v>68.055585712687304</v>
      </c>
      <c r="C30" s="40">
        <f>IF(ISERROR(B30*3.6/1000000/'E Balans VL '!Z14*100),0,B30*3.6/1000000/'E Balans VL '!Z14*100)</f>
        <v>5.0899843649263171E-3</v>
      </c>
      <c r="D30" s="240" t="s">
        <v>707</v>
      </c>
      <c r="F30" s="6"/>
    </row>
    <row r="31" spans="1:18">
      <c r="A31" s="234" t="s">
        <v>55</v>
      </c>
      <c r="B31" s="34">
        <f>IF(ISERROR(TER_onderwijs_ele_kWh/1000),0,TER_onderwijs_ele_kWh/1000)</f>
        <v>24.4492372842154</v>
      </c>
      <c r="C31" s="40">
        <f>IF(ISERROR(B31*3.6/1000000/'E Balans VL '!Z11*100),0,B31*3.6/1000000/'E Balans VL '!Z11*100)</f>
        <v>5.1624881224193817E-3</v>
      </c>
      <c r="D31" s="240" t="s">
        <v>707</v>
      </c>
    </row>
    <row r="32" spans="1:18">
      <c r="A32" s="234" t="s">
        <v>260</v>
      </c>
      <c r="B32" s="34">
        <f>IF(ISERROR(TER_rest_ele_kWh/1000),0,TER_rest_ele_kWh/1000)</f>
        <v>1958.6986080398499</v>
      </c>
      <c r="C32" s="40">
        <f>IF(ISERROR(B32*3.6/1000000/'E Balans VL '!Z8*100),0,B32*3.6/1000000/'E Balans VL '!Z8*100)</f>
        <v>1.6135626069703517E-2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11813.885600617503</v>
      </c>
      <c r="C5" s="18">
        <f>IF(ISERROR('Eigen informatie GS &amp; warmtenet'!B59),0,'Eigen informatie GS &amp; warmtenet'!B59)</f>
        <v>0</v>
      </c>
      <c r="D5" s="31">
        <f>SUM(D6:D15)</f>
        <v>23148.044657767783</v>
      </c>
      <c r="E5" s="18">
        <f>SUM(E6:E15)</f>
        <v>113.34162942726768</v>
      </c>
      <c r="F5" s="18">
        <f>SUM(F6:F15)</f>
        <v>1633.3525227535224</v>
      </c>
      <c r="G5" s="19"/>
      <c r="H5" s="18"/>
      <c r="I5" s="18"/>
      <c r="J5" s="18">
        <f>SUM(J6:J15)</f>
        <v>13.93403260762628</v>
      </c>
      <c r="K5" s="18"/>
      <c r="L5" s="18"/>
      <c r="M5" s="18"/>
      <c r="N5" s="18">
        <f>SUM(N6:N15)</f>
        <v>224.92947125801771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34.401000000000003</v>
      </c>
      <c r="C8" s="34"/>
      <c r="D8" s="38">
        <f>IF( ISERROR(IND_metaal_Gas_kWH/1000),0,IND_metaal_Gas_kWH/1000)*0.902</f>
        <v>0</v>
      </c>
      <c r="E8" s="34">
        <f>C30*'E Balans VL '!I18/100/3.6*1000000</f>
        <v>0.31328370751479512</v>
      </c>
      <c r="F8" s="34">
        <f>C30*'E Balans VL '!L18/100/3.6*1000000+C30*'E Balans VL '!N18/100/3.6*1000000</f>
        <v>4.5372306543189653</v>
      </c>
      <c r="G8" s="35"/>
      <c r="H8" s="34"/>
      <c r="I8" s="34"/>
      <c r="J8" s="41">
        <f>C30*'E Balans VL '!D18/100/3.6*1000000+C30*'E Balans VL '!E18/100/3.6*1000000</f>
        <v>0.56412645154659014</v>
      </c>
      <c r="K8" s="34"/>
      <c r="L8" s="34"/>
      <c r="M8" s="34"/>
      <c r="N8" s="34">
        <f>C30*'E Balans VL '!Y18/100/3.6*1000000</f>
        <v>0.11822257123780534</v>
      </c>
      <c r="O8" s="34"/>
      <c r="P8" s="34"/>
      <c r="R8" s="33"/>
    </row>
    <row r="9" spans="1:18">
      <c r="A9" s="6" t="s">
        <v>33</v>
      </c>
      <c r="B9" s="38">
        <f t="shared" si="0"/>
        <v>136.02496239190302</v>
      </c>
      <c r="C9" s="34"/>
      <c r="D9" s="38">
        <f>IF( ISERROR(IND_andere_gas_kWh/1000),0,IND_andere_gas_kWh/1000)*0.902</f>
        <v>315.61042962259728</v>
      </c>
      <c r="E9" s="34">
        <f>C31*'E Balans VL '!I19/100/3.6*1000000</f>
        <v>0.78624460987450151</v>
      </c>
      <c r="F9" s="34">
        <f>C31*'E Balans VL '!L19/100/3.6*1000000+C31*'E Balans VL '!N19/100/3.6*1000000</f>
        <v>108.21440284494359</v>
      </c>
      <c r="G9" s="35"/>
      <c r="H9" s="34"/>
      <c r="I9" s="34"/>
      <c r="J9" s="41">
        <f>C31*'E Balans VL '!D19/100/3.6*1000000+C31*'E Balans VL '!E19/100/3.6*1000000</f>
        <v>1.2866450519786838E-2</v>
      </c>
      <c r="K9" s="34"/>
      <c r="L9" s="34"/>
      <c r="M9" s="34"/>
      <c r="N9" s="34">
        <f>C31*'E Balans VL '!Y19/100/3.6*1000000</f>
        <v>10.305949408736264</v>
      </c>
      <c r="O9" s="34"/>
      <c r="P9" s="34"/>
      <c r="R9" s="33"/>
    </row>
    <row r="10" spans="1:18">
      <c r="A10" s="6" t="s">
        <v>41</v>
      </c>
      <c r="B10" s="38">
        <f t="shared" si="0"/>
        <v>8994.3848776594004</v>
      </c>
      <c r="C10" s="34"/>
      <c r="D10" s="38">
        <f>IF( ISERROR(IND_voed_gas_kWh/1000),0,IND_voed_gas_kWh/1000)*0.902</f>
        <v>22229.509162748294</v>
      </c>
      <c r="E10" s="34">
        <f>C32*'E Balans VL '!I20/100/3.6*1000000</f>
        <v>88.438334019214594</v>
      </c>
      <c r="F10" s="34">
        <f>C32*'E Balans VL '!L20/100/3.6*1000000+C32*'E Balans VL '!N20/100/3.6*1000000</f>
        <v>998.94384117140567</v>
      </c>
      <c r="G10" s="35"/>
      <c r="H10" s="34"/>
      <c r="I10" s="34"/>
      <c r="J10" s="41">
        <f>C32*'E Balans VL '!D20/100/3.6*1000000+C32*'E Balans VL '!E20/100/3.6*1000000</f>
        <v>3.5450954007894303E-2</v>
      </c>
      <c r="K10" s="34"/>
      <c r="L10" s="34"/>
      <c r="M10" s="34"/>
      <c r="N10" s="34">
        <f>C32*'E Balans VL '!Y20/100/3.6*1000000</f>
        <v>133.18568301478973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2649.0747605662</v>
      </c>
      <c r="C15" s="34"/>
      <c r="D15" s="38">
        <f>IF( ISERROR(IND_rest_gas_kWh/1000),0,IND_rest_gas_kWh/1000)*0.902</f>
        <v>602.92506539689043</v>
      </c>
      <c r="E15" s="34">
        <f>C37*'E Balans VL '!I15/100/3.6*1000000</f>
        <v>23.803767090663779</v>
      </c>
      <c r="F15" s="34">
        <f>C37*'E Balans VL '!L15/100/3.6*1000000+C37*'E Balans VL '!N15/100/3.6*1000000</f>
        <v>521.6570480828542</v>
      </c>
      <c r="G15" s="35"/>
      <c r="H15" s="34"/>
      <c r="I15" s="34"/>
      <c r="J15" s="41">
        <f>C37*'E Balans VL '!D15/100/3.6*1000000+C37*'E Balans VL '!E15/100/3.6*1000000</f>
        <v>13.321588751552008</v>
      </c>
      <c r="K15" s="34"/>
      <c r="L15" s="34"/>
      <c r="M15" s="34"/>
      <c r="N15" s="34">
        <f>C37*'E Balans VL '!Y15/100/3.6*1000000</f>
        <v>81.319616263253906</v>
      </c>
      <c r="O15" s="34"/>
      <c r="P15" s="34"/>
      <c r="R15" s="33"/>
    </row>
    <row r="16" spans="1:18">
      <c r="A16" s="17" t="s">
        <v>502</v>
      </c>
      <c r="B16" s="250">
        <f>'lokale energieproductie'!N90+'lokale energieproductie'!N59</f>
        <v>742.5</v>
      </c>
      <c r="C16" s="250">
        <f>'lokale energieproductie'!O90+'lokale energieproductie'!O59</f>
        <v>1060.7142857142858</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-2121.4285714285716</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12556.385600617503</v>
      </c>
      <c r="C18" s="22">
        <f>C5+C16</f>
        <v>1060.7142857142858</v>
      </c>
      <c r="D18" s="22">
        <f>MAX((D5+D16),0)</f>
        <v>23148.044657767783</v>
      </c>
      <c r="E18" s="22">
        <f>MAX((E5+E16),0)</f>
        <v>113.34162942726768</v>
      </c>
      <c r="F18" s="22">
        <f>MAX((F5+F16),0)</f>
        <v>1633.3525227535224</v>
      </c>
      <c r="G18" s="22"/>
      <c r="H18" s="22"/>
      <c r="I18" s="22"/>
      <c r="J18" s="22">
        <f>MAX((J5+J16),0)</f>
        <v>13.93403260762628</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0.20611276363090256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2588.0313373585436</v>
      </c>
      <c r="C22" s="24">
        <f ca="1">C18*C20</f>
        <v>0</v>
      </c>
      <c r="D22" s="24">
        <f>D18*D20</f>
        <v>4675.9050208690924</v>
      </c>
      <c r="E22" s="24">
        <f>E18*E20</f>
        <v>25.728549879989764</v>
      </c>
      <c r="F22" s="24">
        <f>F18*F20</f>
        <v>436.10512357519053</v>
      </c>
      <c r="G22" s="24"/>
      <c r="H22" s="24"/>
      <c r="I22" s="24"/>
      <c r="J22" s="24">
        <f>J18*J20</f>
        <v>4.9326475430997032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34.401000000000003</v>
      </c>
      <c r="C30" s="40">
        <f>IF(ISERROR(B30*3.6/1000000/'E Balans VL '!Z18*100),0,B30*3.6/1000000/'E Balans VL '!Z18*100)</f>
        <v>1.9141856124866622E-3</v>
      </c>
      <c r="D30" s="240" t="s">
        <v>707</v>
      </c>
    </row>
    <row r="31" spans="1:18">
      <c r="A31" s="6" t="s">
        <v>33</v>
      </c>
      <c r="B31" s="38">
        <f>IF( ISERROR(IND_ander_ele_kWh/1000),0,IND_ander_ele_kWh/1000)</f>
        <v>136.02496239190302</v>
      </c>
      <c r="C31" s="40">
        <f>IF(ISERROR(B31*3.6/1000000/'E Balans VL '!Z19*100),0,B31*3.6/1000000/'E Balans VL '!Z19*100)</f>
        <v>6.3234432588713477E-3</v>
      </c>
      <c r="D31" s="240" t="s">
        <v>707</v>
      </c>
    </row>
    <row r="32" spans="1:18">
      <c r="A32" s="174" t="s">
        <v>41</v>
      </c>
      <c r="B32" s="38">
        <f>IF( ISERROR(IND_voed_ele_kWh/1000),0,IND_voed_ele_kWh/1000)</f>
        <v>8994.3848776594004</v>
      </c>
      <c r="C32" s="40">
        <f>IF(ISERROR(B32*3.6/1000000/'E Balans VL '!Z20*100),0,B32*3.6/1000000/'E Balans VL '!Z20*100)</f>
        <v>0.31793334049570671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2649.0747605662</v>
      </c>
      <c r="C37" s="40">
        <f>IF(ISERROR(B37*3.6/1000000/'E Balans VL '!Z15*100),0,B37*3.6/1000000/'E Balans VL '!Z15*100)</f>
        <v>2.0004427717441944E-2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551.63244210956202</v>
      </c>
      <c r="C5" s="18">
        <f>'Eigen informatie GS &amp; warmtenet'!B60</f>
        <v>0</v>
      </c>
      <c r="D5" s="31">
        <f>IF(ISERROR(SUM(LB_lb_gas_kWh,LB_rest_gas_kWh)/1000),0,SUM(LB_lb_gas_kWh,LB_rest_gas_kWh)/1000)*0.902</f>
        <v>132.8860964581433</v>
      </c>
      <c r="E5" s="18">
        <f>B17*'E Balans VL '!I25/3.6*1000000/100</f>
        <v>5.1967472105325037</v>
      </c>
      <c r="F5" s="18">
        <f>B17*('E Balans VL '!L25/3.6*1000000+'E Balans VL '!N25/3.6*1000000)/100</f>
        <v>1800.1597293331679</v>
      </c>
      <c r="G5" s="19"/>
      <c r="H5" s="18"/>
      <c r="I5" s="18"/>
      <c r="J5" s="18">
        <f>('E Balans VL '!D25+'E Balans VL '!E25)/3.6*1000000*landbouw!B17/100</f>
        <v>68.239616228635825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551.63244210956202</v>
      </c>
      <c r="C8" s="22">
        <f>C5+C6</f>
        <v>0</v>
      </c>
      <c r="D8" s="22">
        <f>MAX((D5+D6),0)</f>
        <v>132.8860964581433</v>
      </c>
      <c r="E8" s="22">
        <f>MAX((E5+E6),0)</f>
        <v>5.1967472105325037</v>
      </c>
      <c r="F8" s="22">
        <f>MAX((F5+F6),0)</f>
        <v>1800.1597293331679</v>
      </c>
      <c r="G8" s="22"/>
      <c r="H8" s="22"/>
      <c r="I8" s="22"/>
      <c r="J8" s="22">
        <f>MAX((J5+J6),0)</f>
        <v>68.239616228635825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0.20611276363090256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113.69848715166569</v>
      </c>
      <c r="C12" s="24">
        <f ca="1">C8*C10</f>
        <v>0</v>
      </c>
      <c r="D12" s="24">
        <f>D8*D10</f>
        <v>26.84299148454495</v>
      </c>
      <c r="E12" s="24">
        <f>E8*E10</f>
        <v>1.1796616167908784</v>
      </c>
      <c r="F12" s="24">
        <f>F8*F10</f>
        <v>480.64264773195583</v>
      </c>
      <c r="G12" s="24"/>
      <c r="H12" s="24"/>
      <c r="I12" s="24"/>
      <c r="J12" s="24">
        <f>J8*J10</f>
        <v>24.15682414493708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7.4682217856992361E-2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79.779562782729769</v>
      </c>
      <c r="C26" s="250">
        <f>B26*'GWP N2O_CH4'!B5</f>
        <v>1675.3708184373252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39.758899042940428</v>
      </c>
      <c r="C27" s="250">
        <f>B27*'GWP N2O_CH4'!B5</f>
        <v>834.93687990174897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1.2567187305985763</v>
      </c>
      <c r="C28" s="250">
        <f>B28*'GWP N2O_CH4'!B4</f>
        <v>389.58280648555865</v>
      </c>
      <c r="D28" s="51"/>
    </row>
    <row r="29" spans="1:4">
      <c r="A29" s="42" t="s">
        <v>277</v>
      </c>
      <c r="B29" s="250">
        <f>B34*'ha_N2O bodem landbouw'!B4</f>
        <v>14.031088188933348</v>
      </c>
      <c r="C29" s="250">
        <f>B29*'GWP N2O_CH4'!B4</f>
        <v>4349.6373385693378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3.7879521086117839E-3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9.5769663999970727E-6</v>
      </c>
      <c r="C5" s="447" t="s">
        <v>211</v>
      </c>
      <c r="D5" s="432">
        <f>SUM(D6:D11)</f>
        <v>2.5573222519535706E-5</v>
      </c>
      <c r="E5" s="432">
        <f>SUM(E6:E11)</f>
        <v>1.7983578185235944E-3</v>
      </c>
      <c r="F5" s="445" t="s">
        <v>211</v>
      </c>
      <c r="G5" s="432">
        <f>SUM(G6:G11)</f>
        <v>0.36450884042923681</v>
      </c>
      <c r="H5" s="432">
        <f>SUM(H6:H11)</f>
        <v>5.9703263147478779E-2</v>
      </c>
      <c r="I5" s="447" t="s">
        <v>211</v>
      </c>
      <c r="J5" s="447" t="s">
        <v>211</v>
      </c>
      <c r="K5" s="447" t="s">
        <v>211</v>
      </c>
      <c r="L5" s="447" t="s">
        <v>211</v>
      </c>
      <c r="M5" s="432">
        <f>SUM(M6:M11)</f>
        <v>1.8962742653541004E-2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8.5081790802269394E-7</v>
      </c>
      <c r="C6" s="433"/>
      <c r="D6" s="433">
        <f>vkm_2011_GW_PW*SUMIFS(TableVerdeelsleutelVkm[CNG],TableVerdeelsleutelVkm[Voertuigtype],"Lichte voertuigen")*SUMIFS(TableECFTransport[EnergieConsumptieFactor (PJ per km)],TableECFTransport[Index],CONCATENATE($A6,"_CNG_CNG"))</f>
        <v>2.0777115801294924E-6</v>
      </c>
      <c r="E6" s="435">
        <f>vkm_2011_GW_PW*SUMIFS(TableVerdeelsleutelVkm[LPG],TableVerdeelsleutelVkm[Voertuigtype],"Lichte voertuigen")*SUMIFS(TableECFTransport[EnergieConsumptieFactor (PJ per km)],TableECFTransport[Index],CONCATENATE($A6,"_LPG_LPG"))</f>
        <v>1.2315600514538612E-4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1.7803649286524077E-2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4.6658249886287655E-3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1.0062244381162284E-3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1.0850213150602589E-2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4.3776379920135042E-6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4.8337363882690245E-4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7.7759646217440393E-7</v>
      </c>
      <c r="C8" s="433"/>
      <c r="D8" s="435">
        <f>vkm_2011_NGW_PW*SUMIFS(TableVerdeelsleutelVkm[CNG],TableVerdeelsleutelVkm[Voertuigtype],"Lichte voertuigen")*SUMIFS(TableECFTransport[EnergieConsumptieFactor (PJ per km)],TableECFTransport[Index],CONCATENATE($A8,"_CNG_CNG"))</f>
        <v>3.4069556539158367E-6</v>
      </c>
      <c r="E8" s="435">
        <f>vkm_2011_NGW_PW*SUMIFS(TableVerdeelsleutelVkm[LPG],TableVerdeelsleutelVkm[Voertuigtype],"Lichte voertuigen")*SUMIFS(TableECFTransport[EnergieConsumptieFactor (PJ per km)],TableECFTransport[Index],CONCATENATE($A8,"_LPG_LPG"))</f>
        <v>1.8526586842728415E-4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2.5300893250232225E-2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7.3264318600755138E-3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1.4617770560119508E-3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1.4587764613181455E-3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5.1245610391568113E-7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6.4984559188902688E-5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7.9485520297999751E-6</v>
      </c>
      <c r="C10" s="433"/>
      <c r="D10" s="435">
        <f>vkm_2011_SW_PW*SUMIFS(TableVerdeelsleutelVkm[CNG],TableVerdeelsleutelVkm[Voertuigtype],"Lichte voertuigen")*SUMIFS(TableECFTransport[EnergieConsumptieFactor (PJ per km)],TableECFTransport[Index],CONCATENATE($A10,"_CNG_CNG"))</f>
        <v>2.0088555285490378E-5</v>
      </c>
      <c r="E10" s="435">
        <f>vkm_2011_SW_PW*SUMIFS(TableVerdeelsleutelVkm[LPG],TableVerdeelsleutelVkm[Voertuigtype],"Lichte voertuigen")*SUMIFS(TableECFTransport[EnergieConsumptieFactor (PJ per km)],TableECFTransport[Index],CONCATENATE($A10,"_LPG_LPG"))</f>
        <v>1.4899359449509241E-3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0.19629072748578497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4.7657830046546369E-2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1.0920846915251638E-2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0.11280458079477487</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4.828615813220347E-5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5.0255360461453815E-3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2.6602684444436311</v>
      </c>
      <c r="C14" s="22"/>
      <c r="D14" s="22">
        <f t="shared" ref="D14:M14" si="0">((D5)*10^9/3600)+D12</f>
        <v>7.103672922093252</v>
      </c>
      <c r="E14" s="22">
        <f t="shared" si="0"/>
        <v>499.54383847877625</v>
      </c>
      <c r="F14" s="22"/>
      <c r="G14" s="22">
        <f t="shared" si="0"/>
        <v>101252.45567478801</v>
      </c>
      <c r="H14" s="22">
        <f t="shared" si="0"/>
        <v>16584.239763188551</v>
      </c>
      <c r="I14" s="22"/>
      <c r="J14" s="22"/>
      <c r="K14" s="22"/>
      <c r="L14" s="22"/>
      <c r="M14" s="22">
        <f t="shared" si="0"/>
        <v>5267.4285148725003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0.20611276363090256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0.54831528108435901</v>
      </c>
      <c r="C18" s="24"/>
      <c r="D18" s="24">
        <f t="shared" ref="D18:M18" si="1">D14*D16</f>
        <v>1.434941930262837</v>
      </c>
      <c r="E18" s="24">
        <f t="shared" si="1"/>
        <v>113.39645133468221</v>
      </c>
      <c r="F18" s="24"/>
      <c r="G18" s="24">
        <f t="shared" si="1"/>
        <v>27034.4056651684</v>
      </c>
      <c r="H18" s="24">
        <f t="shared" si="1"/>
        <v>4129.475701033949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1.5438994047787963E-3</v>
      </c>
      <c r="H50" s="323">
        <f t="shared" si="2"/>
        <v>0</v>
      </c>
      <c r="I50" s="323">
        <f t="shared" si="2"/>
        <v>0</v>
      </c>
      <c r="J50" s="323">
        <f t="shared" si="2"/>
        <v>0</v>
      </c>
      <c r="K50" s="323">
        <f t="shared" si="2"/>
        <v>0</v>
      </c>
      <c r="L50" s="323">
        <f t="shared" si="2"/>
        <v>0</v>
      </c>
      <c r="M50" s="323">
        <f t="shared" si="2"/>
        <v>6.7795169685211585E-5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1.5438994047787963E-3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6.7795169685211585E-5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428.86094577188783</v>
      </c>
      <c r="H54" s="22">
        <f t="shared" si="3"/>
        <v>0</v>
      </c>
      <c r="I54" s="22">
        <f t="shared" si="3"/>
        <v>0</v>
      </c>
      <c r="J54" s="22">
        <f t="shared" si="3"/>
        <v>0</v>
      </c>
      <c r="K54" s="22">
        <f t="shared" si="3"/>
        <v>0</v>
      </c>
      <c r="L54" s="22">
        <f t="shared" si="3"/>
        <v>0</v>
      </c>
      <c r="M54" s="22">
        <f t="shared" si="3"/>
        <v>18.831991579225441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0.20611276363090256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114.50587252109406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12</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1310.8476932772508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742.5</v>
      </c>
      <c r="C8" s="558">
        <f>B101</f>
        <v>0</v>
      </c>
      <c r="D8" s="991"/>
      <c r="E8" s="991">
        <f>E101</f>
        <v>0</v>
      </c>
      <c r="F8" s="992"/>
      <c r="G8" s="559"/>
      <c r="H8" s="991">
        <f>I101</f>
        <v>0</v>
      </c>
      <c r="I8" s="991">
        <f>G101+F101</f>
        <v>0</v>
      </c>
      <c r="J8" s="991">
        <f>H101+D101+C101</f>
        <v>873.52941176470586</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2065.347693277251</v>
      </c>
      <c r="C10" s="570">
        <f t="shared" ref="C10:L10" si="0">SUM(C8:C9)</f>
        <v>0</v>
      </c>
      <c r="D10" s="570">
        <f t="shared" si="0"/>
        <v>0</v>
      </c>
      <c r="E10" s="570">
        <f t="shared" si="0"/>
        <v>0</v>
      </c>
      <c r="F10" s="570">
        <f t="shared" si="0"/>
        <v>0</v>
      </c>
      <c r="G10" s="570">
        <f t="shared" si="0"/>
        <v>0</v>
      </c>
      <c r="H10" s="570">
        <f t="shared" si="0"/>
        <v>0</v>
      </c>
      <c r="I10" s="570">
        <f t="shared" si="0"/>
        <v>0</v>
      </c>
      <c r="J10" s="570">
        <f t="shared" si="0"/>
        <v>873.52941176470586</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1060.7142857142858</v>
      </c>
      <c r="C17" s="582">
        <f>B102</f>
        <v>0</v>
      </c>
      <c r="D17" s="583"/>
      <c r="E17" s="583">
        <f>E102</f>
        <v>0</v>
      </c>
      <c r="F17" s="584"/>
      <c r="G17" s="585"/>
      <c r="H17" s="582">
        <f>I102</f>
        <v>0</v>
      </c>
      <c r="I17" s="583">
        <f>G102+F102</f>
        <v>0</v>
      </c>
      <c r="J17" s="583">
        <f>H102+D102+C102</f>
        <v>1247.8991596638657</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1060.7142857142858</v>
      </c>
      <c r="C20" s="569">
        <f>SUM(C17:C19)</f>
        <v>0</v>
      </c>
      <c r="D20" s="569">
        <f t="shared" ref="D20:L20" si="1">SUM(D17:D19)</f>
        <v>0</v>
      </c>
      <c r="E20" s="569">
        <f t="shared" si="1"/>
        <v>0</v>
      </c>
      <c r="F20" s="569">
        <f t="shared" si="1"/>
        <v>0</v>
      </c>
      <c r="G20" s="569">
        <f t="shared" si="1"/>
        <v>0</v>
      </c>
      <c r="H20" s="569">
        <f t="shared" si="1"/>
        <v>0</v>
      </c>
      <c r="I20" s="569">
        <f t="shared" si="1"/>
        <v>0</v>
      </c>
      <c r="J20" s="569">
        <f t="shared" si="1"/>
        <v>1247.8991596638657</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24041</v>
      </c>
      <c r="C28" s="789">
        <v>3320</v>
      </c>
      <c r="D28" s="642" t="s">
        <v>946</v>
      </c>
      <c r="E28" s="641" t="s">
        <v>947</v>
      </c>
      <c r="F28" s="641" t="s">
        <v>948</v>
      </c>
      <c r="G28" s="641" t="s">
        <v>949</v>
      </c>
      <c r="H28" s="641" t="s">
        <v>950</v>
      </c>
      <c r="I28" s="641" t="s">
        <v>951</v>
      </c>
      <c r="J28" s="788">
        <v>37722</v>
      </c>
      <c r="K28" s="788">
        <v>38353</v>
      </c>
      <c r="L28" s="641" t="s">
        <v>952</v>
      </c>
      <c r="M28" s="641">
        <v>165</v>
      </c>
      <c r="N28" s="641">
        <v>742.5</v>
      </c>
      <c r="O28" s="641">
        <v>1060.7142857142858</v>
      </c>
      <c r="P28" s="641">
        <v>0</v>
      </c>
      <c r="Q28" s="641">
        <v>2121.4285714285716</v>
      </c>
      <c r="R28" s="641">
        <v>0</v>
      </c>
      <c r="S28" s="641">
        <v>0</v>
      </c>
      <c r="T28" s="641">
        <v>0</v>
      </c>
      <c r="U28" s="641">
        <v>0</v>
      </c>
      <c r="V28" s="641">
        <v>0</v>
      </c>
      <c r="W28" s="641"/>
      <c r="X28" s="641">
        <v>500</v>
      </c>
      <c r="Y28" s="641" t="s">
        <v>41</v>
      </c>
      <c r="Z28" s="643" t="s">
        <v>391</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165</v>
      </c>
      <c r="N58" s="599">
        <f>SUM(N28:N57)</f>
        <v>742.5</v>
      </c>
      <c r="O58" s="599">
        <f t="shared" ref="O58:W58" si="2">SUM(O28:O57)</f>
        <v>1060.7142857142858</v>
      </c>
      <c r="P58" s="599">
        <f t="shared" si="2"/>
        <v>0</v>
      </c>
      <c r="Q58" s="599">
        <f t="shared" si="2"/>
        <v>2121.4285714285716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165</v>
      </c>
      <c r="N59" s="599">
        <f t="shared" si="3"/>
        <v>742.5</v>
      </c>
      <c r="O59" s="599">
        <f t="shared" si="3"/>
        <v>1060.7142857142858</v>
      </c>
      <c r="P59" s="599">
        <f t="shared" si="3"/>
        <v>0</v>
      </c>
      <c r="Q59" s="599">
        <f t="shared" si="3"/>
        <v>2121.4285714285716</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873.52941176470586</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1247.8991596638657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2019-06-29T16:12:23Z</dcterms:modified>
</cp:coreProperties>
</file>