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C98" l="1"/>
  <c r="F101" s="1"/>
  <c r="O9"/>
  <c r="O19"/>
  <c r="B10"/>
  <c r="O18"/>
  <c r="B17"/>
  <c r="B20" s="1"/>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J8" s="1"/>
  <c r="D101"/>
  <c r="C10"/>
  <c r="C20"/>
  <c r="I8"/>
  <c r="I10" s="1"/>
  <c r="I17"/>
  <c r="I20" s="1"/>
  <c r="J17"/>
  <c r="J20" s="1"/>
  <c r="B19" i="6"/>
  <c r="B18"/>
  <c r="B5"/>
  <c r="C29" i="14" s="1"/>
  <c r="B6" i="6"/>
  <c r="C64" i="14" s="1"/>
  <c r="D14" i="48"/>
  <c r="P7"/>
  <c r="O7"/>
  <c r="O25" s="1"/>
  <c r="M7"/>
  <c r="K7"/>
  <c r="I7"/>
  <c r="H7"/>
  <c r="G7"/>
  <c r="P10"/>
  <c r="O10"/>
  <c r="O28" s="1"/>
  <c r="N10"/>
  <c r="L10"/>
  <c r="K10"/>
  <c r="J10"/>
  <c r="I10"/>
  <c r="H10"/>
  <c r="F10"/>
  <c r="E10"/>
  <c r="D10"/>
  <c r="C10"/>
  <c r="P9"/>
  <c r="P27" s="1"/>
  <c r="O9"/>
  <c r="N9"/>
  <c r="L9"/>
  <c r="K9"/>
  <c r="J9"/>
  <c r="I9"/>
  <c r="F9"/>
  <c r="C9"/>
  <c r="P13"/>
  <c r="O13"/>
  <c r="N13"/>
  <c r="L13"/>
  <c r="K13"/>
  <c r="J13"/>
  <c r="I13"/>
  <c r="F13"/>
  <c r="E13"/>
  <c r="D13"/>
  <c r="C13"/>
  <c r="B13"/>
  <c r="M8"/>
  <c r="K8"/>
  <c r="I8"/>
  <c r="H8"/>
  <c r="G8"/>
  <c r="B12"/>
  <c r="P17"/>
  <c r="P31" s="1"/>
  <c r="O17"/>
  <c r="M4"/>
  <c r="L4"/>
  <c r="K4"/>
  <c r="I4"/>
  <c r="H4"/>
  <c r="G4"/>
  <c r="P11"/>
  <c r="P29" s="1"/>
  <c r="O11"/>
  <c r="N11"/>
  <c r="M11"/>
  <c r="L11"/>
  <c r="K11"/>
  <c r="J11"/>
  <c r="I11"/>
  <c r="H11"/>
  <c r="G11"/>
  <c r="F11"/>
  <c r="E11"/>
  <c r="D11"/>
  <c r="C11"/>
  <c r="B11"/>
  <c r="P32"/>
  <c r="O32"/>
  <c r="O31"/>
  <c r="Q12"/>
  <c r="O29"/>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E76" i="14"/>
  <c r="D76"/>
  <c r="D8" i="56" s="1"/>
  <c r="B75" i="14"/>
  <c r="B7" i="56" s="1"/>
  <c r="B74" i="14"/>
  <c r="B6" i="56" s="1"/>
  <c r="B73" i="14"/>
  <c r="B5" i="56" s="1"/>
  <c r="B72" i="14"/>
  <c r="B4" i="56" s="1"/>
  <c r="Q54" i="14"/>
  <c r="P54"/>
  <c r="L54"/>
  <c r="J54"/>
  <c r="I54"/>
  <c r="H54"/>
  <c r="H56" s="1"/>
  <c r="Q24"/>
  <c r="P24"/>
  <c r="N24"/>
  <c r="L24"/>
  <c r="L26" s="1"/>
  <c r="J24"/>
  <c r="I24"/>
  <c r="I26" s="1"/>
  <c r="H24"/>
  <c r="H26" s="1"/>
  <c r="Q50"/>
  <c r="P50"/>
  <c r="O50"/>
  <c r="M50"/>
  <c r="L50"/>
  <c r="K50"/>
  <c r="J50"/>
  <c r="G50"/>
  <c r="D50"/>
  <c r="Q49"/>
  <c r="P49"/>
  <c r="P52" s="1"/>
  <c r="Q20"/>
  <c r="P20"/>
  <c r="P22" s="1"/>
  <c r="O20"/>
  <c r="M20"/>
  <c r="M22" s="1"/>
  <c r="L20"/>
  <c r="K20"/>
  <c r="J20"/>
  <c r="G20"/>
  <c r="D20"/>
  <c r="Q19"/>
  <c r="P19"/>
  <c r="O19"/>
  <c r="M19"/>
  <c r="L19"/>
  <c r="K19"/>
  <c r="J19"/>
  <c r="J22" s="1"/>
  <c r="I19"/>
  <c r="G19"/>
  <c r="F19"/>
  <c r="E19"/>
  <c r="D19"/>
  <c r="Q48"/>
  <c r="P48"/>
  <c r="O48"/>
  <c r="M48"/>
  <c r="L48"/>
  <c r="K48"/>
  <c r="J48"/>
  <c r="G48"/>
  <c r="D48"/>
  <c r="Q18"/>
  <c r="P18"/>
  <c r="O18"/>
  <c r="O22" s="1"/>
  <c r="M18"/>
  <c r="L18"/>
  <c r="L22" s="1"/>
  <c r="K18"/>
  <c r="K22" s="1"/>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F90"/>
  <c r="R78"/>
  <c r="F78"/>
  <c r="P56"/>
  <c r="L56"/>
  <c r="J56"/>
  <c r="Q56"/>
  <c r="I56"/>
  <c r="Q52"/>
  <c r="R44"/>
  <c r="Q26"/>
  <c r="N26"/>
  <c r="J26"/>
  <c r="E25"/>
  <c r="C25"/>
  <c r="B14" i="48" s="1"/>
  <c r="Q14" s="1"/>
  <c r="P26" i="14"/>
  <c r="Q22"/>
  <c r="R12"/>
  <c r="F13" i="15"/>
  <c r="D13"/>
  <c r="C13"/>
  <c r="C77" i="14" l="1"/>
  <c r="C9" i="56" s="1"/>
  <c r="D9"/>
  <c r="D10" s="1"/>
  <c r="H17"/>
  <c r="H20" s="1"/>
  <c r="H90" i="14"/>
  <c r="Q88"/>
  <c r="P18" i="56" s="1"/>
  <c r="D18"/>
  <c r="C88" i="14"/>
  <c r="C18" i="56" s="1"/>
  <c r="J10" i="18"/>
  <c r="J76" i="14"/>
  <c r="Q11" i="48"/>
  <c r="K90" i="14"/>
  <c r="K18" i="56"/>
  <c r="E8"/>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c r="M20"/>
  <c r="K20"/>
  <c r="L78" i="14"/>
  <c r="N20" i="56"/>
  <c r="P25" i="48"/>
  <c r="G78" i="14"/>
  <c r="Q89"/>
  <c r="P19" i="56" s="1"/>
  <c r="I76" i="14"/>
  <c r="I8" i="56" s="1"/>
  <c r="I10" s="1"/>
  <c r="I87" i="14"/>
  <c r="I17" i="56" s="1"/>
  <c r="I20" s="1"/>
  <c r="N78" i="14"/>
  <c r="N8" i="56"/>
  <c r="N10" s="1"/>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Q78"/>
  <c r="B9" i="6" s="1"/>
  <c r="P9" i="56"/>
  <c r="P10" s="1"/>
  <c r="J90" i="14"/>
  <c r="J17" i="56"/>
  <c r="J20" s="1"/>
  <c r="C76" i="14"/>
  <c r="Q90"/>
  <c r="B17" i="6" s="1"/>
  <c r="C90" i="14"/>
  <c r="B87"/>
  <c r="B90" l="1"/>
  <c r="B17" i="56"/>
  <c r="B20" s="1"/>
  <c r="C8"/>
  <c r="C10" s="1"/>
  <c r="C78"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32" i="48"/>
  <c r="F24"/>
  <c r="F28"/>
  <c r="F27"/>
  <c r="F30"/>
  <c r="F29"/>
  <c r="F31"/>
  <c r="N30"/>
  <c r="N31"/>
  <c r="N28"/>
  <c r="N24"/>
  <c r="N27"/>
  <c r="N32"/>
  <c r="N29"/>
  <c r="B10"/>
  <c r="C19" i="14"/>
  <c r="E28" i="48"/>
  <c r="E32"/>
  <c r="E31"/>
  <c r="E30"/>
  <c r="E29"/>
  <c r="E24"/>
  <c r="M12" i="13"/>
  <c r="N41" i="14" s="1"/>
  <c r="M17" i="48"/>
  <c r="L10" i="14"/>
  <c r="L16" s="1"/>
  <c r="L27" s="1"/>
  <c r="K5" i="48"/>
  <c r="D30"/>
  <c r="D31"/>
  <c r="D32"/>
  <c r="D24"/>
  <c r="D29"/>
  <c r="D28"/>
  <c r="L32"/>
  <c r="L27"/>
  <c r="L28"/>
  <c r="L31"/>
  <c r="L24"/>
  <c r="L22"/>
  <c r="L29"/>
  <c r="L30"/>
  <c r="Q10" i="14"/>
  <c r="P5" i="48"/>
  <c r="P23" s="1"/>
  <c r="K32"/>
  <c r="K31"/>
  <c r="K25"/>
  <c r="K26"/>
  <c r="K29"/>
  <c r="K22"/>
  <c r="K27"/>
  <c r="K30"/>
  <c r="K24"/>
  <c r="K28"/>
  <c r="J10" i="14"/>
  <c r="J16" s="1"/>
  <c r="J27" s="1"/>
  <c r="I5" i="48"/>
  <c r="J24"/>
  <c r="J30"/>
  <c r="J28"/>
  <c r="J32"/>
  <c r="J29"/>
  <c r="J31"/>
  <c r="J27"/>
  <c r="Q11" i="14"/>
  <c r="P4" i="48"/>
  <c r="B7"/>
  <c r="C24" i="14"/>
  <c r="C26" s="1"/>
  <c r="P11"/>
  <c r="O4" i="48"/>
  <c r="I27"/>
  <c r="I32"/>
  <c r="I22"/>
  <c r="I25"/>
  <c r="I28"/>
  <c r="I30"/>
  <c r="I31"/>
  <c r="I26"/>
  <c r="I24"/>
  <c r="I29"/>
  <c r="E11" i="14"/>
  <c r="D4" i="48"/>
  <c r="D22" s="1"/>
  <c r="H32"/>
  <c r="H26"/>
  <c r="H28"/>
  <c r="H30"/>
  <c r="H29"/>
  <c r="H25"/>
  <c r="H24"/>
  <c r="H22"/>
  <c r="H23"/>
  <c r="D11" i="14"/>
  <c r="C4" i="48"/>
  <c r="G32"/>
  <c r="G29"/>
  <c r="G26"/>
  <c r="G22"/>
  <c r="G24"/>
  <c r="G25"/>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P10" i="14"/>
  <c r="O5" i="48"/>
  <c r="O23" s="1"/>
  <c r="M32"/>
  <c r="M25"/>
  <c r="M30"/>
  <c r="M22"/>
  <c r="M29"/>
  <c r="M24"/>
  <c r="M26"/>
  <c r="M23"/>
  <c r="F4"/>
  <c r="F22" s="1"/>
  <c r="G11" i="14"/>
  <c r="H13" i="48"/>
  <c r="H31" s="1"/>
  <c r="I18" i="14"/>
  <c r="K23" i="48"/>
  <c r="K33" s="1"/>
  <c r="K15"/>
  <c r="Q13" i="14"/>
  <c r="Q16" s="1"/>
  <c r="Q27" s="1"/>
  <c r="P8" i="48"/>
  <c r="P26" s="1"/>
  <c r="O22"/>
  <c r="J63" i="14"/>
  <c r="J46"/>
  <c r="J61"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C20"/>
  <c r="B9" i="48"/>
  <c r="E12" i="13"/>
  <c r="F41" i="14" s="1"/>
  <c r="F11"/>
  <c r="R11" s="1"/>
  <c r="E4" i="48"/>
  <c r="H19" i="14"/>
  <c r="G10" i="48"/>
  <c r="J4"/>
  <c r="K11" i="14"/>
  <c r="E7" i="48"/>
  <c r="E25" s="1"/>
  <c r="F24" i="14"/>
  <c r="F26" s="1"/>
  <c r="R18"/>
  <c r="F20"/>
  <c r="F22" s="1"/>
  <c r="E9" i="48"/>
  <c r="E27" s="1"/>
  <c r="G31"/>
  <c r="Q13"/>
  <c r="O8"/>
  <c r="P13" i="14"/>
  <c r="M10" i="48"/>
  <c r="M28" s="1"/>
  <c r="N19" i="14"/>
  <c r="D9" i="48"/>
  <c r="D27" s="1"/>
  <c r="E20" i="14"/>
  <c r="E22" s="1"/>
  <c r="Q63"/>
  <c r="M14" i="22"/>
  <c r="E12" i="17"/>
  <c r="F54" i="14" s="1"/>
  <c r="F56" s="1"/>
  <c r="P15" i="48"/>
  <c r="H14" i="22"/>
  <c r="P33" i="48"/>
  <c r="D16" i="14"/>
  <c r="D27" s="1"/>
  <c r="B20" i="6" s="1"/>
  <c r="B22" s="1"/>
  <c r="C22" i="56" s="1"/>
  <c r="P16" i="14"/>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G28"/>
  <c r="Q10"/>
  <c r="G9"/>
  <c r="H20" i="14"/>
  <c r="H22" s="1"/>
  <c r="H27" s="1"/>
  <c r="H63" s="1"/>
  <c r="I20"/>
  <c r="I22" s="1"/>
  <c r="I27" s="1"/>
  <c r="H9" i="48"/>
  <c r="J22"/>
  <c r="K10" i="14"/>
  <c r="J5" i="48"/>
  <c r="J23" s="1"/>
  <c r="R20" i="14"/>
  <c r="C22"/>
  <c r="O26" i="48"/>
  <c r="O33" s="1"/>
  <c r="O15"/>
  <c r="F10" i="14"/>
  <c r="E5" i="48"/>
  <c r="E23" s="1"/>
  <c r="N20" i="14"/>
  <c r="N22" s="1"/>
  <c r="N27" s="1"/>
  <c r="N63" s="1"/>
  <c r="M9" i="48"/>
  <c r="R22" i="14"/>
  <c r="R19"/>
  <c r="H18" i="22"/>
  <c r="I50" i="14" s="1"/>
  <c r="I52" s="1"/>
  <c r="I61" s="1"/>
  <c r="E46"/>
  <c r="E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F13" i="14"/>
  <c r="E8" i="48"/>
  <c r="G27"/>
  <c r="G33" s="1"/>
  <c r="G15"/>
  <c r="H27"/>
  <c r="H33" s="1"/>
  <c r="H15"/>
  <c r="K13" i="14"/>
  <c r="K16" s="1"/>
  <c r="K27" s="1"/>
  <c r="K63" s="1"/>
  <c r="J8" i="48"/>
  <c r="J26" s="1"/>
  <c r="I63" i="14"/>
  <c r="C27"/>
  <c r="B3" i="6" s="1"/>
  <c r="B12" s="1"/>
  <c r="C55" i="14" s="1"/>
  <c r="R55" s="1"/>
  <c r="Q9" i="48"/>
  <c r="F16" i="14"/>
  <c r="F27" s="1"/>
  <c r="J33" i="48"/>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<sst xmlns="http://schemas.openxmlformats.org/spreadsheetml/2006/main" count="2492" uniqueCount="953">
  <si>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</si>
  <si>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</si>
  <si>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</si>
  <si>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</si>
  <si>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</si>
  <si>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</si>
  <si>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</si>
  <si>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</si>
  <si>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</si>
  <si>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</si>
  <si>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</si>
  <si>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</si>
  <si>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</si>
  <si>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</si>
  <si>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</si>
  <si>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</si>
  <si>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</si>
  <si>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</si>
  <si>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</si>
  <si>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</si>
  <si>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</si>
  <si>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</si>
  <si>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</si>
  <si>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</si>
  <si>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</si>
  <si>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</si>
  <si>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</si>
  <si>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</si>
  <si>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</si>
  <si>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</si>
  <si>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</si>
  <si>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</si>
  <si>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</si>
  <si>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</si>
  <si>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</si>
  <si>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</si>
  <si>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</si>
  <si>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</si>
  <si>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</si>
  <si>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</si>
  <si>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</si>
  <si>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</si>
  <si>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</si>
  <si>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</si>
  <si>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</si>
  <si>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</si>
  <si>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</si>
  <si>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</si>
  <si>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</si>
  <si>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</si>
  <si>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</si>
  <si>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</si>
  <si>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</si>
  <si>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</si>
  <si>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</si>
  <si>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</si>
  <si>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</si>
  <si>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</si>
  <si>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</si>
  <si>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</si>
  <si>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</si>
  <si>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</si>
  <si>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</si>
  <si>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</si>
  <si>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</si>
  <si>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</si>
  <si>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</si>
  <si>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</si>
  <si>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</si>
  <si>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</si>
  <si>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</si>
  <si>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</si>
  <si>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</si>
  <si>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</si>
  <si>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</si>
  <si>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</si>
  <si>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</si>
  <si>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</si>
  <si>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</si>
  <si>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</si>
  <si>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</si>
  <si>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</si>
  <si>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</si>
  <si>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</si>
  <si>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</si>
  <si>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</si>
  <si>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</si>
  <si>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</si>
  <si>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</si>
  <si>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</si>
  <si>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</si>
  <si>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</si>
  <si>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</si>
  <si>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</si>
  <si>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</si>
  <si>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</si>
  <si>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</si>
  <si>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</si>
  <si>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</si>
  <si>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</si>
  <si>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</si>
  <si>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</si>
  <si>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</si>
  <si>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</si>
  <si>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</si>
  <si>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</si>
  <si>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</si>
  <si>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</si>
  <si>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</si>
  <si>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</si>
  <si>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</si>
  <si>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</si>
  <si>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</si>
  <si>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</si>
  <si>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</si>
  <si>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</si>
  <si>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</si>
  <si>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</si>
  <si>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</si>
  <si>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</si>
  <si>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</si>
  <si>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</si>
  <si>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</si>
  <si>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</si>
  <si>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</si>
  <si>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</si>
  <si>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</si>
  <si>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</si>
  <si>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</si>
  <si>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</si>
  <si>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</si>
  <si>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</si>
  <si>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</si>
  <si>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</si>
  <si>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</si>
  <si>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</si>
  <si>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</si>
  <si>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</si>
  <si>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</si>
  <si>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</si>
  <si>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</si>
  <si>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</si>
  <si>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</si>
  <si>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</si>
  <si>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</si>
  <si>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</si>
  <si>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</si>
  <si>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</si>
  <si>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</si>
  <si>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</si>
  <si>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</si>
  <si>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</si>
  <si>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</si>
  <si>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</si>
  <si>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</si>
  <si>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</si>
  <si>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</si>
  <si>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</si>
  <si>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</si>
  <si>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</si>
  <si>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</si>
  <si>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</si>
  <si>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</si>
  <si>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</si>
  <si>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</si>
  <si>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</si>
  <si>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</si>
  <si>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</si>
  <si>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</si>
  <si>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</si>
  <si>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</si>
  <si>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</si>
  <si>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</si>
  <si>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</si>
  <si>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</si>
  <si>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</si>
  <si>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</si>
  <si>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</si>
  <si>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</si>
  <si>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</si>
  <si>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</si>
  <si>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</si>
  <si>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</si>
  <si>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</si>
  <si>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</si>
  <si>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</si>
  <si>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</si>
  <si>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</si>
  <si>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</si>
  <si>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</si>
  <si>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</si>
  <si>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</si>
  <si>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</si>
  <si>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</si>
  <si>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</si>
  <si>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</si>
  <si>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</si>
  <si>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</si>
  <si>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</si>
  <si>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</si>
  <si>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</si>
  <si>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</si>
  <si>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</si>
  <si>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</si>
  <si>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</si>
  <si>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</si>
  <si>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</si>
  <si>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</si>
  <si>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</si>
  <si>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</si>
  <si>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</si>
  <si>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</si>
  <si>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</si>
  <si>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</si>
  <si>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</si>
  <si>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</si>
  <si>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</si>
  <si>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</si>
  <si>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</si>
  <si>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</si>
  <si>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</si>
  <si>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</si>
  <si>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</si>
  <si>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</si>
  <si>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</si>
  <si>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</si>
  <si>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</si>
  <si>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</si>
  <si>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</si>
  <si>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</si>
  <si>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</si>
  <si>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</si>
  <si>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</si>
  <si>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</si>
  <si>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</si>
  <si>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</si>
  <si>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</si>
  <si>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</si>
  <si>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</si>
  <si>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</si>
  <si>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</si>
  <si>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</si>
  <si>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</si>
  <si>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</si>
  <si>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</si>
  <si>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</si>
  <si>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</si>
  <si>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</si>
  <si>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</si>
  <si>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</si>
  <si>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</si>
  <si>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</si>
  <si>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</si>
  <si>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</si>
  <si>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</si>
  <si>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</si>
  <si>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</si>
  <si>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</si>
  <si>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</si>
  <si>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</si>
  <si>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</si>
  <si>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</si>
  <si>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</si>
  <si>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</si>
  <si>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</si>
  <si>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</si>
  <si>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</si>
  <si>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</si>
  <si>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</si>
  <si>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</si>
  <si>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</si>
  <si>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</si>
  <si>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</si>
  <si>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</si>
  <si>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</si>
  <si>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</si>
  <si>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</si>
  <si>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</si>
  <si>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</si>
  <si>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</si>
  <si>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</si>
  <si>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</si>
  <si>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</si>
  <si>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</si>
  <si>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</si>
  <si>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</si>
  <si>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</si>
  <si>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</si>
  <si>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</si>
  <si>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</si>
  <si>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</si>
  <si>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</si>
  <si>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</si>
  <si>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</si>
  <si>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</si>
  <si>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</si>
  <si>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</si>
  <si>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</si>
  <si>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</si>
  <si>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</si>
  <si>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</si>
  <si>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</si>
  <si>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</si>
  <si>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</si>
  <si>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</si>
  <si>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</si>
  <si>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</si>
  <si>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</si>
  <si>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</si>
  <si>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</si>
  <si>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</si>
  <si>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</si>
  <si>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</si>
  <si>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</si>
  <si>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</si>
  <si>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</si>
  <si>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</si>
  <si>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</si>
  <si>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</si>
  <si>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</si>
  <si>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</si>
  <si>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</si>
  <si>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</si>
  <si>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</si>
  <si>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</si>
  <si>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</si>
  <si>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</si>
  <si>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</si>
  <si>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</si>
  <si>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</si>
  <si>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</si>
  <si>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</si>
  <si>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</si>
  <si>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</si>
  <si>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</si>
  <si>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</si>
  <si>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</si>
  <si>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</si>
  <si>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</si>
  <si>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</si>
  <si>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</si>
  <si>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</si>
  <si>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</si>
  <si>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</si>
  <si>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</si>
  <si>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</si>
  <si>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</si>
  <si>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</si>
  <si>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</si>
  <si>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</si>
  <si>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</si>
  <si>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</si>
  <si>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</si>
  <si>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</si>
  <si>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</si>
  <si>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</si>
  <si>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</si>
  <si>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</si>
  <si>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</si>
  <si>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</si>
  <si>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</si>
  <si>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</si>
  <si>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</si>
  <si>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</si>
  <si>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</si>
  <si>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</si>
  <si>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</si>
  <si>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</si>
  <si>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</si>
  <si>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</si>
  <si>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</si>
  <si>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</si>
  <si>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</si>
  <si>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</si>
  <si>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</si>
  <si>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</si>
  <si>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</si>
  <si>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</si>
  <si>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</si>
  <si>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</si>
  <si>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</si>
  <si>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</si>
  <si>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</si>
  <si>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</si>
  <si>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</si>
  <si>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</si>
  <si>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</si>
  <si>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</si>
  <si>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</si>
  <si>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</si>
  <si>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</si>
  <si>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</si>
  <si>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</si>
  <si>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</si>
  <si>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</si>
  <si>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</si>
  <si>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</si>
  <si>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</si>
  <si>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</si>
  <si>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</si>
  <si>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</si>
  <si>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</si>
  <si>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</si>
  <si>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</si>
  <si>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</si>
  <si>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</si>
  <si>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</si>
  <si>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</si>
  <si>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</si>
  <si>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</si>
  <si>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</si>
  <si>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</si>
  <si>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</si>
  <si>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</si>
  <si>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</si>
  <si>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</si>
  <si>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</si>
  <si>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</si>
  <si>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</si>
  <si>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</si>
  <si>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</si>
  <si>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</si>
  <si>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</si>
  <si>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</si>
  <si>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</si>
  <si>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</si>
  <si>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</si>
  <si>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</si>
  <si>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</si>
  <si>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</si>
  <si>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</si>
  <si>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</si>
  <si>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</si>
  <si>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</si>
  <si>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</si>
  <si>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</si>
  <si>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</si>
  <si>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</si>
  <si>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</si>
  <si>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</si>
  <si>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</si>
  <si>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</si>
  <si>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</si>
  <si>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</si>
  <si>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</si>
  <si>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</si>
  <si>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</si>
  <si>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</si>
  <si>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</si>
  <si>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</si>
  <si>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</si>
  <si>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</si>
  <si>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</si>
  <si>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</si>
  <si>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</si>
  <si>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</si>
  <si>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</si>
  <si>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</si>
  <si>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</si>
  <si>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</si>
  <si>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</si>
  <si>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</si>
  <si>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</si>
  <si>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</si>
  <si>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</si>
  <si>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</si>
  <si>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</si>
  <si>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</si>
  <si>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</si>
  <si>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</si>
  <si>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</si>
  <si>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</si>
  <si>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</si>
  <si>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</si>
  <si>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</si>
  <si>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</si>
  <si>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</si>
  <si>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</si>
  <si>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</si>
  <si>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</si>
  <si>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</si>
  <si>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</si>
  <si>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</si>
  <si>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</si>
  <si>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</si>
  <si>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</si>
  <si>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</si>
  <si>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</si>
  <si>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</si>
  <si>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</si>
  <si>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</si>
  <si>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</si>
  <si>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</si>
  <si>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</si>
  <si>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</si>
  <si>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</si>
  <si>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</si>
  <si>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</si>
  <si>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</si>
  <si>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</si>
  <si>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</si>
  <si>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</si>
  <si>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</si>
  <si>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</si>
  <si>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</si>
  <si>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</si>
  <si>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</si>
  <si>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</si>
  <si>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</si>
  <si>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</si>
  <si>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</si>
  <si>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</si>
  <si>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</si>
  <si>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</si>
  <si>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</si>
  <si>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</si>
  <si>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</si>
  <si>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</si>
  <si>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</si>
  <si>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</si>
  <si>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</si>
  <si>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</si>
  <si>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</si>
  <si>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</si>
  <si>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</si>
  <si>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</si>
  <si>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</si>
  <si>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</si>
  <si>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</si>
  <si>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</si>
  <si>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</si>
  <si>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</si>
  <si>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</si>
  <si>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</si>
  <si>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</si>
  <si>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</si>
  <si>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</si>
  <si>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</si>
  <si>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</si>
  <si>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</si>
  <si>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</si>
  <si>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</si>
  <si>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</si>
  <si>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</si>
  <si>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</si>
  <si>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</si>
  <si>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</si>
  <si>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</si>
  <si>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</si>
  <si>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</si>
  <si>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</si>
  <si>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</si>
  <si>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</si>
  <si>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</si>
  <si>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</si>
  <si>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</si>
  <si>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</si>
  <si>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</si>
  <si>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</si>
  <si>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</si>
  <si>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</si>
  <si>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</si>
  <si>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</si>
  <si>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</si>
  <si>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</si>
  <si>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</si>
  <si>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</si>
  <si>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</si>
  <si>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</si>
  <si>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</si>
  <si>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</si>
  <si>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</si>
  <si>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</si>
  <si>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</si>
  <si>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</si>
  <si>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</si>
  <si>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</si>
  <si>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</si>
  <si>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</si>
  <si>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</si>
  <si>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</si>
  <si>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</si>
  <si>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</si>
  <si>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</si>
  <si>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</si>
  <si>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</si>
  <si>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</si>
  <si>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</si>
  <si>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</si>
  <si>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</si>
  <si>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</si>
  <si>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</si>
  <si>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</si>
  <si>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</si>
  <si>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</si>
  <si>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</si>
  <si>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</si>
  <si>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</si>
  <si>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</si>
  <si>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</si>
  <si>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</si>
  <si>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</si>
  <si>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</si>
  <si>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</si>
  <si>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</si>
  <si>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</si>
  <si>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</si>
  <si>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</si>
  <si>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</si>
  <si>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</si>
  <si>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</si>
  <si>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</si>
  <si>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</si>
  <si>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</si>
  <si>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</si>
  <si>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</si>
  <si>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</si>
  <si>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</si>
  <si>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</si>
  <si>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</si>
  <si>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</si>
  <si>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</si>
  <si>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</si>
  <si>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</si>
  <si>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</si>
  <si>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</si>
  <si>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</si>
  <si>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</si>
  <si>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</si>
  <si>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</si>
  <si>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</si>
  <si>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</si>
  <si>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</si>
  <si>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</si>
  <si>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</si>
  <si>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</si>
  <si>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</si>
  <si>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</si>
  <si>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</si>
  <si>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</si>
  <si>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</si>
  <si>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</si>
  <si>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</si>
  <si>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</si>
  <si>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</si>
  <si>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</si>
  <si>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</si>
  <si>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</si>
  <si>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</si>
  <si>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</si>
  <si>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</si>
  <si>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</si>
  <si>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</si>
  <si>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</si>
  <si>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</si>
  <si>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</si>
  <si>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</si>
  <si>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</si>
  <si>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</si>
  <si>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</si>
  <si>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</si>
  <si>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</si>
  <si>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</si>
  <si>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</si>
  <si>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</si>
  <si>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</si>
  <si>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</si>
  <si>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</si>
  <si>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</si>
  <si>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</si>
  <si>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</si>
  <si>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</si>
  <si>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</si>
  <si>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</si>
  <si>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</si>
  <si>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</si>
  <si>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</si>
  <si>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</si>
  <si>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</si>
  <si>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</si>
  <si>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</si>
  <si>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</si>
  <si>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</si>
  <si>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</si>
  <si>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</si>
  <si>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</si>
  <si>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</si>
  <si>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</si>
  <si>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</si>
  <si>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</si>
  <si>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</si>
  <si>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</si>
  <si>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</si>
  <si>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</si>
  <si>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</si>
  <si>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</si>
  <si>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</si>
  <si>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</si>
  <si>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</si>
  <si>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</si>
  <si>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</si>
  <si>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</si>
  <si>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</si>
  <si>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</si>
  <si>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</si>
  <si>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</si>
  <si>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</si>
  <si>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</si>
  <si>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</si>
  <si>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</si>
  <si>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</si>
  <si>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</si>
  <si>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</si>
  <si>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</si>
  <si>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</si>
  <si>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</si>
  <si>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</si>
  <si>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</si>
  <si>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</si>
  <si>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</si>
  <si>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</si>
  <si>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</si>
  <si>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</si>
  <si>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</si>
  <si>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</si>
  <si>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</si>
  <si>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</si>
  <si>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</si>
  <si>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</si>
  <si>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</si>
  <si>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</si>
  <si>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</si>
  <si>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</si>
  <si>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</si>
  <si>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</si>
  <si>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</si>
  <si>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</si>
  <si>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</si>
  <si>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</si>
  <si>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</si>
  <si>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</si>
  <si>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</si>
  <si>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</si>
  <si>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</si>
  <si>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</si>
  <si>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</si>
  <si>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</si>
  <si>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</si>
  <si>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</si>
  <si>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</si>
  <si>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</si>
  <si>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</si>
  <si>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</si>
  <si>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</si>
  <si>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</si>
  <si>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</si>
  <si>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</si>
  <si>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</si>
  <si>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</si>
  <si>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</si>
  <si>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</si>
  <si>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</si>
  <si>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</si>
  <si>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</si>
  <si>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</si>
  <si>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</si>
  <si>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</si>
  <si>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</si>
  <si>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</si>
  <si>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</si>
  <si>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</si>
  <si>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</si>
  <si>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</si>
  <si>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</si>
  <si>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</si>
  <si>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</si>
  <si>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</si>
  <si>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</si>
  <si>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</si>
  <si>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</si>
  <si>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</si>
  <si>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</si>
  <si>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</si>
  <si>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</si>
  <si>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</si>
  <si>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</si>
  <si>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</si>
  <si>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</si>
  <si>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</si>
  <si>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</si>
  <si>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</si>
  <si>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</si>
  <si>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</si>
  <si>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</si>
  <si>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</si>
  <si>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</si>
  <si>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</si>
  <si>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</si>
  <si>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</si>
  <si>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</si>
  <si>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</si>
  <si>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</si>
  <si>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</si>
  <si>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</si>
  <si>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</si>
  <si>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</si>
  <si>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</si>
  <si>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</si>
  <si>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</si>
  <si>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</si>
  <si>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</si>
  <si>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</si>
  <si>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</si>
  <si>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</si>
  <si>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</si>
  <si>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</si>
  <si>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</si>
  <si>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</si>
  <si>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</si>
  <si>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</si>
  <si>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</si>
  <si>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</si>
  <si>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</si>
  <si>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</si>
  <si>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</si>
  <si>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</si>
  <si>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</si>
  <si>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</si>
  <si>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</si>
  <si>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</si>
  <si>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</si>
  <si>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</si>
  <si>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</si>
  <si>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</si>
  <si>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</si>
  <si>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</si>
  <si>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</si>
  <si>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</si>
  <si>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</si>
  <si>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</si>
  <si>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</si>
  <si>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</si>
  <si>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</si>
  <si>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</si>
  <si>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</si>
  <si>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</si>
  <si>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</si>
  <si>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</si>
  <si>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</si>
  <si>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</si>
  <si>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</si>
  <si>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</si>
  <si>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</si>
  <si>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</si>
  <si>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</si>
  <si>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</si>
  <si>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</si>
  <si>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</si>
  <si>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</si>
  <si>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</si>
  <si>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</si>
  <si>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</si>
  <si>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</si>
  <si>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</si>
  <si>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</si>
  <si>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</si>
  <si>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</si>
  <si>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</si>
  <si>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</si>
  <si>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</si>
  <si>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</si>
  <si>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</si>
  <si>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</si>
  <si>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</si>
  <si>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</si>
  <si>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</si>
  <si>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</si>
  <si>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</si>
  <si>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</si>
  <si>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</si>
  <si>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</si>
  <si>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</si>
  <si>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</si>
  <si>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</si>
  <si>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</si>
  <si>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</si>
  <si>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</si>
  <si>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</si>
  <si>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</si>
  <si>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</si>
  <si>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</si>
  <si>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</si>
  <si>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</si>
  <si>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</si>
  <si>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</si>
  <si>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</si>
  <si>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</si>
  <si>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</si>
  <si>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</si>
  <si>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</si>
  <si>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</si>
  <si>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</si>
  <si>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</si>
  <si>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</si>
  <si>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</si>
  <si>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</si>
  <si>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</si>
  <si>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</si>
  <si>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</si>
  <si>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</si>
  <si>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</si>
  <si>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</si>
  <si>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</si>
  <si>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</si>
  <si>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</si>
  <si>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</si>
  <si>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</si>
  <si>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</si>
  <si>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</si>
  <si>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</si>
  <si>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</si>
  <si>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</si>
  <si>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</si>
  <si>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</si>
  <si>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</si>
  <si>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</si>
  <si>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</si>
  <si>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</si>
  <si>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</si>
  <si>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</si>
  <si>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</si>
  <si>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</si>
  <si>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</si>
  <si>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</si>
  <si>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</si>
  <si>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</si>
  <si>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</si>
  <si>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</si>
  <si>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</si>
  <si>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</si>
  <si>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24016</t>
  </si>
  <si>
    <t>BOUTERSEM</t>
  </si>
  <si>
    <t>Paarden&amp;pony's 200 - 600 kg</t>
  </si>
  <si>
    <t>Paarden&amp;pony's &lt; 200 kg</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</si>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</sst>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24016</v>
      </c>
      <c r="B6" s="397"/>
      <c r="C6" s="398"/>
    </row>
    <row r="7" spans="1:7" s="395" customFormat="1" ht="15.75" customHeight="1">
      <c r="A7" s="399" t="str">
        <f>txtMunicipality</f>
        <v>BOUTERSEM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0.14474374632189982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0.14474374632189982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2968</v>
      </c>
      <c r="C9" s="338">
        <v>2974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1853</v>
      </c>
    </row>
    <row r="15" spans="1:6">
      <c r="A15" s="1286" t="s">
        <v>184</v>
      </c>
      <c r="B15" s="335">
        <v>523</v>
      </c>
    </row>
    <row r="16" spans="1:6">
      <c r="A16" s="1286" t="s">
        <v>6</v>
      </c>
      <c r="B16" s="335">
        <v>143</v>
      </c>
    </row>
    <row r="17" spans="1:6">
      <c r="A17" s="1286" t="s">
        <v>7</v>
      </c>
      <c r="B17" s="335">
        <v>509</v>
      </c>
    </row>
    <row r="18" spans="1:6">
      <c r="A18" s="1286" t="s">
        <v>8</v>
      </c>
      <c r="B18" s="335">
        <v>552</v>
      </c>
    </row>
    <row r="19" spans="1:6">
      <c r="A19" s="1286" t="s">
        <v>9</v>
      </c>
      <c r="B19" s="335">
        <v>561</v>
      </c>
    </row>
    <row r="20" spans="1:6">
      <c r="A20" s="1286" t="s">
        <v>10</v>
      </c>
      <c r="B20" s="335">
        <v>362</v>
      </c>
    </row>
    <row r="21" spans="1:6">
      <c r="A21" s="1286" t="s">
        <v>11</v>
      </c>
      <c r="B21" s="335">
        <v>0</v>
      </c>
    </row>
    <row r="22" spans="1:6">
      <c r="A22" s="1286" t="s">
        <v>12</v>
      </c>
      <c r="B22" s="335">
        <v>4397</v>
      </c>
    </row>
    <row r="23" spans="1:6">
      <c r="A23" s="1286" t="s">
        <v>13</v>
      </c>
      <c r="B23" s="335">
        <v>2</v>
      </c>
    </row>
    <row r="24" spans="1:6">
      <c r="A24" s="1286" t="s">
        <v>14</v>
      </c>
      <c r="B24" s="335">
        <v>0</v>
      </c>
    </row>
    <row r="25" spans="1:6">
      <c r="A25" s="1286" t="s">
        <v>15</v>
      </c>
      <c r="B25" s="335">
        <v>0</v>
      </c>
    </row>
    <row r="26" spans="1:6">
      <c r="A26" s="1286" t="s">
        <v>16</v>
      </c>
      <c r="B26" s="335">
        <v>50</v>
      </c>
    </row>
    <row r="27" spans="1:6">
      <c r="A27" s="1286" t="s">
        <v>17</v>
      </c>
      <c r="B27" s="335">
        <v>0</v>
      </c>
    </row>
    <row r="28" spans="1:6" s="341" customFormat="1">
      <c r="A28" s="1287" t="s">
        <v>18</v>
      </c>
      <c r="B28" s="1287">
        <v>0</v>
      </c>
    </row>
    <row r="29" spans="1:6">
      <c r="A29" s="1287" t="s">
        <v>942</v>
      </c>
      <c r="B29" s="1287">
        <v>102</v>
      </c>
      <c r="C29" s="341"/>
      <c r="D29" s="341"/>
      <c r="E29" s="341"/>
      <c r="F29" s="341"/>
    </row>
    <row r="30" spans="1:6">
      <c r="A30" s="1282" t="s">
        <v>943</v>
      </c>
      <c r="B30" s="1282">
        <v>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20468.989102330899</v>
      </c>
    </row>
    <row r="37" spans="1:6">
      <c r="A37" s="1286" t="s">
        <v>25</v>
      </c>
      <c r="B37" s="1286" t="s">
        <v>28</v>
      </c>
      <c r="C37" s="335">
        <v>0</v>
      </c>
      <c r="D37" s="335">
        <v>0</v>
      </c>
      <c r="E37" s="335">
        <v>0</v>
      </c>
      <c r="F37" s="335">
        <v>0</v>
      </c>
    </row>
    <row r="38" spans="1:6">
      <c r="A38" s="1286" t="s">
        <v>25</v>
      </c>
      <c r="B38" s="1286" t="s">
        <v>29</v>
      </c>
      <c r="C38" s="335">
        <v>0</v>
      </c>
      <c r="D38" s="335">
        <v>0</v>
      </c>
      <c r="E38" s="335">
        <v>1</v>
      </c>
      <c r="F38" s="335">
        <v>340.32597104320001</v>
      </c>
    </row>
    <row r="39" spans="1:6">
      <c r="A39" s="1286" t="s">
        <v>30</v>
      </c>
      <c r="B39" s="1286" t="s">
        <v>31</v>
      </c>
      <c r="C39" s="335">
        <v>1528</v>
      </c>
      <c r="D39" s="335">
        <v>31856874.6273444</v>
      </c>
      <c r="E39" s="335">
        <v>2858</v>
      </c>
      <c r="F39" s="335">
        <v>13013982.173808601</v>
      </c>
    </row>
    <row r="40" spans="1:6">
      <c r="A40" s="1286" t="s">
        <v>30</v>
      </c>
      <c r="B40" s="1286" t="s">
        <v>29</v>
      </c>
      <c r="C40" s="335">
        <v>0</v>
      </c>
      <c r="D40" s="335">
        <v>0</v>
      </c>
      <c r="E40" s="335">
        <v>0</v>
      </c>
      <c r="F40" s="335">
        <v>0</v>
      </c>
    </row>
    <row r="41" spans="1:6">
      <c r="A41" s="1286" t="s">
        <v>32</v>
      </c>
      <c r="B41" s="1286" t="s">
        <v>33</v>
      </c>
      <c r="C41" s="335">
        <v>12</v>
      </c>
      <c r="D41" s="335">
        <v>291652.97368265199</v>
      </c>
      <c r="E41" s="335">
        <v>43</v>
      </c>
      <c r="F41" s="335">
        <v>426583.99502809002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9350.7621623344003</v>
      </c>
    </row>
    <row r="48" spans="1:6">
      <c r="A48" s="1286" t="s">
        <v>32</v>
      </c>
      <c r="B48" s="1286" t="s">
        <v>29</v>
      </c>
      <c r="C48" s="335">
        <v>5</v>
      </c>
      <c r="D48" s="335">
        <v>64400.656645049698</v>
      </c>
      <c r="E48" s="335">
        <v>15</v>
      </c>
      <c r="F48" s="335">
        <v>177619.25188462599</v>
      </c>
    </row>
    <row r="49" spans="1:6">
      <c r="A49" s="1286" t="s">
        <v>32</v>
      </c>
      <c r="B49" s="1286" t="s">
        <v>40</v>
      </c>
      <c r="C49" s="335">
        <v>0</v>
      </c>
      <c r="D49" s="335">
        <v>0</v>
      </c>
      <c r="E49" s="335">
        <v>0</v>
      </c>
      <c r="F49" s="335">
        <v>0</v>
      </c>
    </row>
    <row r="50" spans="1:6">
      <c r="A50" s="1286" t="s">
        <v>32</v>
      </c>
      <c r="B50" s="1286" t="s">
        <v>41</v>
      </c>
      <c r="C50" s="335">
        <v>4</v>
      </c>
      <c r="D50" s="335">
        <v>183080.22252494699</v>
      </c>
      <c r="E50" s="335">
        <v>6</v>
      </c>
      <c r="F50" s="335">
        <v>206654.91407613701</v>
      </c>
    </row>
    <row r="51" spans="1:6">
      <c r="A51" s="1286" t="s">
        <v>42</v>
      </c>
      <c r="B51" s="1286" t="s">
        <v>43</v>
      </c>
      <c r="C51" s="335">
        <v>11</v>
      </c>
      <c r="D51" s="335">
        <v>112109.58832128999</v>
      </c>
      <c r="E51" s="335">
        <v>55</v>
      </c>
      <c r="F51" s="335">
        <v>507984.442275371</v>
      </c>
    </row>
    <row r="52" spans="1:6">
      <c r="A52" s="1286" t="s">
        <v>42</v>
      </c>
      <c r="B52" s="1286" t="s">
        <v>29</v>
      </c>
      <c r="C52" s="335">
        <v>8</v>
      </c>
      <c r="D52" s="335">
        <v>140858.232673758</v>
      </c>
      <c r="E52" s="335">
        <v>9</v>
      </c>
      <c r="F52" s="335">
        <v>47387.023086685098</v>
      </c>
    </row>
    <row r="53" spans="1:6">
      <c r="A53" s="1286" t="s">
        <v>44</v>
      </c>
      <c r="B53" s="1286" t="s">
        <v>45</v>
      </c>
      <c r="C53" s="335">
        <v>28</v>
      </c>
      <c r="D53" s="335">
        <v>645185.84449306596</v>
      </c>
      <c r="E53" s="335">
        <v>71</v>
      </c>
      <c r="F53" s="335">
        <v>368188.05707119103</v>
      </c>
    </row>
    <row r="54" spans="1:6">
      <c r="A54" s="1286" t="s">
        <v>46</v>
      </c>
      <c r="B54" s="1286" t="s">
        <v>47</v>
      </c>
      <c r="C54" s="335">
        <v>0</v>
      </c>
      <c r="D54" s="335">
        <v>0</v>
      </c>
      <c r="E54" s="335">
        <v>2</v>
      </c>
      <c r="F54" s="335">
        <v>482271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v>
      </c>
      <c r="D57" s="335">
        <v>512984.75721044699</v>
      </c>
      <c r="E57" s="335">
        <v>16</v>
      </c>
      <c r="F57" s="335">
        <v>401771.23521869298</v>
      </c>
    </row>
    <row r="58" spans="1:6">
      <c r="A58" s="1286" t="s">
        <v>49</v>
      </c>
      <c r="B58" s="1286" t="s">
        <v>51</v>
      </c>
      <c r="C58" s="335">
        <v>3</v>
      </c>
      <c r="D58" s="335">
        <v>87445.105193622294</v>
      </c>
      <c r="E58" s="335">
        <v>9</v>
      </c>
      <c r="F58" s="335">
        <v>91851.982702756897</v>
      </c>
    </row>
    <row r="59" spans="1:6">
      <c r="A59" s="1286" t="s">
        <v>49</v>
      </c>
      <c r="B59" s="1286" t="s">
        <v>52</v>
      </c>
      <c r="C59" s="335">
        <v>10</v>
      </c>
      <c r="D59" s="335">
        <v>242662.94010161699</v>
      </c>
      <c r="E59" s="335">
        <v>52</v>
      </c>
      <c r="F59" s="335">
        <v>683898.58456785197</v>
      </c>
    </row>
    <row r="60" spans="1:6">
      <c r="A60" s="1286" t="s">
        <v>49</v>
      </c>
      <c r="B60" s="1286" t="s">
        <v>53</v>
      </c>
      <c r="C60" s="335">
        <v>5</v>
      </c>
      <c r="D60" s="335">
        <v>585568.83675071399</v>
      </c>
      <c r="E60" s="335">
        <v>13</v>
      </c>
      <c r="F60" s="335">
        <v>310838.411931207</v>
      </c>
    </row>
    <row r="61" spans="1:6">
      <c r="A61" s="1286" t="s">
        <v>49</v>
      </c>
      <c r="B61" s="1286" t="s">
        <v>54</v>
      </c>
      <c r="C61" s="335">
        <v>40</v>
      </c>
      <c r="D61" s="335">
        <v>1644761.35765621</v>
      </c>
      <c r="E61" s="335">
        <v>125</v>
      </c>
      <c r="F61" s="335">
        <v>1707171.12226786</v>
      </c>
    </row>
    <row r="62" spans="1:6">
      <c r="A62" s="1286" t="s">
        <v>49</v>
      </c>
      <c r="B62" s="1286" t="s">
        <v>55</v>
      </c>
      <c r="C62" s="335">
        <v>0</v>
      </c>
      <c r="D62" s="335">
        <v>0</v>
      </c>
      <c r="E62" s="335">
        <v>0</v>
      </c>
      <c r="F62" s="335">
        <v>0</v>
      </c>
    </row>
    <row r="63" spans="1:6">
      <c r="A63" s="1286" t="s">
        <v>49</v>
      </c>
      <c r="B63" s="1286" t="s">
        <v>29</v>
      </c>
      <c r="C63" s="335">
        <v>65</v>
      </c>
      <c r="D63" s="335">
        <v>2546392.7943162001</v>
      </c>
      <c r="E63" s="335">
        <v>91</v>
      </c>
      <c r="F63" s="335">
        <v>1498677.6173271299</v>
      </c>
    </row>
    <row r="64" spans="1:6">
      <c r="A64" s="1286" t="s">
        <v>56</v>
      </c>
      <c r="B64" s="1286" t="s">
        <v>57</v>
      </c>
      <c r="C64" s="335">
        <v>0</v>
      </c>
      <c r="D64" s="335">
        <v>0</v>
      </c>
      <c r="E64" s="335">
        <v>0</v>
      </c>
      <c r="F64" s="335">
        <v>0</v>
      </c>
    </row>
    <row r="65" spans="1:6">
      <c r="A65" s="1286" t="s">
        <v>56</v>
      </c>
      <c r="B65" s="1286" t="s">
        <v>29</v>
      </c>
      <c r="C65" s="335">
        <v>3</v>
      </c>
      <c r="D65" s="335">
        <v>130052.802468658</v>
      </c>
      <c r="E65" s="335">
        <v>3</v>
      </c>
      <c r="F65" s="335">
        <v>69487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189986.741989136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27526718</v>
      </c>
      <c r="E73" s="335">
        <v>28675767.516485203</v>
      </c>
    </row>
    <row r="74" spans="1:6">
      <c r="A74" s="1286" t="s">
        <v>64</v>
      </c>
      <c r="B74" s="1286" t="s">
        <v>772</v>
      </c>
      <c r="C74" s="1297" t="s">
        <v>766</v>
      </c>
      <c r="D74" s="335">
        <v>2233297.7162396559</v>
      </c>
      <c r="E74" s="335">
        <v>2442247.2442591833</v>
      </c>
    </row>
    <row r="75" spans="1:6">
      <c r="A75" s="1286" t="s">
        <v>65</v>
      </c>
      <c r="B75" s="1286" t="s">
        <v>771</v>
      </c>
      <c r="C75" s="1297" t="s">
        <v>767</v>
      </c>
      <c r="D75" s="335">
        <v>10881910</v>
      </c>
      <c r="E75" s="335">
        <v>11068968.452759085</v>
      </c>
    </row>
    <row r="76" spans="1:6">
      <c r="A76" s="1286" t="s">
        <v>65</v>
      </c>
      <c r="B76" s="1286" t="s">
        <v>772</v>
      </c>
      <c r="C76" s="1297" t="s">
        <v>768</v>
      </c>
      <c r="D76" s="335">
        <v>524219.71623965609</v>
      </c>
      <c r="E76" s="335">
        <v>579754.0607528257</v>
      </c>
    </row>
    <row r="77" spans="1:6">
      <c r="A77" s="1286" t="s">
        <v>66</v>
      </c>
      <c r="B77" s="1286" t="s">
        <v>771</v>
      </c>
      <c r="C77" s="1297" t="s">
        <v>769</v>
      </c>
      <c r="D77" s="335">
        <v>80166911</v>
      </c>
      <c r="E77" s="335">
        <v>87255187.292895168</v>
      </c>
    </row>
    <row r="78" spans="1:6">
      <c r="A78" s="1282" t="s">
        <v>66</v>
      </c>
      <c r="B78" s="1282" t="s">
        <v>772</v>
      </c>
      <c r="C78" s="1282" t="s">
        <v>770</v>
      </c>
      <c r="D78" s="1282">
        <v>8402912</v>
      </c>
      <c r="E78" s="1282">
        <v>8761969.8019810338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210572.56752068785</v>
      </c>
      <c r="C83" s="335">
        <v>204094.54935086233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1561.5154688291314</v>
      </c>
    </row>
    <row r="92" spans="1:6">
      <c r="A92" s="1282" t="s">
        <v>69</v>
      </c>
      <c r="B92" s="338">
        <v>240.47235829843564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725</v>
      </c>
    </row>
    <row r="98" spans="1:6">
      <c r="A98" s="1286" t="s">
        <v>72</v>
      </c>
      <c r="B98" s="335">
        <v>0</v>
      </c>
    </row>
    <row r="99" spans="1:6">
      <c r="A99" s="1286" t="s">
        <v>73</v>
      </c>
      <c r="B99" s="335">
        <v>45</v>
      </c>
    </row>
    <row r="100" spans="1:6">
      <c r="A100" s="1286" t="s">
        <v>74</v>
      </c>
      <c r="B100" s="335">
        <v>134</v>
      </c>
    </row>
    <row r="101" spans="1:6">
      <c r="A101" s="1286" t="s">
        <v>75</v>
      </c>
      <c r="B101" s="335">
        <v>32</v>
      </c>
    </row>
    <row r="102" spans="1:6">
      <c r="A102" s="1286" t="s">
        <v>76</v>
      </c>
      <c r="B102" s="335">
        <v>19</v>
      </c>
    </row>
    <row r="103" spans="1:6">
      <c r="A103" s="1286" t="s">
        <v>77</v>
      </c>
      <c r="B103" s="335">
        <v>54</v>
      </c>
    </row>
    <row r="104" spans="1:6">
      <c r="A104" s="1286" t="s">
        <v>78</v>
      </c>
      <c r="B104" s="335">
        <v>1609</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21498.240874977575</v>
      </c>
      <c r="C3" s="44" t="s">
        <v>170</v>
      </c>
      <c r="D3" s="44"/>
      <c r="E3" s="157"/>
      <c r="F3" s="44"/>
      <c r="G3" s="44"/>
      <c r="H3" s="44"/>
      <c r="I3" s="44"/>
      <c r="J3" s="44"/>
      <c r="K3" s="97"/>
    </row>
    <row r="4" spans="1:11">
      <c r="A4" s="365" t="s">
        <v>171</v>
      </c>
      <c r="B4" s="50">
        <f>IF(ISERROR('SEAP template'!B78),0,'SEAP template'!B78)</f>
        <v>7417.9878271275666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0.14474374632189982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8022.8571428571431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482.27100000000002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482.27100000000002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0.14474374632189982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69.80571128240895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13013.982173808601</v>
      </c>
      <c r="C5" s="18">
        <f>IF(ISERROR('Eigen informatie GS &amp; warmtenet'!B57),0,'Eigen informatie GS &amp; warmtenet'!B57)</f>
        <v>0</v>
      </c>
      <c r="D5" s="31">
        <f>(SUM(HH_hh_gas_kWh,HH_rest_gas_kWh)/1000)*0.902</f>
        <v>28734.900913864651</v>
      </c>
      <c r="E5" s="18">
        <f>B46*B57</f>
        <v>2578.7322819648571</v>
      </c>
      <c r="F5" s="18">
        <f>B51*B62</f>
        <v>17495.459445905344</v>
      </c>
      <c r="G5" s="19"/>
      <c r="H5" s="18"/>
      <c r="I5" s="18"/>
      <c r="J5" s="18">
        <f>B50*B61+C50*C61</f>
        <v>0</v>
      </c>
      <c r="K5" s="18"/>
      <c r="L5" s="18"/>
      <c r="M5" s="18"/>
      <c r="N5" s="18">
        <f>B48*B59+C48*C59</f>
        <v>5955.2302306641495</v>
      </c>
      <c r="O5" s="18">
        <f>B69*B70*B71</f>
        <v>46.9</v>
      </c>
      <c r="P5" s="18">
        <f>B77*B78*B79/1000-B77*B78*B79/1000/B80</f>
        <v>95.333333333333343</v>
      </c>
    </row>
    <row r="6" spans="1:16">
      <c r="A6" s="17" t="s">
        <v>639</v>
      </c>
      <c r="B6" s="780">
        <f>kWh_PV_kleiner_dan_10kW</f>
        <v>1561.5154688291314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14575.497642637732</v>
      </c>
      <c r="C8" s="22">
        <f>C5</f>
        <v>0</v>
      </c>
      <c r="D8" s="22">
        <f>D5</f>
        <v>28734.900913864651</v>
      </c>
      <c r="E8" s="22">
        <f>E5</f>
        <v>2578.7322819648571</v>
      </c>
      <c r="F8" s="22">
        <f>F5</f>
        <v>17495.459445905344</v>
      </c>
      <c r="G8" s="22"/>
      <c r="H8" s="22"/>
      <c r="I8" s="22"/>
      <c r="J8" s="22">
        <f>J5</f>
        <v>0</v>
      </c>
      <c r="K8" s="22"/>
      <c r="L8" s="22">
        <f>L5</f>
        <v>0</v>
      </c>
      <c r="M8" s="22">
        <f>M5</f>
        <v>0</v>
      </c>
      <c r="N8" s="22">
        <f>N5</f>
        <v>5955.2302306641495</v>
      </c>
      <c r="O8" s="22">
        <f>O5</f>
        <v>46.9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0.14474374632189982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2109.7121333014047</v>
      </c>
      <c r="C12" s="24">
        <f ca="1">C10*C8</f>
        <v>0</v>
      </c>
      <c r="D12" s="24">
        <f>D8*D10</f>
        <v>5804.4499846006602</v>
      </c>
      <c r="E12" s="24">
        <f>E10*E8</f>
        <v>585.37222800602262</v>
      </c>
      <c r="F12" s="24">
        <f>F10*F8</f>
        <v>4671.2876720567274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725</v>
      </c>
      <c r="C18" s="169" t="s">
        <v>111</v>
      </c>
      <c r="D18" s="231"/>
      <c r="E18" s="16"/>
    </row>
    <row r="19" spans="1:7">
      <c r="A19" s="174" t="s">
        <v>72</v>
      </c>
      <c r="B19" s="38">
        <f>aantalw2001_ander</f>
        <v>0</v>
      </c>
      <c r="C19" s="169" t="s">
        <v>111</v>
      </c>
      <c r="D19" s="232"/>
      <c r="E19" s="16"/>
    </row>
    <row r="20" spans="1:7">
      <c r="A20" s="174" t="s">
        <v>73</v>
      </c>
      <c r="B20" s="38">
        <f>aantalw2001_propaan</f>
        <v>45</v>
      </c>
      <c r="C20" s="170">
        <f>IF(ISERROR(B20/SUM($B$20,$B$21,$B$22)*100),0,B20/SUM($B$20,$B$21,$B$22)*100)</f>
        <v>21.327014218009481</v>
      </c>
      <c r="D20" s="232"/>
      <c r="E20" s="16"/>
    </row>
    <row r="21" spans="1:7">
      <c r="A21" s="174" t="s">
        <v>74</v>
      </c>
      <c r="B21" s="38">
        <f>aantalw2001_elektriciteit</f>
        <v>134</v>
      </c>
      <c r="C21" s="170">
        <f>IF(ISERROR(B21/SUM($B$20,$B$21,$B$22)*100),0,B21/SUM($B$20,$B$21,$B$22)*100)</f>
        <v>63.507109004739334</v>
      </c>
      <c r="D21" s="232"/>
      <c r="E21" s="16"/>
    </row>
    <row r="22" spans="1:7">
      <c r="A22" s="174" t="s">
        <v>75</v>
      </c>
      <c r="B22" s="38">
        <f>aantalw2001_hout</f>
        <v>32</v>
      </c>
      <c r="C22" s="170">
        <f>IF(ISERROR(B22/SUM($B$20,$B$21,$B$22)*100),0,B22/SUM($B$20,$B$21,$B$22)*100)</f>
        <v>15.165876777251185</v>
      </c>
      <c r="D22" s="232"/>
      <c r="E22" s="16"/>
    </row>
    <row r="23" spans="1:7">
      <c r="A23" s="174" t="s">
        <v>76</v>
      </c>
      <c r="B23" s="38">
        <f>aantalw2001_niet_gespec</f>
        <v>19</v>
      </c>
      <c r="C23" s="169" t="s">
        <v>111</v>
      </c>
      <c r="D23" s="231"/>
      <c r="E23" s="16"/>
    </row>
    <row r="24" spans="1:7">
      <c r="A24" s="174" t="s">
        <v>77</v>
      </c>
      <c r="B24" s="38">
        <f>aantalw2001_steenkool</f>
        <v>54</v>
      </c>
      <c r="C24" s="169" t="s">
        <v>111</v>
      </c>
      <c r="D24" s="232"/>
      <c r="E24" s="16"/>
    </row>
    <row r="25" spans="1:7">
      <c r="A25" s="174" t="s">
        <v>78</v>
      </c>
      <c r="B25" s="38">
        <f>aantalw2001_stookolie</f>
        <v>1609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2968</v>
      </c>
      <c r="C28" s="37"/>
      <c r="D28" s="231"/>
    </row>
    <row r="29" spans="1:7" s="16" customFormat="1">
      <c r="A29" s="233" t="s">
        <v>666</v>
      </c>
      <c r="B29" s="38">
        <f>SUM(HH_hh_gas_aantal,HH_rest_gas_aantal)</f>
        <v>1528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1528</v>
      </c>
      <c r="C32" s="170">
        <f>IF(ISERROR(B32/SUM($B$32,$B$34,$B$35,$B$36,$B$38,$B$39)*100),0,B32/SUM($B$32,$B$34,$B$35,$B$36,$B$38,$B$39)*100)</f>
        <v>51.569355383057712</v>
      </c>
      <c r="D32" s="236"/>
      <c r="G32" s="16"/>
    </row>
    <row r="33" spans="1:7">
      <c r="A33" s="174" t="s">
        <v>72</v>
      </c>
      <c r="B33" s="35" t="s">
        <v>111</v>
      </c>
      <c r="C33" s="170"/>
      <c r="D33" s="236"/>
      <c r="G33" s="16"/>
    </row>
    <row r="34" spans="1:7">
      <c r="A34" s="174" t="s">
        <v>73</v>
      </c>
      <c r="B34" s="34">
        <f>IF((($B$28-$B$32-$B$39-$B$77-$B$38)*C20/100)&lt;0,0,($B$28-$B$32-$B$39-$B$77-$B$38)*C20/100)</f>
        <v>117.02132701421802</v>
      </c>
      <c r="C34" s="170">
        <f>IF(ISERROR(B34/SUM($B$32,$B$34,$B$35,$B$36,$B$38,$B$39)*100),0,B34/SUM($B$32,$B$34,$B$35,$B$36,$B$38,$B$39)*100)</f>
        <v>3.9494204189746211</v>
      </c>
      <c r="D34" s="236"/>
      <c r="G34" s="16"/>
    </row>
    <row r="35" spans="1:7">
      <c r="A35" s="174" t="s">
        <v>74</v>
      </c>
      <c r="B35" s="34">
        <f>IF((($B$28-$B$32-$B$39-$B$77-$B$38)*C21/100)&lt;0,0,($B$28-$B$32-$B$39-$B$77-$B$38)*C21/100)</f>
        <v>348.46350710900481</v>
      </c>
      <c r="C35" s="170">
        <f>IF(ISERROR(B35/SUM($B$32,$B$34,$B$35,$B$36,$B$38,$B$39)*100),0,B35/SUM($B$32,$B$34,$B$35,$B$36,$B$38,$B$39)*100)</f>
        <v>11.76049635872443</v>
      </c>
      <c r="D35" s="236"/>
      <c r="G35" s="16"/>
    </row>
    <row r="36" spans="1:7">
      <c r="A36" s="174" t="s">
        <v>75</v>
      </c>
      <c r="B36" s="34">
        <f>IF((($B$28-$B$32-$B$39-$B$77-$B$38)*C22/100)&lt;0,0,($B$28-$B$32-$B$39-$B$77-$B$38)*C22/100)</f>
        <v>83.215165876777263</v>
      </c>
      <c r="C36" s="170">
        <f>IF(ISERROR(B36/SUM($B$32,$B$34,$B$35,$B$36,$B$38,$B$39)*100),0,B36/SUM($B$32,$B$34,$B$35,$B$36,$B$38,$B$39)*100)</f>
        <v>2.808476742381953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886.3</v>
      </c>
      <c r="C39" s="170">
        <f>IF(ISERROR(B39/SUM($B$32,$B$34,$B$35,$B$36,$B$38,$B$39)*100),0,B39/SUM($B$32,$B$34,$B$35,$B$36,$B$38,$B$39)*100)</f>
        <v>29.912251096861286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1528</v>
      </c>
      <c r="C44" s="35" t="s">
        <v>111</v>
      </c>
      <c r="D44" s="177"/>
    </row>
    <row r="45" spans="1:7">
      <c r="A45" s="174" t="s">
        <v>72</v>
      </c>
      <c r="B45" s="34" t="str">
        <f t="shared" si="0"/>
        <v>-</v>
      </c>
      <c r="C45" s="35" t="s">
        <v>111</v>
      </c>
      <c r="D45" s="177"/>
    </row>
    <row r="46" spans="1:7">
      <c r="A46" s="174" t="s">
        <v>73</v>
      </c>
      <c r="B46" s="34">
        <f t="shared" si="0"/>
        <v>117.02132701421802</v>
      </c>
      <c r="C46" s="35" t="s">
        <v>111</v>
      </c>
      <c r="D46" s="177"/>
    </row>
    <row r="47" spans="1:7">
      <c r="A47" s="174" t="s">
        <v>74</v>
      </c>
      <c r="B47" s="34">
        <f t="shared" si="0"/>
        <v>348.46350710900481</v>
      </c>
      <c r="C47" s="35" t="s">
        <v>111</v>
      </c>
      <c r="D47" s="177"/>
    </row>
    <row r="48" spans="1:7">
      <c r="A48" s="174" t="s">
        <v>75</v>
      </c>
      <c r="B48" s="34">
        <f t="shared" si="0"/>
        <v>83.215165876777263</v>
      </c>
      <c r="C48" s="34">
        <f>B48*10</f>
        <v>832.15165876777269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886.3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4694.2089540154984</v>
      </c>
      <c r="C5" s="18">
        <f>IF(ISERROR('Eigen informatie GS &amp; warmtenet'!B58),0,'Eigen informatie GS &amp; warmtenet'!B58)</f>
        <v>0</v>
      </c>
      <c r="D5" s="31">
        <f>SUM(D6:D12)</f>
        <v>5069.0738436883876</v>
      </c>
      <c r="E5" s="18">
        <f>SUM(E6:E12)</f>
        <v>38.94195784214979</v>
      </c>
      <c r="F5" s="18">
        <f>SUM(F6:F12)</f>
        <v>859.48529324704305</v>
      </c>
      <c r="G5" s="19"/>
      <c r="H5" s="18"/>
      <c r="I5" s="18"/>
      <c r="J5" s="18">
        <f>SUM(J6:J12)</f>
        <v>0</v>
      </c>
      <c r="K5" s="18"/>
      <c r="L5" s="18"/>
      <c r="M5" s="18"/>
      <c r="N5" s="18">
        <f>SUM(N6:N12)</f>
        <v>334.91155006557705</v>
      </c>
      <c r="O5" s="18">
        <f>B38*B39*B40</f>
        <v>0</v>
      </c>
      <c r="P5" s="18">
        <f>B46*B47*B48/1000-B46*B47*B48/1000/B49</f>
        <v>0</v>
      </c>
      <c r="R5" s="33"/>
    </row>
    <row r="6" spans="1:18">
      <c r="A6" s="33" t="s">
        <v>54</v>
      </c>
      <c r="B6" s="38">
        <f>B26</f>
        <v>1707.17112226786</v>
      </c>
      <c r="C6" s="34"/>
      <c r="D6" s="38">
        <f>IF(ISERROR(TER_kantoor_gas_kWh/1000),0,TER_kantoor_gas_kWh/1000)*0.902</f>
        <v>1483.5747446059015</v>
      </c>
      <c r="E6" s="34">
        <f>$C$26*'E Balans VL '!I12/100/3.6*1000000</f>
        <v>2.8018138139981175</v>
      </c>
      <c r="F6" s="34">
        <f>$C$26*('E Balans VL '!L12+'E Balans VL '!N12)/100/3.6*1000000</f>
        <v>201.23530776015448</v>
      </c>
      <c r="G6" s="35"/>
      <c r="H6" s="34"/>
      <c r="I6" s="34"/>
      <c r="J6" s="34">
        <f>$C$26*('E Balans VL '!D12+'E Balans VL '!E12)/100/3.6*1000000</f>
        <v>0</v>
      </c>
      <c r="K6" s="34"/>
      <c r="L6" s="34"/>
      <c r="M6" s="34"/>
      <c r="N6" s="34">
        <f>$C$26*'E Balans VL '!Y12/100/3.6*1000000</f>
        <v>0.34492584113713159</v>
      </c>
      <c r="O6" s="34"/>
      <c r="P6" s="34"/>
      <c r="R6" s="33"/>
    </row>
    <row r="7" spans="1:18">
      <c r="A7" s="33" t="s">
        <v>53</v>
      </c>
      <c r="B7" s="38">
        <f t="shared" ref="B7:B12" si="0">B27</f>
        <v>310.83841193120702</v>
      </c>
      <c r="C7" s="34"/>
      <c r="D7" s="38">
        <f>IF(ISERROR(TER_horeca_gas_kWh/1000),0,TER_horeca_gas_kWh/1000)*0.902</f>
        <v>528.18309074914407</v>
      </c>
      <c r="E7" s="34">
        <f>$C$27*'E Balans VL '!I9/100/3.6*1000000</f>
        <v>16.13026430434822</v>
      </c>
      <c r="F7" s="34">
        <f>$C$27*('E Balans VL '!L9+'E Balans VL '!N9)/100/3.6*1000000</f>
        <v>70.933551148171006</v>
      </c>
      <c r="G7" s="35"/>
      <c r="H7" s="34"/>
      <c r="I7" s="34"/>
      <c r="J7" s="34">
        <f>$C$27*('E Balans VL '!D9+'E Balans VL '!E9)/100/3.6*1000000</f>
        <v>0</v>
      </c>
      <c r="K7" s="34"/>
      <c r="L7" s="34"/>
      <c r="M7" s="34"/>
      <c r="N7" s="34">
        <f>$C$27*'E Balans VL '!Y9/100/3.6*1000000</f>
        <v>3.282439385201856E-2</v>
      </c>
      <c r="O7" s="34"/>
      <c r="P7" s="34"/>
      <c r="R7" s="33"/>
    </row>
    <row r="8" spans="1:18">
      <c r="A8" s="6" t="s">
        <v>52</v>
      </c>
      <c r="B8" s="38">
        <f t="shared" si="0"/>
        <v>683.89858456785191</v>
      </c>
      <c r="C8" s="34"/>
      <c r="D8" s="38">
        <f>IF(ISERROR(TER_handel_gas_kWh/1000),0,TER_handel_gas_kWh/1000)*0.902</f>
        <v>218.88197197165852</v>
      </c>
      <c r="E8" s="34">
        <f>$C$28*'E Balans VL '!I13/100/3.6*1000000</f>
        <v>3.6828779178641118</v>
      </c>
      <c r="F8" s="34">
        <f>$C$28*('E Balans VL '!L13+'E Balans VL '!N13)/100/3.6*1000000</f>
        <v>139.4672450288343</v>
      </c>
      <c r="G8" s="35"/>
      <c r="H8" s="34"/>
      <c r="I8" s="34"/>
      <c r="J8" s="34">
        <f>$C$28*('E Balans VL '!D13+'E Balans VL '!E13)/100/3.6*1000000</f>
        <v>0</v>
      </c>
      <c r="K8" s="34"/>
      <c r="L8" s="34"/>
      <c r="M8" s="34"/>
      <c r="N8" s="34">
        <f>$C$28*'E Balans VL '!Y13/100/3.6*1000000</f>
        <v>3.4006665045607605</v>
      </c>
      <c r="O8" s="34"/>
      <c r="P8" s="34"/>
      <c r="R8" s="33"/>
    </row>
    <row r="9" spans="1:18">
      <c r="A9" s="33" t="s">
        <v>51</v>
      </c>
      <c r="B9" s="38">
        <f t="shared" si="0"/>
        <v>91.851982702756899</v>
      </c>
      <c r="C9" s="34"/>
      <c r="D9" s="38">
        <f>IF(ISERROR(TER_gezond_gas_kWh/1000),0,TER_gezond_gas_kWh/1000)*0.902</f>
        <v>78.875484884647307</v>
      </c>
      <c r="E9" s="34">
        <f>$C$29*'E Balans VL '!I10/100/3.6*1000000</f>
        <v>9.102635939485644E-2</v>
      </c>
      <c r="F9" s="34">
        <f>$C$29*('E Balans VL '!L10+'E Balans VL '!N10)/100/3.6*1000000</f>
        <v>31.869990466026092</v>
      </c>
      <c r="G9" s="35"/>
      <c r="H9" s="34"/>
      <c r="I9" s="34"/>
      <c r="J9" s="34">
        <f>$C$29*('E Balans VL '!D10+'E Balans VL '!E10)/100/3.6*1000000</f>
        <v>0</v>
      </c>
      <c r="K9" s="34"/>
      <c r="L9" s="34"/>
      <c r="M9" s="34"/>
      <c r="N9" s="34">
        <f>$C$29*'E Balans VL '!Y10/100/3.6*1000000</f>
        <v>0.79148057785054349</v>
      </c>
      <c r="O9" s="34"/>
      <c r="P9" s="34"/>
      <c r="R9" s="33"/>
    </row>
    <row r="10" spans="1:18">
      <c r="A10" s="33" t="s">
        <v>50</v>
      </c>
      <c r="B10" s="38">
        <f t="shared" si="0"/>
        <v>401.77123521869299</v>
      </c>
      <c r="C10" s="34"/>
      <c r="D10" s="38">
        <f>IF(ISERROR(TER_ander_gas_kWh/1000),0,TER_ander_gas_kWh/1000)*0.902</f>
        <v>462.71225100382321</v>
      </c>
      <c r="E10" s="34">
        <f>$C$30*'E Balans VL '!I14/100/3.6*1000000</f>
        <v>3.2868902458415743</v>
      </c>
      <c r="F10" s="34">
        <f>$C$30*('E Balans VL '!L14+'E Balans VL '!N14)/100/3.6*1000000</f>
        <v>117.46155239351931</v>
      </c>
      <c r="G10" s="35"/>
      <c r="H10" s="34"/>
      <c r="I10" s="34"/>
      <c r="J10" s="34">
        <f>$C$30*('E Balans VL '!D14+'E Balans VL '!E14)/100/3.6*1000000</f>
        <v>0</v>
      </c>
      <c r="K10" s="34"/>
      <c r="L10" s="34"/>
      <c r="M10" s="34"/>
      <c r="N10" s="34">
        <f>$C$30*'E Balans VL '!Y14/100/3.6*1000000</f>
        <v>231.76928588084579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1498.6776173271298</v>
      </c>
      <c r="C12" s="34"/>
      <c r="D12" s="38">
        <f>IF(ISERROR(TER_rest_gas_kWh/1000),0,TER_rest_gas_kWh/1000)*0.902</f>
        <v>2296.8463004732125</v>
      </c>
      <c r="E12" s="34">
        <f>$C$32*'E Balans VL '!I8/100/3.6*1000000</f>
        <v>12.949085200702909</v>
      </c>
      <c r="F12" s="34">
        <f>$C$32*('E Balans VL '!L8+'E Balans VL '!N8)/100/3.6*1000000</f>
        <v>298.51764645033796</v>
      </c>
      <c r="G12" s="35"/>
      <c r="H12" s="34"/>
      <c r="I12" s="34"/>
      <c r="J12" s="34">
        <f>$C$32*('E Balans VL '!D8+'E Balans VL '!E8)/100/3.6*1000000</f>
        <v>0</v>
      </c>
      <c r="K12" s="34"/>
      <c r="L12" s="34"/>
      <c r="M12" s="34"/>
      <c r="N12" s="34">
        <f>$C$32*'E Balans VL '!Y8/100/3.6*1000000</f>
        <v>98.572366867330814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4694.2089540154984</v>
      </c>
      <c r="C16" s="22">
        <f t="shared" ca="1" si="1"/>
        <v>0</v>
      </c>
      <c r="D16" s="22">
        <f t="shared" ca="1" si="1"/>
        <v>5069.0738436883876</v>
      </c>
      <c r="E16" s="22">
        <f t="shared" si="1"/>
        <v>38.94195784214979</v>
      </c>
      <c r="F16" s="22">
        <f t="shared" ca="1" si="1"/>
        <v>859.48529324704305</v>
      </c>
      <c r="G16" s="22">
        <f t="shared" si="1"/>
        <v>0</v>
      </c>
      <c r="H16" s="22">
        <f t="shared" si="1"/>
        <v>0</v>
      </c>
      <c r="I16" s="22">
        <f t="shared" si="1"/>
        <v>0</v>
      </c>
      <c r="J16" s="22">
        <f t="shared" si="1"/>
        <v>0</v>
      </c>
      <c r="K16" s="22">
        <f t="shared" si="1"/>
        <v>0</v>
      </c>
      <c r="L16" s="22">
        <f t="shared" ca="1" si="1"/>
        <v>0</v>
      </c>
      <c r="M16" s="22">
        <f t="shared" si="1"/>
        <v>0</v>
      </c>
      <c r="N16" s="22">
        <f t="shared" ca="1" si="1"/>
        <v>334.91155006557705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0.14474374632189982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679.45739002201003</v>
      </c>
      <c r="C20" s="24">
        <f t="shared" ref="C20:P20" ca="1" si="2">C16*C18</f>
        <v>0</v>
      </c>
      <c r="D20" s="24">
        <f t="shared" ca="1" si="2"/>
        <v>1023.9529164250544</v>
      </c>
      <c r="E20" s="24">
        <f t="shared" si="2"/>
        <v>8.8398244301680027</v>
      </c>
      <c r="F20" s="24">
        <f t="shared" ca="1" si="2"/>
        <v>229.48257329696051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1707.17112226786</v>
      </c>
      <c r="C26" s="40">
        <f>IF(ISERROR(B26*3.6/1000000/'E Balans VL '!Z12*100),0,B26*3.6/1000000/'E Balans VL '!Z12*100)</f>
        <v>3.6276162082783336E-2</v>
      </c>
      <c r="D26" s="240" t="s">
        <v>707</v>
      </c>
      <c r="F26" s="6"/>
    </row>
    <row r="27" spans="1:18">
      <c r="A27" s="234" t="s">
        <v>53</v>
      </c>
      <c r="B27" s="34">
        <f>IF(ISERROR(TER_horeca_ele_kWh/1000),0,TER_horeca_ele_kWh/1000)</f>
        <v>310.83841193120702</v>
      </c>
      <c r="C27" s="40">
        <f>IF(ISERROR(B27*3.6/1000000/'E Balans VL '!Z9*100),0,B27*3.6/1000000/'E Balans VL '!Z9*100)</f>
        <v>2.4465386722001416E-2</v>
      </c>
      <c r="D27" s="240" t="s">
        <v>707</v>
      </c>
      <c r="F27" s="6"/>
    </row>
    <row r="28" spans="1:18">
      <c r="A28" s="174" t="s">
        <v>52</v>
      </c>
      <c r="B28" s="34">
        <f>IF(ISERROR(TER_handel_ele_kWh/1000),0,TER_handel_ele_kWh/1000)</f>
        <v>683.89858456785191</v>
      </c>
      <c r="C28" s="40">
        <f>IF(ISERROR(B28*3.6/1000000/'E Balans VL '!Z13*100),0,B28*3.6/1000000/'E Balans VL '!Z13*100)</f>
        <v>1.9156365361818101E-2</v>
      </c>
      <c r="D28" s="240" t="s">
        <v>707</v>
      </c>
      <c r="F28" s="6"/>
    </row>
    <row r="29" spans="1:18">
      <c r="A29" s="234" t="s">
        <v>51</v>
      </c>
      <c r="B29" s="34">
        <f>IF(ISERROR(TER_gezond_ele_kWh/1000),0,TER_gezond_ele_kWh/1000)</f>
        <v>91.851982702756899</v>
      </c>
      <c r="C29" s="40">
        <f>IF(ISERROR(B29*3.6/1000000/'E Balans VL '!Z10*100),0,B29*3.6/1000000/'E Balans VL '!Z10*100)</f>
        <v>1.1750646079777735E-2</v>
      </c>
      <c r="D29" s="240" t="s">
        <v>707</v>
      </c>
      <c r="F29" s="6"/>
    </row>
    <row r="30" spans="1:18">
      <c r="A30" s="234" t="s">
        <v>50</v>
      </c>
      <c r="B30" s="34">
        <f>IF(ISERROR(TER_ander_ele_kWh/1000),0,TER_ander_ele_kWh/1000)</f>
        <v>401.77123521869299</v>
      </c>
      <c r="C30" s="40">
        <f>IF(ISERROR(B30*3.6/1000000/'E Balans VL '!Z14*100),0,B30*3.6/1000000/'E Balans VL '!Z14*100)</f>
        <v>3.0049103010791351E-2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1498.6776173271298</v>
      </c>
      <c r="C32" s="40">
        <f>IF(ISERROR(B32*3.6/1000000/'E Balans VL '!Z8*100),0,B32*3.6/1000000/'E Balans VL '!Z8*100)</f>
        <v>1.2346004399535877E-2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820.20892315118749</v>
      </c>
      <c r="C5" s="18">
        <f>IF(ISERROR('Eigen informatie GS &amp; warmtenet'!B59),0,'Eigen informatie GS &amp; warmtenet'!B59)</f>
        <v>0</v>
      </c>
      <c r="D5" s="31">
        <f>SUM(D6:D15)</f>
        <v>486.29873527308911</v>
      </c>
      <c r="E5" s="18">
        <f>SUM(E6:E15)</f>
        <v>6.4122099052914674</v>
      </c>
      <c r="F5" s="18">
        <f>SUM(F6:F15)</f>
        <v>398.84121314765747</v>
      </c>
      <c r="G5" s="19"/>
      <c r="H5" s="18"/>
      <c r="I5" s="18"/>
      <c r="J5" s="18">
        <f>SUM(J6:J15)</f>
        <v>0.93437106530025216</v>
      </c>
      <c r="K5" s="18"/>
      <c r="L5" s="18"/>
      <c r="M5" s="18"/>
      <c r="N5" s="18">
        <f>SUM(N6:N15)</f>
        <v>44.273539233383687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426.58399502809004</v>
      </c>
      <c r="C9" s="34"/>
      <c r="D9" s="38">
        <f>IF( ISERROR(IND_andere_gas_kWh/1000),0,IND_andere_gas_kWh/1000)*0.902</f>
        <v>263.07098226175208</v>
      </c>
      <c r="E9" s="34">
        <f>C31*'E Balans VL '!I19/100/3.6*1000000</f>
        <v>2.4657192389676545</v>
      </c>
      <c r="F9" s="34">
        <f>C31*'E Balans VL '!L19/100/3.6*1000000+C31*'E Balans VL '!N19/100/3.6*1000000</f>
        <v>339.36809445442651</v>
      </c>
      <c r="G9" s="35"/>
      <c r="H9" s="34"/>
      <c r="I9" s="34"/>
      <c r="J9" s="41">
        <f>C31*'E Balans VL '!D19/100/3.6*1000000+C31*'E Balans VL '!E19/100/3.6*1000000</f>
        <v>4.0350107568848922E-2</v>
      </c>
      <c r="K9" s="34"/>
      <c r="L9" s="34"/>
      <c r="M9" s="34"/>
      <c r="N9" s="34">
        <f>C31*'E Balans VL '!Y19/100/3.6*1000000</f>
        <v>32.32019325004272</v>
      </c>
      <c r="O9" s="34"/>
      <c r="P9" s="34"/>
      <c r="R9" s="33"/>
    </row>
    <row r="10" spans="1:18">
      <c r="A10" s="6" t="s">
        <v>41</v>
      </c>
      <c r="B10" s="38">
        <f t="shared" si="0"/>
        <v>206.654914076137</v>
      </c>
      <c r="C10" s="34"/>
      <c r="D10" s="38">
        <f>IF( ISERROR(IND_voed_gas_kWh/1000),0,IND_voed_gas_kWh/1000)*0.902</f>
        <v>165.1383607175022</v>
      </c>
      <c r="E10" s="34">
        <f>C32*'E Balans VL '!I20/100/3.6*1000000</f>
        <v>2.031958445893578</v>
      </c>
      <c r="F10" s="34">
        <f>C32*'E Balans VL '!L20/100/3.6*1000000+C32*'E Balans VL '!N20/100/3.6*1000000</f>
        <v>22.951725601260222</v>
      </c>
      <c r="G10" s="35"/>
      <c r="H10" s="34"/>
      <c r="I10" s="34"/>
      <c r="J10" s="41">
        <f>C32*'E Balans VL '!D20/100/3.6*1000000+C32*'E Balans VL '!E20/100/3.6*1000000</f>
        <v>8.1452083205994048E-4</v>
      </c>
      <c r="K10" s="34"/>
      <c r="L10" s="34"/>
      <c r="M10" s="34"/>
      <c r="N10" s="34">
        <f>C32*'E Balans VL '!Y20/100/3.6*1000000</f>
        <v>3.0600731738706064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9.3507621623343997</v>
      </c>
      <c r="C13" s="34"/>
      <c r="D13" s="38">
        <f>IF( ISERROR(IND_papier_gas_kWh/1000),0,IND_papier_gas_kWh/1000)*0.902</f>
        <v>0</v>
      </c>
      <c r="E13" s="34">
        <f>C35*'E Balans VL '!I23/100/3.6*1000000</f>
        <v>0.31850051697770387</v>
      </c>
      <c r="F13" s="34">
        <f>C35*'E Balans VL '!L23/100/3.6*1000000+C35*'E Balans VL '!N23/100/3.6*1000000</f>
        <v>1.5445264515536437</v>
      </c>
      <c r="G13" s="35"/>
      <c r="H13" s="34"/>
      <c r="I13" s="34"/>
      <c r="J13" s="41">
        <f>C35*'E Balans VL '!D23/100/3.6*1000000+C35*'E Balans VL '!E23/100/3.6*1000000</f>
        <v>0</v>
      </c>
      <c r="K13" s="34"/>
      <c r="L13" s="34"/>
      <c r="M13" s="34"/>
      <c r="N13" s="34">
        <f>C35*'E Balans VL '!Y23/100/3.6*1000000</f>
        <v>3.4408297077374135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177.61925188462598</v>
      </c>
      <c r="C15" s="34"/>
      <c r="D15" s="38">
        <f>IF( ISERROR(IND_rest_gas_kWh/1000),0,IND_rest_gas_kWh/1000)*0.902</f>
        <v>58.089392293834827</v>
      </c>
      <c r="E15" s="34">
        <f>C37*'E Balans VL '!I15/100/3.6*1000000</f>
        <v>1.596031703452532</v>
      </c>
      <c r="F15" s="34">
        <f>C37*'E Balans VL '!L15/100/3.6*1000000+C37*'E Balans VL '!N15/100/3.6*1000000</f>
        <v>34.976866640417143</v>
      </c>
      <c r="G15" s="35"/>
      <c r="H15" s="34"/>
      <c r="I15" s="34"/>
      <c r="J15" s="41">
        <f>C37*'E Balans VL '!D15/100/3.6*1000000+C37*'E Balans VL '!E15/100/3.6*1000000</f>
        <v>0.89320643689934331</v>
      </c>
      <c r="K15" s="34"/>
      <c r="L15" s="34"/>
      <c r="M15" s="34"/>
      <c r="N15" s="34">
        <f>C37*'E Balans VL '!Y15/100/3.6*1000000</f>
        <v>5.4524431017329427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820.20892315118749</v>
      </c>
      <c r="C18" s="22">
        <f>C5+C16</f>
        <v>0</v>
      </c>
      <c r="D18" s="22">
        <f>MAX((D5+D16),0)</f>
        <v>486.29873527308911</v>
      </c>
      <c r="E18" s="22">
        <f>MAX((E5+E16),0)</f>
        <v>6.4122099052914674</v>
      </c>
      <c r="F18" s="22">
        <f>MAX((F5+F16),0)</f>
        <v>398.84121314765747</v>
      </c>
      <c r="G18" s="22"/>
      <c r="H18" s="22"/>
      <c r="I18" s="22"/>
      <c r="J18" s="22">
        <f>MAX((J5+J16),0)</f>
        <v>0.93437106530025216</v>
      </c>
      <c r="K18" s="22"/>
      <c r="L18" s="22">
        <f>MAX((L5+L16),0)</f>
        <v>0</v>
      </c>
      <c r="M18" s="22"/>
      <c r="N18" s="22">
        <f>MAX((N5+N16),0)</f>
        <v>44.273539233383687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0.14474374632189982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118.7201123035541</v>
      </c>
      <c r="C22" s="24">
        <f ca="1">C18*C20</f>
        <v>0</v>
      </c>
      <c r="D22" s="24">
        <f>D18*D20</f>
        <v>98.232344525164009</v>
      </c>
      <c r="E22" s="24">
        <f>E18*E20</f>
        <v>1.4555716485011632</v>
      </c>
      <c r="F22" s="24">
        <f>F18*F20</f>
        <v>106.49060391042455</v>
      </c>
      <c r="G22" s="24"/>
      <c r="H22" s="24"/>
      <c r="I22" s="24"/>
      <c r="J22" s="24">
        <f>J18*J20</f>
        <v>0.33076735711628924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426.58399502809004</v>
      </c>
      <c r="C31" s="40">
        <f>IF(ISERROR(B31*3.6/1000000/'E Balans VL '!Z19*100),0,B31*3.6/1000000/'E Balans VL '!Z19*100)</f>
        <v>1.9830769590151006E-2</v>
      </c>
      <c r="D31" s="240" t="s">
        <v>707</v>
      </c>
    </row>
    <row r="32" spans="1:18">
      <c r="A32" s="174" t="s">
        <v>41</v>
      </c>
      <c r="B32" s="38">
        <f>IF( ISERROR(IND_voed_ele_kWh/1000),0,IND_voed_ele_kWh/1000)</f>
        <v>206.654914076137</v>
      </c>
      <c r="C32" s="40">
        <f>IF(ISERROR(B32*3.6/1000000/'E Balans VL '!Z20*100),0,B32*3.6/1000000/'E Balans VL '!Z20*100)</f>
        <v>7.3048338553172026E-3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9.3507621623343997</v>
      </c>
      <c r="C35" s="40">
        <f>IF(ISERROR(B35*3.6/1000000/'E Balans VL '!Z22*100),0,B35*3.6/1000000/'E Balans VL '!Z22*100)</f>
        <v>1.8792395120445153E-3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177.61925188462598</v>
      </c>
      <c r="C37" s="40">
        <f>IF(ISERROR(B37*3.6/1000000/'E Balans VL '!Z15*100),0,B37*3.6/1000000/'E Balans VL '!Z15*100)</f>
        <v>1.3412877350402438E-3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555.37146536205603</v>
      </c>
      <c r="C5" s="18">
        <f>'Eigen informatie GS &amp; warmtenet'!B60</f>
        <v>0</v>
      </c>
      <c r="D5" s="31">
        <f>IF(ISERROR(SUM(LB_lb_gas_kWh,LB_rest_gas_kWh)/1000),0,SUM(LB_lb_gas_kWh,LB_rest_gas_kWh)/1000)*0.902</f>
        <v>228.17697453753328</v>
      </c>
      <c r="E5" s="18">
        <f>B17*'E Balans VL '!I25/3.6*1000000/100</f>
        <v>5.2319713147987565</v>
      </c>
      <c r="F5" s="18">
        <f>B17*('E Balans VL '!L25/3.6*1000000+'E Balans VL '!N25/3.6*1000000)/100</f>
        <v>1812.3614030788965</v>
      </c>
      <c r="G5" s="19"/>
      <c r="H5" s="18"/>
      <c r="I5" s="18"/>
      <c r="J5" s="18">
        <f>('E Balans VL '!D25+'E Balans VL '!E25)/3.6*1000000*landbouw!B17/100</f>
        <v>68.70215159157496</v>
      </c>
      <c r="K5" s="18"/>
      <c r="L5" s="18">
        <f>L6*(-1)</f>
        <v>0</v>
      </c>
      <c r="M5" s="18"/>
      <c r="N5" s="18">
        <f>N6*(-1)</f>
        <v>16045.714285714286</v>
      </c>
      <c r="O5" s="18"/>
      <c r="P5" s="18"/>
      <c r="R5" s="33"/>
    </row>
    <row r="6" spans="1:18">
      <c r="A6" s="17" t="s">
        <v>502</v>
      </c>
      <c r="B6" s="18" t="s">
        <v>211</v>
      </c>
      <c r="C6" s="18">
        <f>'lokale energieproductie'!O92+'lokale energieproductie'!O61</f>
        <v>8022.8571428571431</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-16045.714285714286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555.37146536205603</v>
      </c>
      <c r="C8" s="22">
        <f>C5+C6</f>
        <v>8022.8571428571431</v>
      </c>
      <c r="D8" s="22">
        <f>MAX((D5+D6),0)</f>
        <v>228.17697453753328</v>
      </c>
      <c r="E8" s="22">
        <f>MAX((E5+E6),0)</f>
        <v>5.2319713147987565</v>
      </c>
      <c r="F8" s="22">
        <f>MAX((F5+F6),0)</f>
        <v>1812.3614030788965</v>
      </c>
      <c r="G8" s="22"/>
      <c r="H8" s="22"/>
      <c r="I8" s="22"/>
      <c r="J8" s="22">
        <f>MAX((J5+J6),0)</f>
        <v>68.70215159157496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0.14474374632189982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80.386546496787204</v>
      </c>
      <c r="C12" s="24">
        <f ca="1">C8*C10</f>
        <v>0</v>
      </c>
      <c r="D12" s="24">
        <f>D8*D10</f>
        <v>46.091748856581724</v>
      </c>
      <c r="E12" s="24">
        <f>E8*E10</f>
        <v>1.1876574884593178</v>
      </c>
      <c r="F12" s="24">
        <f>F8*F10</f>
        <v>483.90049462206537</v>
      </c>
      <c r="G12" s="24"/>
      <c r="H12" s="24"/>
      <c r="I12" s="24"/>
      <c r="J12" s="24">
        <f>J8*J10</f>
        <v>24.320561663417536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7.5188421857698445E-2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139.75154960100022</v>
      </c>
      <c r="C26" s="250">
        <f>B26*'GWP N2O_CH4'!B5</f>
        <v>2934.7825416210048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37.598629470331211</v>
      </c>
      <c r="C27" s="250">
        <f>B27*'GWP N2O_CH4'!B5</f>
        <v>789.57121887695541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2.5773240281385963</v>
      </c>
      <c r="C28" s="250">
        <f>B28*'GWP N2O_CH4'!B4</f>
        <v>798.97044872296487</v>
      </c>
      <c r="D28" s="51"/>
    </row>
    <row r="29" spans="1:4">
      <c r="A29" s="42" t="s">
        <v>277</v>
      </c>
      <c r="B29" s="250">
        <f>B34*'ha_N2O bodem landbouw'!B4</f>
        <v>10.219971074722284</v>
      </c>
      <c r="C29" s="250">
        <f>B29*'GWP N2O_CH4'!B4</f>
        <v>3168.1910331639083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2.7590704627585044E-3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8.9813978636698367E-6</v>
      </c>
      <c r="C5" s="447" t="s">
        <v>211</v>
      </c>
      <c r="D5" s="432">
        <f>SUM(D6:D11)</f>
        <v>2.4049228216693467E-5</v>
      </c>
      <c r="E5" s="432">
        <f>SUM(E6:E11)</f>
        <v>1.6363941396010323E-3</v>
      </c>
      <c r="F5" s="445" t="s">
        <v>211</v>
      </c>
      <c r="G5" s="432">
        <f>SUM(G6:G11)</f>
        <v>0.32370933104499328</v>
      </c>
      <c r="H5" s="432">
        <f>SUM(H6:H11)</f>
        <v>5.565046409818402E-2</v>
      </c>
      <c r="I5" s="447" t="s">
        <v>211</v>
      </c>
      <c r="J5" s="447" t="s">
        <v>211</v>
      </c>
      <c r="K5" s="447" t="s">
        <v>211</v>
      </c>
      <c r="L5" s="447" t="s">
        <v>211</v>
      </c>
      <c r="M5" s="432">
        <f>SUM(M6:M11)</f>
        <v>1.6960522751837688E-2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2.0849865691020982E-6</v>
      </c>
      <c r="C6" s="433"/>
      <c r="D6" s="433">
        <f>vkm_2011_GW_PW*SUMIFS(TableVerdeelsleutelVkm[CNG],TableVerdeelsleutelVkm[Voertuigtype],"Lichte voertuigen")*SUMIFS(TableECFTransport[EnergieConsumptieFactor (PJ per km)],TableECFTransport[Index],CONCATENATE($A6,"_CNG_CNG"))</f>
        <v>5.0915721192393392E-6</v>
      </c>
      <c r="E6" s="435">
        <f>vkm_2011_GW_PW*SUMIFS(TableVerdeelsleutelVkm[LPG],TableVerdeelsleutelVkm[Voertuigtype],"Lichte voertuigen")*SUMIFS(TableECFTransport[EnergieConsumptieFactor (PJ per km)],TableECFTransport[Index],CONCATENATE($A6,"_LPG_LPG"))</f>
        <v>3.0180208269141166E-4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4.3629041294717008E-2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1.1433918284207584E-2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2.4658207346038639E-3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2.0764175863390751E-2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8.3775354337053666E-6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9.2503761032302918E-4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8.2424051411351744E-7</v>
      </c>
      <c r="C8" s="433"/>
      <c r="D8" s="435">
        <f>vkm_2011_NGW_PW*SUMIFS(TableVerdeelsleutelVkm[CNG],TableVerdeelsleutelVkm[Voertuigtype],"Lichte voertuigen")*SUMIFS(TableECFTransport[EnergieConsumptieFactor (PJ per km)],TableECFTransport[Index],CONCATENATE($A8,"_CNG_CNG"))</f>
        <v>3.6113215740373518E-6</v>
      </c>
      <c r="E8" s="435">
        <f>vkm_2011_NGW_PW*SUMIFS(TableVerdeelsleutelVkm[LPG],TableVerdeelsleutelVkm[Voertuigtype],"Lichte voertuigen")*SUMIFS(TableECFTransport[EnergieConsumptieFactor (PJ per km)],TableECFTransport[Index],CONCATENATE($A8,"_LPG_LPG"))</f>
        <v>1.9637902442763778E-4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2.6818564994223668E-2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7.7659071982916156E-3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1.5494616176589579E-3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6.7571895919781568E-3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2.3737448084374601E-6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3.0101458217509264E-4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6.0721707804542209E-6</v>
      </c>
      <c r="C10" s="433"/>
      <c r="D10" s="435">
        <f>vkm_2011_SW_PW*SUMIFS(TableVerdeelsleutelVkm[CNG],TableVerdeelsleutelVkm[Voertuigtype],"Lichte voertuigen")*SUMIFS(TableECFTransport[EnergieConsumptieFactor (PJ per km)],TableECFTransport[Index],CONCATENATE($A10,"_CNG_CNG"))</f>
        <v>1.5346334523416778E-5</v>
      </c>
      <c r="E10" s="435">
        <f>vkm_2011_SW_PW*SUMIFS(TableVerdeelsleutelVkm[LPG],TableVerdeelsleutelVkm[Voertuigtype],"Lichte voertuigen")*SUMIFS(TableECFTransport[EnergieConsumptieFactor (PJ per km)],TableECFTransport[Index],CONCATENATE($A10,"_LPG_LPG"))</f>
        <v>1.1382130324819829E-3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0.14995320096599782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3.6407446536620897E-2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8.3428085125428035E-3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7.5787158334685883E-2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3.2440798821784126E-5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3.3763796945339413E-3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2.4948327399082881</v>
      </c>
      <c r="C14" s="22"/>
      <c r="D14" s="22">
        <f t="shared" ref="D14:M14" si="0">((D5)*10^9/3600)+D12</f>
        <v>6.6803411713037413</v>
      </c>
      <c r="E14" s="22">
        <f t="shared" si="0"/>
        <v>454.55392766695343</v>
      </c>
      <c r="F14" s="22"/>
      <c r="G14" s="22">
        <f t="shared" si="0"/>
        <v>89919.258623609247</v>
      </c>
      <c r="H14" s="22">
        <f t="shared" si="0"/>
        <v>15458.46224949556</v>
      </c>
      <c r="I14" s="22"/>
      <c r="J14" s="22"/>
      <c r="K14" s="22"/>
      <c r="L14" s="22"/>
      <c r="M14" s="22">
        <f t="shared" si="0"/>
        <v>4711.256319954914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0.14474374632189982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0.36111143722085554</v>
      </c>
      <c r="C18" s="24"/>
      <c r="D18" s="24">
        <f t="shared" ref="D18:M18" si="1">D14*D16</f>
        <v>1.3494289166033557</v>
      </c>
      <c r="E18" s="24">
        <f t="shared" si="1"/>
        <v>103.18374158039843</v>
      </c>
      <c r="F18" s="24"/>
      <c r="G18" s="24">
        <f t="shared" si="1"/>
        <v>24008.442052503669</v>
      </c>
      <c r="H18" s="24">
        <f t="shared" si="1"/>
        <v>3849.1571001243947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2.7600311581580531E-3</v>
      </c>
      <c r="H50" s="323">
        <f t="shared" si="2"/>
        <v>0</v>
      </c>
      <c r="I50" s="323">
        <f t="shared" si="2"/>
        <v>0</v>
      </c>
      <c r="J50" s="323">
        <f t="shared" si="2"/>
        <v>0</v>
      </c>
      <c r="K50" s="323">
        <f t="shared" si="2"/>
        <v>0</v>
      </c>
      <c r="L50" s="323">
        <f t="shared" si="2"/>
        <v>0</v>
      </c>
      <c r="M50" s="323">
        <f t="shared" si="2"/>
        <v>1.2119752111090787E-4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2.7600311581580531E-3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1.2119752111090787E-4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766.6753217105703</v>
      </c>
      <c r="H54" s="22">
        <f t="shared" si="3"/>
        <v>0</v>
      </c>
      <c r="I54" s="22">
        <f t="shared" si="3"/>
        <v>0</v>
      </c>
      <c r="J54" s="22">
        <f t="shared" si="3"/>
        <v>0</v>
      </c>
      <c r="K54" s="22">
        <f t="shared" si="3"/>
        <v>0</v>
      </c>
      <c r="L54" s="22">
        <f t="shared" si="3"/>
        <v>0</v>
      </c>
      <c r="M54" s="22">
        <f t="shared" si="3"/>
        <v>33.665978086363296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0.14474374632189982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204.70231089672228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5176.4799540154982</v>
      </c>
      <c r="D10" s="688">
        <f ca="1">tertiair!C16</f>
        <v>0</v>
      </c>
      <c r="E10" s="688">
        <f ca="1">tertiair!D16</f>
        <v>5069.0738436883876</v>
      </c>
      <c r="F10" s="688">
        <f>tertiair!E16</f>
        <v>38.94195784214979</v>
      </c>
      <c r="G10" s="688">
        <f ca="1">tertiair!F16</f>
        <v>859.48529324704305</v>
      </c>
      <c r="H10" s="688">
        <f>tertiair!G16</f>
        <v>0</v>
      </c>
      <c r="I10" s="688">
        <f>tertiair!H16</f>
        <v>0</v>
      </c>
      <c r="J10" s="688">
        <f>tertiair!I16</f>
        <v>0</v>
      </c>
      <c r="K10" s="688">
        <f>tertiair!J16</f>
        <v>0</v>
      </c>
      <c r="L10" s="688">
        <f>tertiair!K16</f>
        <v>0</v>
      </c>
      <c r="M10" s="688">
        <f ca="1">tertiair!L16</f>
        <v>0</v>
      </c>
      <c r="N10" s="688">
        <f>tertiair!M16</f>
        <v>0</v>
      </c>
      <c r="O10" s="688">
        <f ca="1">tertiair!N16</f>
        <v>334.91155006557705</v>
      </c>
      <c r="P10" s="688">
        <f>tertiair!O16</f>
        <v>0</v>
      </c>
      <c r="Q10" s="689">
        <f>tertiair!P16</f>
        <v>0</v>
      </c>
      <c r="R10" s="691">
        <f ca="1">SUM(C10:Q10)</f>
        <v>11478.892598858654</v>
      </c>
      <c r="S10" s="68"/>
    </row>
    <row r="11" spans="1:19" s="457" customFormat="1">
      <c r="A11" s="803" t="s">
        <v>225</v>
      </c>
      <c r="B11" s="808"/>
      <c r="C11" s="688">
        <f>huishoudens!B8</f>
        <v>14575.497642637732</v>
      </c>
      <c r="D11" s="688">
        <f>huishoudens!C8</f>
        <v>0</v>
      </c>
      <c r="E11" s="688">
        <f>huishoudens!D8</f>
        <v>28734.900913864651</v>
      </c>
      <c r="F11" s="688">
        <f>huishoudens!E8</f>
        <v>2578.7322819648571</v>
      </c>
      <c r="G11" s="688">
        <f>huishoudens!F8</f>
        <v>17495.459445905344</v>
      </c>
      <c r="H11" s="688">
        <f>huishoudens!G8</f>
        <v>0</v>
      </c>
      <c r="I11" s="688">
        <f>huishoudens!H8</f>
        <v>0</v>
      </c>
      <c r="J11" s="688">
        <f>huishoudens!I8</f>
        <v>0</v>
      </c>
      <c r="K11" s="688">
        <f>huishoudens!J8</f>
        <v>0</v>
      </c>
      <c r="L11" s="688">
        <f>huishoudens!K8</f>
        <v>0</v>
      </c>
      <c r="M11" s="688">
        <f>huishoudens!L8</f>
        <v>0</v>
      </c>
      <c r="N11" s="688">
        <f>huishoudens!M8</f>
        <v>0</v>
      </c>
      <c r="O11" s="688">
        <f>huishoudens!N8</f>
        <v>5955.2302306641495</v>
      </c>
      <c r="P11" s="688">
        <f>huishoudens!O8</f>
        <v>46.9</v>
      </c>
      <c r="Q11" s="689">
        <f>huishoudens!P8</f>
        <v>95.333333333333343</v>
      </c>
      <c r="R11" s="691">
        <f>SUM(C11:Q11)</f>
        <v>69482.053848370051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820.20892315118749</v>
      </c>
      <c r="D13" s="688">
        <f>industrie!C18</f>
        <v>0</v>
      </c>
      <c r="E13" s="688">
        <f>industrie!D18</f>
        <v>486.29873527308911</v>
      </c>
      <c r="F13" s="688">
        <f>industrie!E18</f>
        <v>6.4122099052914674</v>
      </c>
      <c r="G13" s="688">
        <f>industrie!F18</f>
        <v>398.84121314765747</v>
      </c>
      <c r="H13" s="688">
        <f>industrie!G18</f>
        <v>0</v>
      </c>
      <c r="I13" s="688">
        <f>industrie!H18</f>
        <v>0</v>
      </c>
      <c r="J13" s="688">
        <f>industrie!I18</f>
        <v>0</v>
      </c>
      <c r="K13" s="688">
        <f>industrie!J18</f>
        <v>0.93437106530025216</v>
      </c>
      <c r="L13" s="688">
        <f>industrie!K18</f>
        <v>0</v>
      </c>
      <c r="M13" s="688">
        <f>industrie!L18</f>
        <v>0</v>
      </c>
      <c r="N13" s="688">
        <f>industrie!M18</f>
        <v>0</v>
      </c>
      <c r="O13" s="688">
        <f>industrie!N18</f>
        <v>44.273539233383687</v>
      </c>
      <c r="P13" s="688">
        <f>industrie!O18</f>
        <v>0</v>
      </c>
      <c r="Q13" s="689">
        <f>industrie!P18</f>
        <v>0</v>
      </c>
      <c r="R13" s="691">
        <f>SUM(C13:Q13)</f>
        <v>1756.9689917759094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20572.186519804422</v>
      </c>
      <c r="D16" s="721">
        <f t="shared" ref="D16:R16" ca="1" si="0">SUM(D9:D15)</f>
        <v>0</v>
      </c>
      <c r="E16" s="721">
        <f t="shared" ca="1" si="0"/>
        <v>34290.273492826127</v>
      </c>
      <c r="F16" s="721">
        <f t="shared" si="0"/>
        <v>2624.0864497122984</v>
      </c>
      <c r="G16" s="721">
        <f t="shared" ca="1" si="0"/>
        <v>18753.785952300044</v>
      </c>
      <c r="H16" s="721">
        <f t="shared" si="0"/>
        <v>0</v>
      </c>
      <c r="I16" s="721">
        <f t="shared" si="0"/>
        <v>0</v>
      </c>
      <c r="J16" s="721">
        <f t="shared" si="0"/>
        <v>0</v>
      </c>
      <c r="K16" s="721">
        <f t="shared" si="0"/>
        <v>0.93437106530025216</v>
      </c>
      <c r="L16" s="721">
        <f t="shared" si="0"/>
        <v>0</v>
      </c>
      <c r="M16" s="721">
        <f t="shared" ca="1" si="0"/>
        <v>0</v>
      </c>
      <c r="N16" s="721">
        <f t="shared" si="0"/>
        <v>0</v>
      </c>
      <c r="O16" s="721">
        <f t="shared" ca="1" si="0"/>
        <v>6334.4153199631101</v>
      </c>
      <c r="P16" s="721">
        <f t="shared" si="0"/>
        <v>46.9</v>
      </c>
      <c r="Q16" s="721">
        <f t="shared" si="0"/>
        <v>95.333333333333343</v>
      </c>
      <c r="R16" s="721">
        <f t="shared" ca="1" si="0"/>
        <v>82717.915439004617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766.6753217105703</v>
      </c>
      <c r="I19" s="688">
        <f>transport!H54</f>
        <v>0</v>
      </c>
      <c r="J19" s="688">
        <f>transport!I54</f>
        <v>0</v>
      </c>
      <c r="K19" s="688">
        <f>transport!J54</f>
        <v>0</v>
      </c>
      <c r="L19" s="688">
        <f>transport!K54</f>
        <v>0</v>
      </c>
      <c r="M19" s="688">
        <f>transport!L54</f>
        <v>0</v>
      </c>
      <c r="N19" s="688">
        <f>transport!M54</f>
        <v>33.665978086363296</v>
      </c>
      <c r="O19" s="688">
        <f>transport!N54</f>
        <v>0</v>
      </c>
      <c r="P19" s="688">
        <f>transport!O54</f>
        <v>0</v>
      </c>
      <c r="Q19" s="689">
        <f>transport!P54</f>
        <v>0</v>
      </c>
      <c r="R19" s="691">
        <f>SUM(C19:Q19)</f>
        <v>800.34129979693364</v>
      </c>
      <c r="S19" s="68"/>
    </row>
    <row r="20" spans="1:19" s="457" customFormat="1">
      <c r="A20" s="803" t="s">
        <v>307</v>
      </c>
      <c r="B20" s="808"/>
      <c r="C20" s="688">
        <f>transport!B14</f>
        <v>2.4948327399082881</v>
      </c>
      <c r="D20" s="688">
        <f>transport!C14</f>
        <v>0</v>
      </c>
      <c r="E20" s="688">
        <f>transport!D14</f>
        <v>6.6803411713037413</v>
      </c>
      <c r="F20" s="688">
        <f>transport!E14</f>
        <v>454.55392766695343</v>
      </c>
      <c r="G20" s="688">
        <f>transport!F14</f>
        <v>0</v>
      </c>
      <c r="H20" s="688">
        <f>transport!G14</f>
        <v>89919.258623609247</v>
      </c>
      <c r="I20" s="688">
        <f>transport!H14</f>
        <v>15458.46224949556</v>
      </c>
      <c r="J20" s="688">
        <f>transport!I14</f>
        <v>0</v>
      </c>
      <c r="K20" s="688">
        <f>transport!J14</f>
        <v>0</v>
      </c>
      <c r="L20" s="688">
        <f>transport!K14</f>
        <v>0</v>
      </c>
      <c r="M20" s="688">
        <f>transport!L14</f>
        <v>0</v>
      </c>
      <c r="N20" s="688">
        <f>transport!M14</f>
        <v>4711.256319954914</v>
      </c>
      <c r="O20" s="688">
        <f>transport!N14</f>
        <v>0</v>
      </c>
      <c r="P20" s="688">
        <f>transport!O14</f>
        <v>0</v>
      </c>
      <c r="Q20" s="689">
        <f>transport!P14</f>
        <v>0</v>
      </c>
      <c r="R20" s="691">
        <f>SUM(C20:Q20)</f>
        <v>110552.70629463789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2.4948327399082881</v>
      </c>
      <c r="D22" s="806">
        <f t="shared" ref="D22:R22" si="1">SUM(D18:D21)</f>
        <v>0</v>
      </c>
      <c r="E22" s="806">
        <f t="shared" si="1"/>
        <v>6.6803411713037413</v>
      </c>
      <c r="F22" s="806">
        <f t="shared" si="1"/>
        <v>454.55392766695343</v>
      </c>
      <c r="G22" s="806">
        <f t="shared" si="1"/>
        <v>0</v>
      </c>
      <c r="H22" s="806">
        <f t="shared" si="1"/>
        <v>90685.933945319819</v>
      </c>
      <c r="I22" s="806">
        <f t="shared" si="1"/>
        <v>15458.46224949556</v>
      </c>
      <c r="J22" s="806">
        <f t="shared" si="1"/>
        <v>0</v>
      </c>
      <c r="K22" s="806">
        <f t="shared" si="1"/>
        <v>0</v>
      </c>
      <c r="L22" s="806">
        <f t="shared" si="1"/>
        <v>0</v>
      </c>
      <c r="M22" s="806">
        <f t="shared" si="1"/>
        <v>0</v>
      </c>
      <c r="N22" s="806">
        <f t="shared" si="1"/>
        <v>4744.9222980412769</v>
      </c>
      <c r="O22" s="806">
        <f t="shared" si="1"/>
        <v>0</v>
      </c>
      <c r="P22" s="806">
        <f t="shared" si="1"/>
        <v>0</v>
      </c>
      <c r="Q22" s="806">
        <f t="shared" si="1"/>
        <v>0</v>
      </c>
      <c r="R22" s="806">
        <f t="shared" si="1"/>
        <v>111353.04759443481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555.37146536205603</v>
      </c>
      <c r="D24" s="688">
        <f>+landbouw!C8</f>
        <v>8022.8571428571431</v>
      </c>
      <c r="E24" s="688">
        <f>+landbouw!D8</f>
        <v>228.17697453753328</v>
      </c>
      <c r="F24" s="688">
        <f>+landbouw!E8</f>
        <v>5.2319713147987565</v>
      </c>
      <c r="G24" s="688">
        <f>+landbouw!F8</f>
        <v>1812.3614030788965</v>
      </c>
      <c r="H24" s="688">
        <f>+landbouw!G8</f>
        <v>0</v>
      </c>
      <c r="I24" s="688">
        <f>+landbouw!H8</f>
        <v>0</v>
      </c>
      <c r="J24" s="688">
        <f>+landbouw!I8</f>
        <v>0</v>
      </c>
      <c r="K24" s="688">
        <f>+landbouw!J8</f>
        <v>68.70215159157496</v>
      </c>
      <c r="L24" s="688">
        <f>+landbouw!K8</f>
        <v>0</v>
      </c>
      <c r="M24" s="688">
        <f>+landbouw!L8</f>
        <v>0</v>
      </c>
      <c r="N24" s="688">
        <f>+landbouw!M8</f>
        <v>0</v>
      </c>
      <c r="O24" s="688">
        <f>+landbouw!N8</f>
        <v>0</v>
      </c>
      <c r="P24" s="688">
        <f>+landbouw!O8</f>
        <v>0</v>
      </c>
      <c r="Q24" s="689">
        <f>+landbouw!P8</f>
        <v>0</v>
      </c>
      <c r="R24" s="691">
        <f>SUM(C24:Q24)</f>
        <v>10692.701108742001</v>
      </c>
      <c r="S24" s="68"/>
    </row>
    <row r="25" spans="1:19" s="457" customFormat="1" ht="15" thickBot="1">
      <c r="A25" s="825" t="s">
        <v>912</v>
      </c>
      <c r="B25" s="1001"/>
      <c r="C25" s="1002">
        <f>IF(Onbekend_ele_kWh="---",0,Onbekend_ele_kWh)/1000+IF(REST_rest_ele_kWh="---",0,REST_rest_ele_kWh)/1000</f>
        <v>368.18805707119105</v>
      </c>
      <c r="D25" s="1002"/>
      <c r="E25" s="1002">
        <f>IF(onbekend_gas_kWh="---",0,onbekend_gas_kWh)/1000+IF(REST_rest_gas_kWh="---",0,REST_rest_gas_kWh)/1000</f>
        <v>645.18584449306593</v>
      </c>
      <c r="F25" s="1002"/>
      <c r="G25" s="1002"/>
      <c r="H25" s="1002"/>
      <c r="I25" s="1002"/>
      <c r="J25" s="1002"/>
      <c r="K25" s="1002"/>
      <c r="L25" s="1002"/>
      <c r="M25" s="1002"/>
      <c r="N25" s="1002"/>
      <c r="O25" s="1002"/>
      <c r="P25" s="1002"/>
      <c r="Q25" s="1003"/>
      <c r="R25" s="691">
        <f>SUM(C25:Q25)</f>
        <v>1013.373901564257</v>
      </c>
      <c r="S25" s="68"/>
    </row>
    <row r="26" spans="1:19" s="457" customFormat="1" ht="15.75" thickBot="1">
      <c r="A26" s="694" t="s">
        <v>913</v>
      </c>
      <c r="B26" s="811"/>
      <c r="C26" s="806">
        <f>SUM(C24:C25)</f>
        <v>923.55952243324714</v>
      </c>
      <c r="D26" s="806">
        <f t="shared" ref="D26:R26" si="2">SUM(D24:D25)</f>
        <v>8022.8571428571431</v>
      </c>
      <c r="E26" s="806">
        <f t="shared" si="2"/>
        <v>873.36281903059921</v>
      </c>
      <c r="F26" s="806">
        <f t="shared" si="2"/>
        <v>5.2319713147987565</v>
      </c>
      <c r="G26" s="806">
        <f t="shared" si="2"/>
        <v>1812.3614030788965</v>
      </c>
      <c r="H26" s="806">
        <f t="shared" si="2"/>
        <v>0</v>
      </c>
      <c r="I26" s="806">
        <f t="shared" si="2"/>
        <v>0</v>
      </c>
      <c r="J26" s="806">
        <f t="shared" si="2"/>
        <v>0</v>
      </c>
      <c r="K26" s="806">
        <f t="shared" si="2"/>
        <v>68.70215159157496</v>
      </c>
      <c r="L26" s="806">
        <f t="shared" si="2"/>
        <v>0</v>
      </c>
      <c r="M26" s="806">
        <f t="shared" si="2"/>
        <v>0</v>
      </c>
      <c r="N26" s="806">
        <f t="shared" si="2"/>
        <v>0</v>
      </c>
      <c r="O26" s="806">
        <f t="shared" si="2"/>
        <v>0</v>
      </c>
      <c r="P26" s="806">
        <f t="shared" si="2"/>
        <v>0</v>
      </c>
      <c r="Q26" s="806">
        <f t="shared" si="2"/>
        <v>0</v>
      </c>
      <c r="R26" s="806">
        <f t="shared" si="2"/>
        <v>11706.075010306258</v>
      </c>
      <c r="S26" s="68"/>
    </row>
    <row r="27" spans="1:19" s="457" customFormat="1" ht="17.25" thickTop="1" thickBot="1">
      <c r="A27" s="695" t="s">
        <v>116</v>
      </c>
      <c r="B27" s="798"/>
      <c r="C27" s="696">
        <f ca="1">C22+C16+C26</f>
        <v>21498.240874977575</v>
      </c>
      <c r="D27" s="696">
        <f t="shared" ref="D27:R27" ca="1" si="3">D22+D16+D26</f>
        <v>8022.8571428571431</v>
      </c>
      <c r="E27" s="696">
        <f t="shared" ca="1" si="3"/>
        <v>35170.316653028029</v>
      </c>
      <c r="F27" s="696">
        <f t="shared" si="3"/>
        <v>3083.8723486940503</v>
      </c>
      <c r="G27" s="696">
        <f t="shared" ca="1" si="3"/>
        <v>20566.14735537894</v>
      </c>
      <c r="H27" s="696">
        <f t="shared" si="3"/>
        <v>90685.933945319819</v>
      </c>
      <c r="I27" s="696">
        <f t="shared" si="3"/>
        <v>15458.46224949556</v>
      </c>
      <c r="J27" s="696">
        <f t="shared" si="3"/>
        <v>0</v>
      </c>
      <c r="K27" s="696">
        <f t="shared" si="3"/>
        <v>69.636522656875215</v>
      </c>
      <c r="L27" s="696">
        <f t="shared" si="3"/>
        <v>0</v>
      </c>
      <c r="M27" s="696">
        <f t="shared" ca="1" si="3"/>
        <v>0</v>
      </c>
      <c r="N27" s="696">
        <f t="shared" si="3"/>
        <v>4744.9222980412769</v>
      </c>
      <c r="O27" s="696">
        <f t="shared" ca="1" si="3"/>
        <v>6334.4153199631101</v>
      </c>
      <c r="P27" s="696">
        <f t="shared" si="3"/>
        <v>46.9</v>
      </c>
      <c r="Q27" s="696">
        <f t="shared" si="3"/>
        <v>95.333333333333343</v>
      </c>
      <c r="R27" s="696">
        <f t="shared" ca="1" si="3"/>
        <v>205777.03804374568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749.26310130441902</v>
      </c>
      <c r="D40" s="688">
        <f ca="1">tertiair!C20</f>
        <v>0</v>
      </c>
      <c r="E40" s="688">
        <f ca="1">tertiair!D20</f>
        <v>1023.9529164250544</v>
      </c>
      <c r="F40" s="688">
        <f>tertiair!E20</f>
        <v>8.8398244301680027</v>
      </c>
      <c r="G40" s="688">
        <f ca="1">tertiair!F20</f>
        <v>229.48257329696051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2011.5384154566018</v>
      </c>
    </row>
    <row r="41" spans="1:18">
      <c r="A41" s="816" t="s">
        <v>225</v>
      </c>
      <c r="B41" s="823"/>
      <c r="C41" s="688">
        <f ca="1">huishoudens!B12</f>
        <v>2109.7121333014047</v>
      </c>
      <c r="D41" s="688">
        <f ca="1">huishoudens!C12</f>
        <v>0</v>
      </c>
      <c r="E41" s="688">
        <f>huishoudens!D12</f>
        <v>5804.4499846006602</v>
      </c>
      <c r="F41" s="688">
        <f>huishoudens!E12</f>
        <v>585.37222800602262</v>
      </c>
      <c r="G41" s="688">
        <f>huishoudens!F12</f>
        <v>4671.2876720567274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13170.822017964814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118.7201123035541</v>
      </c>
      <c r="D43" s="688">
        <f ca="1">industrie!C22</f>
        <v>0</v>
      </c>
      <c r="E43" s="688">
        <f>industrie!D22</f>
        <v>98.232344525164009</v>
      </c>
      <c r="F43" s="688">
        <f>industrie!E22</f>
        <v>1.4555716485011632</v>
      </c>
      <c r="G43" s="688">
        <f>industrie!F22</f>
        <v>106.49060391042455</v>
      </c>
      <c r="H43" s="688">
        <f>industrie!G22</f>
        <v>0</v>
      </c>
      <c r="I43" s="688">
        <f>industrie!H22</f>
        <v>0</v>
      </c>
      <c r="J43" s="688">
        <f>industrie!I22</f>
        <v>0</v>
      </c>
      <c r="K43" s="688">
        <f>industrie!J22</f>
        <v>0.33076735711628924</v>
      </c>
      <c r="L43" s="688">
        <f>industrie!K22</f>
        <v>0</v>
      </c>
      <c r="M43" s="688">
        <f>industrie!L22</f>
        <v>0</v>
      </c>
      <c r="N43" s="688">
        <f>industrie!M22</f>
        <v>0</v>
      </c>
      <c r="O43" s="688">
        <f>industrie!N22</f>
        <v>0</v>
      </c>
      <c r="P43" s="688">
        <f>industrie!O22</f>
        <v>0</v>
      </c>
      <c r="Q43" s="763">
        <f>industrie!P22</f>
        <v>0</v>
      </c>
      <c r="R43" s="843">
        <f t="shared" ca="1" si="4"/>
        <v>325.22939974476014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2977.6953469093783</v>
      </c>
      <c r="D46" s="721">
        <f t="shared" ref="D46:Q46" ca="1" si="5">SUM(D39:D45)</f>
        <v>0</v>
      </c>
      <c r="E46" s="721">
        <f t="shared" ca="1" si="5"/>
        <v>6926.6352455508786</v>
      </c>
      <c r="F46" s="721">
        <f t="shared" si="5"/>
        <v>595.66762408469185</v>
      </c>
      <c r="G46" s="721">
        <f t="shared" ca="1" si="5"/>
        <v>5007.260849264112</v>
      </c>
      <c r="H46" s="721">
        <f t="shared" si="5"/>
        <v>0</v>
      </c>
      <c r="I46" s="721">
        <f t="shared" si="5"/>
        <v>0</v>
      </c>
      <c r="J46" s="721">
        <f t="shared" si="5"/>
        <v>0</v>
      </c>
      <c r="K46" s="721">
        <f t="shared" si="5"/>
        <v>0.33076735711628924</v>
      </c>
      <c r="L46" s="721">
        <f t="shared" si="5"/>
        <v>0</v>
      </c>
      <c r="M46" s="721">
        <f t="shared" ca="1" si="5"/>
        <v>0</v>
      </c>
      <c r="N46" s="721">
        <f t="shared" si="5"/>
        <v>0</v>
      </c>
      <c r="O46" s="721">
        <f t="shared" ca="1" si="5"/>
        <v>0</v>
      </c>
      <c r="P46" s="721">
        <f t="shared" si="5"/>
        <v>0</v>
      </c>
      <c r="Q46" s="721">
        <f t="shared" si="5"/>
        <v>0</v>
      </c>
      <c r="R46" s="721">
        <f ca="1">SUM(R39:R45)</f>
        <v>15507.589833166176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204.70231089672228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204.70231089672228</v>
      </c>
    </row>
    <row r="50" spans="1:18">
      <c r="A50" s="819" t="s">
        <v>307</v>
      </c>
      <c r="B50" s="829"/>
      <c r="C50" s="1008">
        <f ca="1">transport!B18</f>
        <v>0.36111143722085554</v>
      </c>
      <c r="D50" s="1008">
        <f>transport!C18</f>
        <v>0</v>
      </c>
      <c r="E50" s="1008">
        <f>transport!D18</f>
        <v>1.3494289166033557</v>
      </c>
      <c r="F50" s="1008">
        <f>transport!E18</f>
        <v>103.18374158039843</v>
      </c>
      <c r="G50" s="1008">
        <f>transport!F18</f>
        <v>0</v>
      </c>
      <c r="H50" s="1008">
        <f>transport!G18</f>
        <v>24008.442052503669</v>
      </c>
      <c r="I50" s="1008">
        <f>transport!H18</f>
        <v>3849.1571001243947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27962.493434562286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0.36111143722085554</v>
      </c>
      <c r="D52" s="721">
        <f t="shared" ref="D52:Q52" ca="1" si="6">SUM(D48:D51)</f>
        <v>0</v>
      </c>
      <c r="E52" s="721">
        <f t="shared" si="6"/>
        <v>1.3494289166033557</v>
      </c>
      <c r="F52" s="721">
        <f t="shared" si="6"/>
        <v>103.18374158039843</v>
      </c>
      <c r="G52" s="721">
        <f t="shared" si="6"/>
        <v>0</v>
      </c>
      <c r="H52" s="721">
        <f t="shared" si="6"/>
        <v>24213.144363400392</v>
      </c>
      <c r="I52" s="721">
        <f t="shared" si="6"/>
        <v>3849.1571001243947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28167.195745459008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80.386546496787204</v>
      </c>
      <c r="D54" s="1008">
        <f ca="1">+landbouw!C12</f>
        <v>0</v>
      </c>
      <c r="E54" s="1008">
        <f>+landbouw!D12</f>
        <v>46.091748856581724</v>
      </c>
      <c r="F54" s="1008">
        <f>+landbouw!E12</f>
        <v>1.1876574884593178</v>
      </c>
      <c r="G54" s="1008">
        <f>+landbouw!F12</f>
        <v>483.90049462206537</v>
      </c>
      <c r="H54" s="1008">
        <f>+landbouw!G12</f>
        <v>0</v>
      </c>
      <c r="I54" s="1008">
        <f>+landbouw!H12</f>
        <v>0</v>
      </c>
      <c r="J54" s="1008">
        <f>+landbouw!I12</f>
        <v>0</v>
      </c>
      <c r="K54" s="1008">
        <f>+landbouw!J12</f>
        <v>24.320561663417536</v>
      </c>
      <c r="L54" s="1008">
        <f>+landbouw!K12</f>
        <v>0</v>
      </c>
      <c r="M54" s="1008">
        <f>+landbouw!L12</f>
        <v>0</v>
      </c>
      <c r="N54" s="1008">
        <f>+landbouw!M12</f>
        <v>0</v>
      </c>
      <c r="O54" s="1008">
        <f>+landbouw!N12</f>
        <v>0</v>
      </c>
      <c r="P54" s="1008">
        <f>+landbouw!O12</f>
        <v>0</v>
      </c>
      <c r="Q54" s="1009">
        <f>+landbouw!P12</f>
        <v>0</v>
      </c>
      <c r="R54" s="720">
        <f ca="1">SUM(C54:Q54)</f>
        <v>635.8870091273111</v>
      </c>
    </row>
    <row r="55" spans="1:18" ht="15" thickBot="1">
      <c r="A55" s="819" t="s">
        <v>912</v>
      </c>
      <c r="B55" s="829"/>
      <c r="C55" s="1008">
        <f ca="1">C25*'EF ele_warmte'!B12</f>
        <v>53.292918731465647</v>
      </c>
      <c r="D55" s="1008"/>
      <c r="E55" s="1008">
        <f>E25*EF_CO2_aardgas</f>
        <v>130.32754058759932</v>
      </c>
      <c r="F55" s="1008"/>
      <c r="G55" s="1008"/>
      <c r="H55" s="1008"/>
      <c r="I55" s="1008"/>
      <c r="J55" s="1008"/>
      <c r="K55" s="1008"/>
      <c r="L55" s="1008"/>
      <c r="M55" s="1008"/>
      <c r="N55" s="1008"/>
      <c r="O55" s="1008"/>
      <c r="P55" s="1008"/>
      <c r="Q55" s="1009"/>
      <c r="R55" s="720">
        <f ca="1">SUM(C55:Q55)</f>
        <v>183.62045931906496</v>
      </c>
    </row>
    <row r="56" spans="1:18" ht="15.75" thickBot="1">
      <c r="A56" s="817" t="s">
        <v>913</v>
      </c>
      <c r="B56" s="830"/>
      <c r="C56" s="721">
        <f ca="1">SUM(C54:C55)</f>
        <v>133.67946522825287</v>
      </c>
      <c r="D56" s="721">
        <f t="shared" ref="D56:Q56" ca="1" si="7">SUM(D54:D55)</f>
        <v>0</v>
      </c>
      <c r="E56" s="721">
        <f t="shared" si="7"/>
        <v>176.41928944418103</v>
      </c>
      <c r="F56" s="721">
        <f t="shared" si="7"/>
        <v>1.1876574884593178</v>
      </c>
      <c r="G56" s="721">
        <f t="shared" si="7"/>
        <v>483.90049462206537</v>
      </c>
      <c r="H56" s="721">
        <f t="shared" si="7"/>
        <v>0</v>
      </c>
      <c r="I56" s="721">
        <f t="shared" si="7"/>
        <v>0</v>
      </c>
      <c r="J56" s="721">
        <f t="shared" si="7"/>
        <v>0</v>
      </c>
      <c r="K56" s="721">
        <f t="shared" si="7"/>
        <v>24.320561663417536</v>
      </c>
      <c r="L56" s="721">
        <f t="shared" si="7"/>
        <v>0</v>
      </c>
      <c r="M56" s="721">
        <f t="shared" si="7"/>
        <v>0</v>
      </c>
      <c r="N56" s="721">
        <f t="shared" si="7"/>
        <v>0</v>
      </c>
      <c r="O56" s="721">
        <f t="shared" si="7"/>
        <v>0</v>
      </c>
      <c r="P56" s="721">
        <f t="shared" si="7"/>
        <v>0</v>
      </c>
      <c r="Q56" s="722">
        <f t="shared" si="7"/>
        <v>0</v>
      </c>
      <c r="R56" s="723">
        <f ca="1">SUM(R54:R55)</f>
        <v>819.50746844637604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3111.7359235748518</v>
      </c>
      <c r="D61" s="729">
        <f t="shared" ref="D61:Q61" ca="1" si="8">D46+D52+D56</f>
        <v>0</v>
      </c>
      <c r="E61" s="729">
        <f t="shared" ca="1" si="8"/>
        <v>7104.4039639116636</v>
      </c>
      <c r="F61" s="729">
        <f t="shared" si="8"/>
        <v>700.03902315354958</v>
      </c>
      <c r="G61" s="729">
        <f t="shared" ca="1" si="8"/>
        <v>5491.1613438861777</v>
      </c>
      <c r="H61" s="729">
        <f t="shared" si="8"/>
        <v>24213.144363400392</v>
      </c>
      <c r="I61" s="729">
        <f t="shared" si="8"/>
        <v>3849.1571001243947</v>
      </c>
      <c r="J61" s="729">
        <f t="shared" si="8"/>
        <v>0</v>
      </c>
      <c r="K61" s="729">
        <f t="shared" si="8"/>
        <v>24.651329020533826</v>
      </c>
      <c r="L61" s="729">
        <f t="shared" si="8"/>
        <v>0</v>
      </c>
      <c r="M61" s="729">
        <f t="shared" ca="1" si="8"/>
        <v>0</v>
      </c>
      <c r="N61" s="729">
        <f t="shared" si="8"/>
        <v>0</v>
      </c>
      <c r="O61" s="729">
        <f t="shared" ca="1" si="8"/>
        <v>0</v>
      </c>
      <c r="P61" s="729">
        <f t="shared" si="8"/>
        <v>0</v>
      </c>
      <c r="Q61" s="729">
        <f t="shared" si="8"/>
        <v>0</v>
      </c>
      <c r="R61" s="729">
        <f ca="1">R46+R52+R56</f>
        <v>44494.293047071558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0.14474374632189982</v>
      </c>
      <c r="D63" s="773">
        <f t="shared" ca="1" si="9"/>
        <v>0</v>
      </c>
      <c r="E63" s="1010">
        <f t="shared" ca="1" si="9"/>
        <v>0.20200000000000004</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1801.987827127567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5616</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6607.0588235294117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7417.9878271275666</v>
      </c>
      <c r="C78" s="744">
        <f>SUM(C72:C77)</f>
        <v>0</v>
      </c>
      <c r="D78" s="745">
        <f t="shared" ref="D78:H78" si="10">SUM(D76:D77)</f>
        <v>0</v>
      </c>
      <c r="E78" s="745">
        <f t="shared" si="10"/>
        <v>0</v>
      </c>
      <c r="F78" s="745">
        <f t="shared" si="10"/>
        <v>0</v>
      </c>
      <c r="G78" s="745">
        <f t="shared" si="10"/>
        <v>0</v>
      </c>
      <c r="H78" s="745">
        <f t="shared" si="10"/>
        <v>0</v>
      </c>
      <c r="I78" s="745">
        <f>SUM(I76:I77)</f>
        <v>0</v>
      </c>
      <c r="J78" s="745">
        <f>SUM(J76:J77)</f>
        <v>6607.0588235294117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8022.8571428571431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9438.6554621848754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8022.8571428571431</v>
      </c>
      <c r="C90" s="744">
        <f>SUM(C87:C89)</f>
        <v>0</v>
      </c>
      <c r="D90" s="744">
        <f t="shared" ref="D90:H90" si="12">SUM(D87:D89)</f>
        <v>0</v>
      </c>
      <c r="E90" s="744">
        <f t="shared" si="12"/>
        <v>0</v>
      </c>
      <c r="F90" s="744">
        <f t="shared" si="12"/>
        <v>0</v>
      </c>
      <c r="G90" s="744">
        <f t="shared" si="12"/>
        <v>0</v>
      </c>
      <c r="H90" s="744">
        <f t="shared" si="12"/>
        <v>0</v>
      </c>
      <c r="I90" s="744">
        <f>SUM(I87:I89)</f>
        <v>0</v>
      </c>
      <c r="J90" s="744">
        <f>SUM(J87:J89)</f>
        <v>9438.6554621848754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1801.987827127567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5616</v>
      </c>
      <c r="C8" s="558">
        <f>B101</f>
        <v>0</v>
      </c>
      <c r="D8" s="991"/>
      <c r="E8" s="991">
        <f>E101</f>
        <v>0</v>
      </c>
      <c r="F8" s="992"/>
      <c r="G8" s="559"/>
      <c r="H8" s="991">
        <f>I101</f>
        <v>0</v>
      </c>
      <c r="I8" s="991">
        <f>G101+F101</f>
        <v>0</v>
      </c>
      <c r="J8" s="991">
        <f>H101+D101+C101</f>
        <v>6607.0588235294117</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7417.9878271275666</v>
      </c>
      <c r="C10" s="570">
        <f t="shared" ref="C10:L10" si="0">SUM(C8:C9)</f>
        <v>0</v>
      </c>
      <c r="D10" s="570">
        <f t="shared" si="0"/>
        <v>0</v>
      </c>
      <c r="E10" s="570">
        <f t="shared" si="0"/>
        <v>0</v>
      </c>
      <c r="F10" s="570">
        <f t="shared" si="0"/>
        <v>0</v>
      </c>
      <c r="G10" s="570">
        <f t="shared" si="0"/>
        <v>0</v>
      </c>
      <c r="H10" s="570">
        <f t="shared" si="0"/>
        <v>0</v>
      </c>
      <c r="I10" s="570">
        <f t="shared" si="0"/>
        <v>0</v>
      </c>
      <c r="J10" s="570">
        <f t="shared" si="0"/>
        <v>6607.0588235294117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8022.8571428571431</v>
      </c>
      <c r="C17" s="582">
        <f>B102</f>
        <v>0</v>
      </c>
      <c r="D17" s="583"/>
      <c r="E17" s="583">
        <f>E102</f>
        <v>0</v>
      </c>
      <c r="F17" s="584"/>
      <c r="G17" s="585"/>
      <c r="H17" s="582">
        <f>I102</f>
        <v>0</v>
      </c>
      <c r="I17" s="583">
        <f>G102+F102</f>
        <v>0</v>
      </c>
      <c r="J17" s="583">
        <f>H102+D102+C102</f>
        <v>9438.6554621848754</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8022.8571428571431</v>
      </c>
      <c r="C20" s="569">
        <f>SUM(C17:C19)</f>
        <v>0</v>
      </c>
      <c r="D20" s="569">
        <f t="shared" ref="D20:L20" si="1">SUM(D17:D19)</f>
        <v>0</v>
      </c>
      <c r="E20" s="569">
        <f t="shared" si="1"/>
        <v>0</v>
      </c>
      <c r="F20" s="569">
        <f t="shared" si="1"/>
        <v>0</v>
      </c>
      <c r="G20" s="569">
        <f t="shared" si="1"/>
        <v>0</v>
      </c>
      <c r="H20" s="569">
        <f t="shared" si="1"/>
        <v>0</v>
      </c>
      <c r="I20" s="569">
        <f t="shared" si="1"/>
        <v>0</v>
      </c>
      <c r="J20" s="569">
        <f t="shared" si="1"/>
        <v>9438.6554621848754</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24016</v>
      </c>
      <c r="C28" s="789">
        <v>3370</v>
      </c>
      <c r="D28" s="642" t="s">
        <v>946</v>
      </c>
      <c r="E28" s="641" t="s">
        <v>947</v>
      </c>
      <c r="F28" s="641" t="s">
        <v>948</v>
      </c>
      <c r="G28" s="641" t="s">
        <v>949</v>
      </c>
      <c r="H28" s="641" t="s">
        <v>950</v>
      </c>
      <c r="I28" s="641" t="s">
        <v>951</v>
      </c>
      <c r="J28" s="788">
        <v>40049</v>
      </c>
      <c r="K28" s="788">
        <v>40168</v>
      </c>
      <c r="L28" s="641" t="s">
        <v>952</v>
      </c>
      <c r="M28" s="641">
        <v>1248</v>
      </c>
      <c r="N28" s="641">
        <v>5616</v>
      </c>
      <c r="O28" s="641">
        <v>8022.8571428571431</v>
      </c>
      <c r="P28" s="641">
        <v>0</v>
      </c>
      <c r="Q28" s="641">
        <v>16045.714285714286</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1248</v>
      </c>
      <c r="N58" s="599">
        <f>SUM(N28:N57)</f>
        <v>5616</v>
      </c>
      <c r="O58" s="599">
        <f t="shared" ref="O58:W58" si="2">SUM(O28:O57)</f>
        <v>8022.8571428571431</v>
      </c>
      <c r="P58" s="599">
        <f t="shared" si="2"/>
        <v>0</v>
      </c>
      <c r="Q58" s="599">
        <f t="shared" si="2"/>
        <v>16045.714285714286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1248</v>
      </c>
      <c r="N61" s="604">
        <f t="shared" si="4"/>
        <v>5616</v>
      </c>
      <c r="O61" s="604">
        <f t="shared" si="4"/>
        <v>8022.8571428571431</v>
      </c>
      <c r="P61" s="604">
        <f t="shared" si="4"/>
        <v>0</v>
      </c>
      <c r="Q61" s="604">
        <f t="shared" si="4"/>
        <v>16045.714285714286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6607.0588235294117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9438.6554621848754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14575.497642637732</v>
      </c>
      <c r="C4" s="461">
        <f>huishoudens!C8</f>
        <v>0</v>
      </c>
      <c r="D4" s="461">
        <f>huishoudens!D8</f>
        <v>28734.900913864651</v>
      </c>
      <c r="E4" s="461">
        <f>huishoudens!E8</f>
        <v>2578.7322819648571</v>
      </c>
      <c r="F4" s="461">
        <f>huishoudens!F8</f>
        <v>17495.459445905344</v>
      </c>
      <c r="G4" s="461">
        <f>huishoudens!G8</f>
        <v>0</v>
      </c>
      <c r="H4" s="461">
        <f>huishoudens!H8</f>
        <v>0</v>
      </c>
      <c r="I4" s="461">
        <f>huishoudens!I8</f>
        <v>0</v>
      </c>
      <c r="J4" s="461">
        <f>huishoudens!J8</f>
        <v>0</v>
      </c>
      <c r="K4" s="461">
        <f>huishoudens!K8</f>
        <v>0</v>
      </c>
      <c r="L4" s="461">
        <f>huishoudens!L8</f>
        <v>0</v>
      </c>
      <c r="M4" s="461">
        <f>huishoudens!M8</f>
        <v>0</v>
      </c>
      <c r="N4" s="461">
        <f>huishoudens!N8</f>
        <v>5955.2302306641495</v>
      </c>
      <c r="O4" s="461">
        <f>huishoudens!O8</f>
        <v>46.9</v>
      </c>
      <c r="P4" s="462">
        <f>huishoudens!P8</f>
        <v>95.333333333333343</v>
      </c>
      <c r="Q4" s="463">
        <f>SUM(B4:P4)</f>
        <v>69482.053848370051</v>
      </c>
    </row>
    <row r="5" spans="1:17">
      <c r="A5" s="460" t="s">
        <v>156</v>
      </c>
      <c r="B5" s="461">
        <f ca="1">tertiair!B16</f>
        <v>4694.2089540154984</v>
      </c>
      <c r="C5" s="461">
        <f ca="1">tertiair!C16</f>
        <v>0</v>
      </c>
      <c r="D5" s="461">
        <f ca="1">tertiair!D16</f>
        <v>5069.0738436883876</v>
      </c>
      <c r="E5" s="461">
        <f>tertiair!E16</f>
        <v>38.94195784214979</v>
      </c>
      <c r="F5" s="461">
        <f ca="1">tertiair!F16</f>
        <v>859.48529324704305</v>
      </c>
      <c r="G5" s="461">
        <f>tertiair!G16</f>
        <v>0</v>
      </c>
      <c r="H5" s="461">
        <f>tertiair!H16</f>
        <v>0</v>
      </c>
      <c r="I5" s="461">
        <f>tertiair!I16</f>
        <v>0</v>
      </c>
      <c r="J5" s="461">
        <f>tertiair!J16</f>
        <v>0</v>
      </c>
      <c r="K5" s="461">
        <f>tertiair!K16</f>
        <v>0</v>
      </c>
      <c r="L5" s="461">
        <f ca="1">tertiair!L16</f>
        <v>0</v>
      </c>
      <c r="M5" s="461">
        <f>tertiair!M16</f>
        <v>0</v>
      </c>
      <c r="N5" s="461">
        <f ca="1">tertiair!N16</f>
        <v>334.91155006557705</v>
      </c>
      <c r="O5" s="461">
        <f>tertiair!O16</f>
        <v>0</v>
      </c>
      <c r="P5" s="462">
        <f>tertiair!P16</f>
        <v>0</v>
      </c>
      <c r="Q5" s="460">
        <f t="shared" ref="Q5:Q14" ca="1" si="0">SUM(B5:P5)</f>
        <v>10996.621598858657</v>
      </c>
    </row>
    <row r="6" spans="1:17">
      <c r="A6" s="460" t="s">
        <v>194</v>
      </c>
      <c r="B6" s="461">
        <f>'openbare verlichting'!B8</f>
        <v>482.27100000000002</v>
      </c>
      <c r="C6" s="461"/>
      <c r="D6" s="461"/>
      <c r="E6" s="461"/>
      <c r="F6" s="461"/>
      <c r="G6" s="461"/>
      <c r="H6" s="461"/>
      <c r="I6" s="461"/>
      <c r="J6" s="461"/>
      <c r="K6" s="461"/>
      <c r="L6" s="461"/>
      <c r="M6" s="461"/>
      <c r="N6" s="461"/>
      <c r="O6" s="461"/>
      <c r="P6" s="462"/>
      <c r="Q6" s="460">
        <f t="shared" si="0"/>
        <v>482.27100000000002</v>
      </c>
    </row>
    <row r="7" spans="1:17">
      <c r="A7" s="460" t="s">
        <v>112</v>
      </c>
      <c r="B7" s="461">
        <f>landbouw!B8</f>
        <v>555.37146536205603</v>
      </c>
      <c r="C7" s="461">
        <f>landbouw!C8</f>
        <v>8022.8571428571431</v>
      </c>
      <c r="D7" s="461">
        <f>landbouw!D8</f>
        <v>228.17697453753328</v>
      </c>
      <c r="E7" s="461">
        <f>landbouw!E8</f>
        <v>5.2319713147987565</v>
      </c>
      <c r="F7" s="461">
        <f>landbouw!F8</f>
        <v>1812.3614030788965</v>
      </c>
      <c r="G7" s="461">
        <f>landbouw!G8</f>
        <v>0</v>
      </c>
      <c r="H7" s="461">
        <f>landbouw!H8</f>
        <v>0</v>
      </c>
      <c r="I7" s="461">
        <f>landbouw!I8</f>
        <v>0</v>
      </c>
      <c r="J7" s="461">
        <f>landbouw!J8</f>
        <v>68.70215159157496</v>
      </c>
      <c r="K7" s="461">
        <f>landbouw!K8</f>
        <v>0</v>
      </c>
      <c r="L7" s="461">
        <f>landbouw!L8</f>
        <v>0</v>
      </c>
      <c r="M7" s="461">
        <f>landbouw!M8</f>
        <v>0</v>
      </c>
      <c r="N7" s="461">
        <f>landbouw!N8</f>
        <v>0</v>
      </c>
      <c r="O7" s="461">
        <f>landbouw!O8</f>
        <v>0</v>
      </c>
      <c r="P7" s="462">
        <f>landbouw!P8</f>
        <v>0</v>
      </c>
      <c r="Q7" s="460">
        <f t="shared" si="0"/>
        <v>10692.701108742001</v>
      </c>
    </row>
    <row r="8" spans="1:17">
      <c r="A8" s="460" t="s">
        <v>685</v>
      </c>
      <c r="B8" s="461">
        <f>industrie!B18</f>
        <v>820.20892315118749</v>
      </c>
      <c r="C8" s="461">
        <f>industrie!C18</f>
        <v>0</v>
      </c>
      <c r="D8" s="461">
        <f>industrie!D18</f>
        <v>486.29873527308911</v>
      </c>
      <c r="E8" s="461">
        <f>industrie!E18</f>
        <v>6.4122099052914674</v>
      </c>
      <c r="F8" s="461">
        <f>industrie!F18</f>
        <v>398.84121314765747</v>
      </c>
      <c r="G8" s="461">
        <f>industrie!G18</f>
        <v>0</v>
      </c>
      <c r="H8" s="461">
        <f>industrie!H18</f>
        <v>0</v>
      </c>
      <c r="I8" s="461">
        <f>industrie!I18</f>
        <v>0</v>
      </c>
      <c r="J8" s="461">
        <f>industrie!J18</f>
        <v>0.93437106530025216</v>
      </c>
      <c r="K8" s="461">
        <f>industrie!K18</f>
        <v>0</v>
      </c>
      <c r="L8" s="461">
        <f>industrie!L18</f>
        <v>0</v>
      </c>
      <c r="M8" s="461">
        <f>industrie!M18</f>
        <v>0</v>
      </c>
      <c r="N8" s="461">
        <f>industrie!N18</f>
        <v>44.273539233383687</v>
      </c>
      <c r="O8" s="461">
        <f>industrie!O18</f>
        <v>0</v>
      </c>
      <c r="P8" s="462">
        <f>industrie!P18</f>
        <v>0</v>
      </c>
      <c r="Q8" s="460">
        <f t="shared" si="0"/>
        <v>1756.9689917759094</v>
      </c>
    </row>
    <row r="9" spans="1:17" s="466" customFormat="1">
      <c r="A9" s="464" t="s">
        <v>579</v>
      </c>
      <c r="B9" s="465">
        <f>transport!B14</f>
        <v>2.4948327399082881</v>
      </c>
      <c r="C9" s="465">
        <f>transport!C14</f>
        <v>0</v>
      </c>
      <c r="D9" s="465">
        <f>transport!D14</f>
        <v>6.6803411713037413</v>
      </c>
      <c r="E9" s="465">
        <f>transport!E14</f>
        <v>454.55392766695343</v>
      </c>
      <c r="F9" s="465">
        <f>transport!F14</f>
        <v>0</v>
      </c>
      <c r="G9" s="465">
        <f>transport!G14</f>
        <v>89919.258623609247</v>
      </c>
      <c r="H9" s="465">
        <f>transport!H14</f>
        <v>15458.46224949556</v>
      </c>
      <c r="I9" s="465">
        <f>transport!I14</f>
        <v>0</v>
      </c>
      <c r="J9" s="465">
        <f>transport!J14</f>
        <v>0</v>
      </c>
      <c r="K9" s="465">
        <f>transport!K14</f>
        <v>0</v>
      </c>
      <c r="L9" s="465">
        <f>transport!L14</f>
        <v>0</v>
      </c>
      <c r="M9" s="465">
        <f>transport!M14</f>
        <v>4711.256319954914</v>
      </c>
      <c r="N9" s="465">
        <f>transport!N14</f>
        <v>0</v>
      </c>
      <c r="O9" s="465">
        <f>transport!O14</f>
        <v>0</v>
      </c>
      <c r="P9" s="465">
        <f>transport!P14</f>
        <v>0</v>
      </c>
      <c r="Q9" s="464">
        <f>SUM(B9:P9)</f>
        <v>110552.70629463789</v>
      </c>
    </row>
    <row r="10" spans="1:17">
      <c r="A10" s="460" t="s">
        <v>569</v>
      </c>
      <c r="B10" s="461">
        <f>transport!B54</f>
        <v>0</v>
      </c>
      <c r="C10" s="461">
        <f>transport!C54</f>
        <v>0</v>
      </c>
      <c r="D10" s="461">
        <f>transport!D54</f>
        <v>0</v>
      </c>
      <c r="E10" s="461">
        <f>transport!E54</f>
        <v>0</v>
      </c>
      <c r="F10" s="461">
        <f>transport!F54</f>
        <v>0</v>
      </c>
      <c r="G10" s="461">
        <f>transport!G54</f>
        <v>766.6753217105703</v>
      </c>
      <c r="H10" s="461">
        <f>transport!H54</f>
        <v>0</v>
      </c>
      <c r="I10" s="461">
        <f>transport!I54</f>
        <v>0</v>
      </c>
      <c r="J10" s="461">
        <f>transport!J54</f>
        <v>0</v>
      </c>
      <c r="K10" s="461">
        <f>transport!K54</f>
        <v>0</v>
      </c>
      <c r="L10" s="461">
        <f>transport!L54</f>
        <v>0</v>
      </c>
      <c r="M10" s="461">
        <f>transport!M54</f>
        <v>33.665978086363296</v>
      </c>
      <c r="N10" s="461">
        <f>transport!N54</f>
        <v>0</v>
      </c>
      <c r="O10" s="461">
        <f>transport!O54</f>
        <v>0</v>
      </c>
      <c r="P10" s="462">
        <f>transport!P54</f>
        <v>0</v>
      </c>
      <c r="Q10" s="460">
        <f t="shared" si="0"/>
        <v>800.34129979693364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368.18805707119105</v>
      </c>
      <c r="C14" s="468"/>
      <c r="D14" s="468">
        <f>'SEAP template'!E25</f>
        <v>645.18584449306593</v>
      </c>
      <c r="E14" s="468"/>
      <c r="F14" s="468"/>
      <c r="G14" s="468"/>
      <c r="H14" s="468"/>
      <c r="I14" s="468"/>
      <c r="J14" s="468"/>
      <c r="K14" s="468"/>
      <c r="L14" s="468"/>
      <c r="M14" s="468"/>
      <c r="N14" s="468"/>
      <c r="O14" s="468"/>
      <c r="P14" s="469"/>
      <c r="Q14" s="460">
        <f t="shared" si="0"/>
        <v>1013.373901564257</v>
      </c>
    </row>
    <row r="15" spans="1:17" s="473" customFormat="1">
      <c r="A15" s="470" t="s">
        <v>573</v>
      </c>
      <c r="B15" s="471">
        <f ca="1">SUM(B4:B14)</f>
        <v>21498.240874977575</v>
      </c>
      <c r="C15" s="471">
        <f t="shared" ref="C15:Q15" ca="1" si="1">SUM(C4:C14)</f>
        <v>8022.8571428571431</v>
      </c>
      <c r="D15" s="471">
        <f t="shared" ca="1" si="1"/>
        <v>35170.316653028036</v>
      </c>
      <c r="E15" s="471">
        <f t="shared" si="1"/>
        <v>3083.8723486940503</v>
      </c>
      <c r="F15" s="471">
        <f t="shared" ca="1" si="1"/>
        <v>20566.14735537894</v>
      </c>
      <c r="G15" s="471">
        <f t="shared" si="1"/>
        <v>90685.933945319819</v>
      </c>
      <c r="H15" s="471">
        <f t="shared" si="1"/>
        <v>15458.46224949556</v>
      </c>
      <c r="I15" s="471">
        <f t="shared" si="1"/>
        <v>0</v>
      </c>
      <c r="J15" s="471">
        <f t="shared" si="1"/>
        <v>69.636522656875215</v>
      </c>
      <c r="K15" s="471">
        <f t="shared" si="1"/>
        <v>0</v>
      </c>
      <c r="L15" s="471">
        <f t="shared" ca="1" si="1"/>
        <v>0</v>
      </c>
      <c r="M15" s="471">
        <f t="shared" si="1"/>
        <v>4744.9222980412769</v>
      </c>
      <c r="N15" s="471">
        <f t="shared" ca="1" si="1"/>
        <v>6334.4153199631101</v>
      </c>
      <c r="O15" s="471">
        <f t="shared" si="1"/>
        <v>46.9</v>
      </c>
      <c r="P15" s="471">
        <f t="shared" si="1"/>
        <v>95.333333333333343</v>
      </c>
      <c r="Q15" s="471">
        <f t="shared" ca="1" si="1"/>
        <v>205777.03804374571</v>
      </c>
    </row>
    <row r="17" spans="1:17">
      <c r="A17" s="474" t="s">
        <v>574</v>
      </c>
      <c r="B17" s="778">
        <f ca="1">huishoudens!B10</f>
        <v>0.14474374632189982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2109.7121333014047</v>
      </c>
      <c r="C22" s="461">
        <f t="shared" ref="C22:C32" ca="1" si="3">C4*$C$17</f>
        <v>0</v>
      </c>
      <c r="D22" s="461">
        <f t="shared" ref="D22:D32" si="4">D4*$D$17</f>
        <v>5804.4499846006602</v>
      </c>
      <c r="E22" s="461">
        <f t="shared" ref="E22:E32" si="5">E4*$E$17</f>
        <v>585.37222800602262</v>
      </c>
      <c r="F22" s="461">
        <f t="shared" ref="F22:F32" si="6">F4*$F$17</f>
        <v>4671.2876720567274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13170.822017964814</v>
      </c>
    </row>
    <row r="23" spans="1:17">
      <c r="A23" s="460" t="s">
        <v>156</v>
      </c>
      <c r="B23" s="461">
        <f t="shared" ca="1" si="2"/>
        <v>679.45739002201003</v>
      </c>
      <c r="C23" s="461">
        <f t="shared" ca="1" si="3"/>
        <v>0</v>
      </c>
      <c r="D23" s="461">
        <f t="shared" ca="1" si="4"/>
        <v>1023.9529164250544</v>
      </c>
      <c r="E23" s="461">
        <f t="shared" si="5"/>
        <v>8.8398244301680027</v>
      </c>
      <c r="F23" s="461">
        <f t="shared" ca="1" si="6"/>
        <v>229.48257329696051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1941.7327041741928</v>
      </c>
    </row>
    <row r="24" spans="1:17">
      <c r="A24" s="460" t="s">
        <v>194</v>
      </c>
      <c r="B24" s="461">
        <f t="shared" ca="1" si="2"/>
        <v>69.80571128240895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69.80571128240895</v>
      </c>
    </row>
    <row r="25" spans="1:17">
      <c r="A25" s="460" t="s">
        <v>112</v>
      </c>
      <c r="B25" s="461">
        <f t="shared" ca="1" si="2"/>
        <v>80.386546496787204</v>
      </c>
      <c r="C25" s="461">
        <f t="shared" ca="1" si="3"/>
        <v>0</v>
      </c>
      <c r="D25" s="461">
        <f t="shared" si="4"/>
        <v>46.091748856581724</v>
      </c>
      <c r="E25" s="461">
        <f t="shared" si="5"/>
        <v>1.1876574884593178</v>
      </c>
      <c r="F25" s="461">
        <f t="shared" si="6"/>
        <v>483.90049462206537</v>
      </c>
      <c r="G25" s="461">
        <f t="shared" si="7"/>
        <v>0</v>
      </c>
      <c r="H25" s="461">
        <f t="shared" si="8"/>
        <v>0</v>
      </c>
      <c r="I25" s="461">
        <f t="shared" si="9"/>
        <v>0</v>
      </c>
      <c r="J25" s="461">
        <f t="shared" si="10"/>
        <v>24.320561663417536</v>
      </c>
      <c r="K25" s="461">
        <f t="shared" si="11"/>
        <v>0</v>
      </c>
      <c r="L25" s="461">
        <f t="shared" si="12"/>
        <v>0</v>
      </c>
      <c r="M25" s="461">
        <f t="shared" si="13"/>
        <v>0</v>
      </c>
      <c r="N25" s="461">
        <f t="shared" si="14"/>
        <v>0</v>
      </c>
      <c r="O25" s="461">
        <f t="shared" si="15"/>
        <v>0</v>
      </c>
      <c r="P25" s="462">
        <f t="shared" si="16"/>
        <v>0</v>
      </c>
      <c r="Q25" s="460">
        <f t="shared" ca="1" si="17"/>
        <v>635.8870091273111</v>
      </c>
    </row>
    <row r="26" spans="1:17">
      <c r="A26" s="460" t="s">
        <v>685</v>
      </c>
      <c r="B26" s="461">
        <f t="shared" ca="1" si="2"/>
        <v>118.7201123035541</v>
      </c>
      <c r="C26" s="461">
        <f t="shared" ca="1" si="3"/>
        <v>0</v>
      </c>
      <c r="D26" s="461">
        <f t="shared" si="4"/>
        <v>98.232344525164009</v>
      </c>
      <c r="E26" s="461">
        <f t="shared" si="5"/>
        <v>1.4555716485011632</v>
      </c>
      <c r="F26" s="461">
        <f t="shared" si="6"/>
        <v>106.49060391042455</v>
      </c>
      <c r="G26" s="461">
        <f t="shared" si="7"/>
        <v>0</v>
      </c>
      <c r="H26" s="461">
        <f t="shared" si="8"/>
        <v>0</v>
      </c>
      <c r="I26" s="461">
        <f t="shared" si="9"/>
        <v>0</v>
      </c>
      <c r="J26" s="461">
        <f t="shared" si="10"/>
        <v>0.33076735711628924</v>
      </c>
      <c r="K26" s="461">
        <f t="shared" si="11"/>
        <v>0</v>
      </c>
      <c r="L26" s="461">
        <f t="shared" si="12"/>
        <v>0</v>
      </c>
      <c r="M26" s="461">
        <f t="shared" si="13"/>
        <v>0</v>
      </c>
      <c r="N26" s="461">
        <f t="shared" si="14"/>
        <v>0</v>
      </c>
      <c r="O26" s="461">
        <f t="shared" si="15"/>
        <v>0</v>
      </c>
      <c r="P26" s="462">
        <f t="shared" si="16"/>
        <v>0</v>
      </c>
      <c r="Q26" s="460">
        <f t="shared" ca="1" si="17"/>
        <v>325.22939974476014</v>
      </c>
    </row>
    <row r="27" spans="1:17" s="466" customFormat="1">
      <c r="A27" s="464" t="s">
        <v>579</v>
      </c>
      <c r="B27" s="772">
        <f t="shared" ca="1" si="2"/>
        <v>0.36111143722085554</v>
      </c>
      <c r="C27" s="465">
        <f t="shared" ca="1" si="3"/>
        <v>0</v>
      </c>
      <c r="D27" s="465">
        <f t="shared" si="4"/>
        <v>1.3494289166033557</v>
      </c>
      <c r="E27" s="465">
        <f t="shared" si="5"/>
        <v>103.18374158039843</v>
      </c>
      <c r="F27" s="465">
        <f t="shared" si="6"/>
        <v>0</v>
      </c>
      <c r="G27" s="465">
        <f t="shared" si="7"/>
        <v>24008.442052503669</v>
      </c>
      <c r="H27" s="465">
        <f t="shared" si="8"/>
        <v>3849.1571001243947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27962.493434562286</v>
      </c>
    </row>
    <row r="28" spans="1:17">
      <c r="A28" s="460" t="s">
        <v>569</v>
      </c>
      <c r="B28" s="461">
        <f t="shared" ca="1" si="2"/>
        <v>0</v>
      </c>
      <c r="C28" s="461">
        <f t="shared" ca="1" si="3"/>
        <v>0</v>
      </c>
      <c r="D28" s="461">
        <f t="shared" si="4"/>
        <v>0</v>
      </c>
      <c r="E28" s="461">
        <f t="shared" si="5"/>
        <v>0</v>
      </c>
      <c r="F28" s="461">
        <f t="shared" si="6"/>
        <v>0</v>
      </c>
      <c r="G28" s="461">
        <f t="shared" si="7"/>
        <v>204.70231089672228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204.70231089672228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53.292918731465647</v>
      </c>
      <c r="C32" s="461">
        <f t="shared" ca="1" si="3"/>
        <v>0</v>
      </c>
      <c r="D32" s="461">
        <f t="shared" si="4"/>
        <v>130.32754058759932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183.62045931906496</v>
      </c>
    </row>
    <row r="33" spans="1:17" s="473" customFormat="1">
      <c r="A33" s="470" t="s">
        <v>573</v>
      </c>
      <c r="B33" s="471">
        <f ca="1">SUM(B22:B32)</f>
        <v>3111.7359235748518</v>
      </c>
      <c r="C33" s="471">
        <f t="shared" ref="C33:Q33" ca="1" si="18">SUM(C22:C32)</f>
        <v>0</v>
      </c>
      <c r="D33" s="471">
        <f t="shared" ca="1" si="18"/>
        <v>7104.4039639116636</v>
      </c>
      <c r="E33" s="471">
        <f t="shared" si="18"/>
        <v>700.03902315354958</v>
      </c>
      <c r="F33" s="471">
        <f t="shared" ca="1" si="18"/>
        <v>5491.1613438861777</v>
      </c>
      <c r="G33" s="471">
        <f t="shared" si="18"/>
        <v>24213.144363400392</v>
      </c>
      <c r="H33" s="471">
        <f t="shared" si="18"/>
        <v>3849.1571001243947</v>
      </c>
      <c r="I33" s="471">
        <f t="shared" si="18"/>
        <v>0</v>
      </c>
      <c r="J33" s="471">
        <f t="shared" si="18"/>
        <v>24.651329020533826</v>
      </c>
      <c r="K33" s="471">
        <f t="shared" si="18"/>
        <v>0</v>
      </c>
      <c r="L33" s="471">
        <f t="shared" ca="1" si="18"/>
        <v>0</v>
      </c>
      <c r="M33" s="471">
        <f t="shared" si="18"/>
        <v>0</v>
      </c>
      <c r="N33" s="471">
        <f t="shared" ca="1" si="18"/>
        <v>0</v>
      </c>
      <c r="O33" s="471">
        <f t="shared" si="18"/>
        <v>0</v>
      </c>
      <c r="P33" s="471">
        <f t="shared" si="18"/>
        <v>0</v>
      </c>
      <c r="Q33" s="471">
        <f t="shared" ca="1" si="18"/>
        <v>44494.293047071558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1801.987827127567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5616</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6607.0588235294117</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7417.9878271275666</v>
      </c>
      <c r="C10" s="1041">
        <f>SUM(C4:C9)</f>
        <v>0</v>
      </c>
      <c r="D10" s="1041">
        <f t="shared" ref="D10:H10" si="0">SUM(D8:D9)</f>
        <v>0</v>
      </c>
      <c r="E10" s="1041">
        <f t="shared" si="0"/>
        <v>0</v>
      </c>
      <c r="F10" s="1041">
        <f t="shared" si="0"/>
        <v>0</v>
      </c>
      <c r="G10" s="1041">
        <f t="shared" si="0"/>
        <v>0</v>
      </c>
      <c r="H10" s="1041">
        <f t="shared" si="0"/>
        <v>0</v>
      </c>
      <c r="I10" s="1041">
        <f>SUM(I8:I9)</f>
        <v>0</v>
      </c>
      <c r="J10" s="1041">
        <f>SUM(J8:J9)</f>
        <v>6607.0588235294117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0.14474374632189982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8022.8571428571431</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9438.6554621848754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8022.8571428571431</v>
      </c>
      <c r="C20" s="1041">
        <f>SUM(C17:C19)</f>
        <v>0</v>
      </c>
      <c r="D20" s="1041">
        <f t="shared" ref="D20:H20" si="2">SUM(D17:D19)</f>
        <v>0</v>
      </c>
      <c r="E20" s="1041">
        <f t="shared" si="2"/>
        <v>0</v>
      </c>
      <c r="F20" s="1041">
        <f t="shared" si="2"/>
        <v>0</v>
      </c>
      <c r="G20" s="1041">
        <f t="shared" si="2"/>
        <v>0</v>
      </c>
      <c r="H20" s="1041">
        <f t="shared" si="2"/>
        <v>0</v>
      </c>
      <c r="I20" s="1041">
        <f>SUM(I17:I19)</f>
        <v>0</v>
      </c>
      <c r="J20" s="1041">
        <f>SUM(J17:J19)</f>
        <v>9438.6554621848754</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0.14474374632189982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2019-06-29T16:12:18Z</dcterms:modified>
</cp:coreProperties>
</file>