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C22"/>
  <c r="H27" i="48"/>
  <c r="H33" s="1"/>
  <c r="H15"/>
  <c r="J22"/>
  <c r="E22"/>
  <c r="Q4"/>
  <c r="H20" i="14"/>
  <c r="H22" s="1"/>
  <c r="H27" s="1"/>
  <c r="G9" i="48"/>
  <c r="M27"/>
  <c r="M33" s="1"/>
  <c r="M15"/>
  <c r="K10" i="14"/>
  <c r="J5" i="48"/>
  <c r="J23" s="1"/>
  <c r="E5"/>
  <c r="E23" s="1"/>
  <c r="F10" i="14"/>
  <c r="G28" i="48"/>
  <c r="Q10"/>
  <c r="I63" i="14"/>
  <c r="Q9" i="48"/>
  <c r="R11" i="14"/>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0" l="1"/>
  <c r="R22" s="1"/>
  <c r="K13"/>
  <c r="J8" i="48"/>
  <c r="G27"/>
  <c r="G33" s="1"/>
  <c r="G15"/>
  <c r="E8"/>
  <c r="E26" s="1"/>
  <c r="E33" s="1"/>
  <c r="F13" i="14"/>
  <c r="F16" s="1"/>
  <c r="F27" s="1"/>
  <c r="K16"/>
  <c r="K27" s="1"/>
  <c r="R10"/>
  <c r="E15" i="48"/>
  <c r="Q5"/>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26" i="48"/>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<sst xmlns="http://schemas.openxmlformats.org/spreadsheetml/2006/main" count="2501" uniqueCount="955">
  <si>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</si>
  <si>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</si>
  <si>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</si>
  <si>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</si>
  <si>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</si>
  <si>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</si>
  <si>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</si>
  <si>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</si>
  <si>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</si>
  <si>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</si>
  <si>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</si>
  <si>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</si>
  <si>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</si>
  <si>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</si>
  <si>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</si>
  <si>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</si>
  <si>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</si>
  <si>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</si>
  <si>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</si>
  <si>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</si>
  <si>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</si>
  <si>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</si>
  <si>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</si>
  <si>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</si>
  <si>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</si>
  <si>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</si>
  <si>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</si>
  <si>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</si>
  <si>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</si>
  <si>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</si>
  <si>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</si>
  <si>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</si>
  <si>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</si>
  <si>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</si>
  <si>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</si>
  <si>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</si>
  <si>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</si>
  <si>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</si>
  <si>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</si>
  <si>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</si>
  <si>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</si>
  <si>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</si>
  <si>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</si>
  <si>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</si>
  <si>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</si>
  <si>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</si>
  <si>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</si>
  <si>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</si>
  <si>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</si>
  <si>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</si>
  <si>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</si>
  <si>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</si>
  <si>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</si>
  <si>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</si>
  <si>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</si>
  <si>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</si>
  <si>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</si>
  <si>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</si>
  <si>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</si>
  <si>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</si>
  <si>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</si>
  <si>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</si>
  <si>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</si>
  <si>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</si>
  <si>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</si>
  <si>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</si>
  <si>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</si>
  <si>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</si>
  <si>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</si>
  <si>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</si>
  <si>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</si>
  <si>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</si>
  <si>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</si>
  <si>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</si>
  <si>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</si>
  <si>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</si>
  <si>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</si>
  <si>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</si>
  <si>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</si>
  <si>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</si>
  <si>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</si>
  <si>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</si>
  <si>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</si>
  <si>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</si>
  <si>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</si>
  <si>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</si>
  <si>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</si>
  <si>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</si>
  <si>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</si>
  <si>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</si>
  <si>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</si>
  <si>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</si>
  <si>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</si>
  <si>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</si>
  <si>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</si>
  <si>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</si>
  <si>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</si>
  <si>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</si>
  <si>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</si>
  <si>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</si>
  <si>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</si>
  <si>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</si>
  <si>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</si>
  <si>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</si>
  <si>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</si>
  <si>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</si>
  <si>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</si>
  <si>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</si>
  <si>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</si>
  <si>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</si>
  <si>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</si>
  <si>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</si>
  <si>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</si>
  <si>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</si>
  <si>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</si>
  <si>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</si>
  <si>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</si>
  <si>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</si>
  <si>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</si>
  <si>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</si>
  <si>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</si>
  <si>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</si>
  <si>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</si>
  <si>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</si>
  <si>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</si>
  <si>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</si>
  <si>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</si>
  <si>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</si>
  <si>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</si>
  <si>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</si>
  <si>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</si>
  <si>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</si>
  <si>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</si>
  <si>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</si>
  <si>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</si>
  <si>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</si>
  <si>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</si>
  <si>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</si>
  <si>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</si>
  <si>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</si>
  <si>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</si>
  <si>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</si>
  <si>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</si>
  <si>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</si>
  <si>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</si>
  <si>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</si>
  <si>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</si>
  <si>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</si>
  <si>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</si>
  <si>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</si>
  <si>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</si>
  <si>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</si>
  <si>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</si>
  <si>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</si>
  <si>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</si>
  <si>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</si>
  <si>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</si>
  <si>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</si>
  <si>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</si>
  <si>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</si>
  <si>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</si>
  <si>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</si>
  <si>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</si>
  <si>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</si>
  <si>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</si>
  <si>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</si>
  <si>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</si>
  <si>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</si>
  <si>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</si>
  <si>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</si>
  <si>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</si>
  <si>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</si>
  <si>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</si>
  <si>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</si>
  <si>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</si>
  <si>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</si>
  <si>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</si>
  <si>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</si>
  <si>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</si>
  <si>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</si>
  <si>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</si>
  <si>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</si>
  <si>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</si>
  <si>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</si>
  <si>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</si>
  <si>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</si>
  <si>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</si>
  <si>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</si>
  <si>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</si>
  <si>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</si>
  <si>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</si>
  <si>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</si>
  <si>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</si>
  <si>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</si>
  <si>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</si>
  <si>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</si>
  <si>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</si>
  <si>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</si>
  <si>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</si>
  <si>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</si>
  <si>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</si>
  <si>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</si>
  <si>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</si>
  <si>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</si>
  <si>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</si>
  <si>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</si>
  <si>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</si>
  <si>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</si>
  <si>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</si>
  <si>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</si>
  <si>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</si>
  <si>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</si>
  <si>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</si>
  <si>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</si>
  <si>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</si>
  <si>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</si>
  <si>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</si>
  <si>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</si>
  <si>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</si>
  <si>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</si>
  <si>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</si>
  <si>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</si>
  <si>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</si>
  <si>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</si>
  <si>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</si>
  <si>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</si>
  <si>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</si>
  <si>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</si>
  <si>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</si>
  <si>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</si>
  <si>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</si>
  <si>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</si>
  <si>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</si>
  <si>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</si>
  <si>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</si>
  <si>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</si>
  <si>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</si>
  <si>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</si>
  <si>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</si>
  <si>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</si>
  <si>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</si>
  <si>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</si>
  <si>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</si>
  <si>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</si>
  <si>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</si>
  <si>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</si>
  <si>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</si>
  <si>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</si>
  <si>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</si>
  <si>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</si>
  <si>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</si>
  <si>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</si>
  <si>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</si>
  <si>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</si>
  <si>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</si>
  <si>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</si>
  <si>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</si>
  <si>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</si>
  <si>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</si>
  <si>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</si>
  <si>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</si>
  <si>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</si>
  <si>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</si>
  <si>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</si>
  <si>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</si>
  <si>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</si>
  <si>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</si>
  <si>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</si>
  <si>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</si>
  <si>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</si>
  <si>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</si>
  <si>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</si>
  <si>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</si>
  <si>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</si>
  <si>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</si>
  <si>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</si>
  <si>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</si>
  <si>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</si>
  <si>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</si>
  <si>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</si>
  <si>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</si>
  <si>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</si>
  <si>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</si>
  <si>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</si>
  <si>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</si>
  <si>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</si>
  <si>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</si>
  <si>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</si>
  <si>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</si>
  <si>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</si>
  <si>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</si>
  <si>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</si>
  <si>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</si>
  <si>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</si>
  <si>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</si>
  <si>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</si>
  <si>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</si>
  <si>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</si>
  <si>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</si>
  <si>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</si>
  <si>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</si>
  <si>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</si>
  <si>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</si>
  <si>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</si>
  <si>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</si>
  <si>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</si>
  <si>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</si>
  <si>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</si>
  <si>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</si>
  <si>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</si>
  <si>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</si>
  <si>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</si>
  <si>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</si>
  <si>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</si>
  <si>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</si>
  <si>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</si>
  <si>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</si>
  <si>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</si>
  <si>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</si>
  <si>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</si>
  <si>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</si>
  <si>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</si>
  <si>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</si>
  <si>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</si>
  <si>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</si>
  <si>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</si>
  <si>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</si>
  <si>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</si>
  <si>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</si>
  <si>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</si>
  <si>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</si>
  <si>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</si>
  <si>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</si>
  <si>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</si>
  <si>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</si>
  <si>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</si>
  <si>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</si>
  <si>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</si>
  <si>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</si>
  <si>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</si>
  <si>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</si>
  <si>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</si>
  <si>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</si>
  <si>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</si>
  <si>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</si>
  <si>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</si>
  <si>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</si>
  <si>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</si>
  <si>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</si>
  <si>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</si>
  <si>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</si>
  <si>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</si>
  <si>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</si>
  <si>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</si>
  <si>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</si>
  <si>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</si>
  <si>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</si>
  <si>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</si>
  <si>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</si>
  <si>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</si>
  <si>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</si>
  <si>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</si>
  <si>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</si>
  <si>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</si>
  <si>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</si>
  <si>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</si>
  <si>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</si>
  <si>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</si>
  <si>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</si>
  <si>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</si>
  <si>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</si>
  <si>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</si>
  <si>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</si>
  <si>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</si>
  <si>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</si>
  <si>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</si>
  <si>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</si>
  <si>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</si>
  <si>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</si>
  <si>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</si>
  <si>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</si>
  <si>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</si>
  <si>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</si>
  <si>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</si>
  <si>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</si>
  <si>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</si>
  <si>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</si>
  <si>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</si>
  <si>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</si>
  <si>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</si>
  <si>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</si>
  <si>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</si>
  <si>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</si>
  <si>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</si>
  <si>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</si>
  <si>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</si>
  <si>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</si>
  <si>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</si>
  <si>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</si>
  <si>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</si>
  <si>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</si>
  <si>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</si>
  <si>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</si>
  <si>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</si>
  <si>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</si>
  <si>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</si>
  <si>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</si>
  <si>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</si>
  <si>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</si>
  <si>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</si>
  <si>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</si>
  <si>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</si>
  <si>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</si>
  <si>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</si>
  <si>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</si>
  <si>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</si>
  <si>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</si>
  <si>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</si>
  <si>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</si>
  <si>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</si>
  <si>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</si>
  <si>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</si>
  <si>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</si>
  <si>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</si>
  <si>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</si>
  <si>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</si>
  <si>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</si>
  <si>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</si>
  <si>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</si>
  <si>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</si>
  <si>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</si>
  <si>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</si>
  <si>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</si>
  <si>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</si>
  <si>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</si>
  <si>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</si>
  <si>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</si>
  <si>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</si>
  <si>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</si>
  <si>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</si>
  <si>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</si>
  <si>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</si>
  <si>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</si>
  <si>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</si>
  <si>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</si>
  <si>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</si>
  <si>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</si>
  <si>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</si>
  <si>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</si>
  <si>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</si>
  <si>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</si>
  <si>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</si>
  <si>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</si>
  <si>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</si>
  <si>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</si>
  <si>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</si>
  <si>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</si>
  <si>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</si>
  <si>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</si>
  <si>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</si>
  <si>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</si>
  <si>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</si>
  <si>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</si>
  <si>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</si>
  <si>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</si>
  <si>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</si>
  <si>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</si>
  <si>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</si>
  <si>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</si>
  <si>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</si>
  <si>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</si>
  <si>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</si>
  <si>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</si>
  <si>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</si>
  <si>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</si>
  <si>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</si>
  <si>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</si>
  <si>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</si>
  <si>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</si>
  <si>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</si>
  <si>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</si>
  <si>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</si>
  <si>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</si>
  <si>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</si>
  <si>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</si>
  <si>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</si>
  <si>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</si>
  <si>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</si>
  <si>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</si>
  <si>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</si>
  <si>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</si>
  <si>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</si>
  <si>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</si>
  <si>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</si>
  <si>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</si>
  <si>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</si>
  <si>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</si>
  <si>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</si>
  <si>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</si>
  <si>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</si>
  <si>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</si>
  <si>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</si>
  <si>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</si>
  <si>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</si>
  <si>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</si>
  <si>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</si>
  <si>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</si>
  <si>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</si>
  <si>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</si>
  <si>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</si>
  <si>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</si>
  <si>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</si>
  <si>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</si>
  <si>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</si>
  <si>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</si>
  <si>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</si>
  <si>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</si>
  <si>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</si>
  <si>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</si>
  <si>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</si>
  <si>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</si>
  <si>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</si>
  <si>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</si>
  <si>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</si>
  <si>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</si>
  <si>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</si>
  <si>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</si>
  <si>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</si>
  <si>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</si>
  <si>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</si>
  <si>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</si>
  <si>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</si>
  <si>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</si>
  <si>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</si>
  <si>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</si>
  <si>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</si>
  <si>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</si>
  <si>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</si>
  <si>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</si>
  <si>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</si>
  <si>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</si>
  <si>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</si>
  <si>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</si>
  <si>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</si>
  <si>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</si>
  <si>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</si>
  <si>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</si>
  <si>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</si>
  <si>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</si>
  <si>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</si>
  <si>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</si>
  <si>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</si>
  <si>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</si>
  <si>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</si>
  <si>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</si>
  <si>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</si>
  <si>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</si>
  <si>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</si>
  <si>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</si>
  <si>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</si>
  <si>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</si>
  <si>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</si>
  <si>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</si>
  <si>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</si>
  <si>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</si>
  <si>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</si>
  <si>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</si>
  <si>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</si>
  <si>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</si>
  <si>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</si>
  <si>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</si>
  <si>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</si>
  <si>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</si>
  <si>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</si>
  <si>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</si>
  <si>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</si>
  <si>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</si>
  <si>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</si>
  <si>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</si>
  <si>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</si>
  <si>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</si>
  <si>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</si>
  <si>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</si>
  <si>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</si>
  <si>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</si>
  <si>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</si>
  <si>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</si>
  <si>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</si>
  <si>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</si>
  <si>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</si>
  <si>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</si>
  <si>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</si>
  <si>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</si>
  <si>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</si>
  <si>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</si>
  <si>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</si>
  <si>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</si>
  <si>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</si>
  <si>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</si>
  <si>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</si>
  <si>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</si>
  <si>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</si>
  <si>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</si>
  <si>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</si>
  <si>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</si>
  <si>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</si>
  <si>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</si>
  <si>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</si>
  <si>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</si>
  <si>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</si>
  <si>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</si>
  <si>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</si>
  <si>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</si>
  <si>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</si>
  <si>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</si>
  <si>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</si>
  <si>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</si>
  <si>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</si>
  <si>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</si>
  <si>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</si>
  <si>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</si>
  <si>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</si>
  <si>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</si>
  <si>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</si>
  <si>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</si>
  <si>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</si>
  <si>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</si>
  <si>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</si>
  <si>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</si>
  <si>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</si>
  <si>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</si>
  <si>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</si>
  <si>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</si>
  <si>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</si>
  <si>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</si>
  <si>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</si>
  <si>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</si>
  <si>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</si>
  <si>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</si>
  <si>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</si>
  <si>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</si>
  <si>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</si>
  <si>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</si>
  <si>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</si>
  <si>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</si>
  <si>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</si>
  <si>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</si>
  <si>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</si>
  <si>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</si>
  <si>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</si>
  <si>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</si>
  <si>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</si>
  <si>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</si>
  <si>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</si>
  <si>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</si>
  <si>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</si>
  <si>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</si>
  <si>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</si>
  <si>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</si>
  <si>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</si>
  <si>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</si>
  <si>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</si>
  <si>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</si>
  <si>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</si>
  <si>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</si>
  <si>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</si>
  <si>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</si>
  <si>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</si>
  <si>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</si>
  <si>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</si>
  <si>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</si>
  <si>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</si>
  <si>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</si>
  <si>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</si>
  <si>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</si>
  <si>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</si>
  <si>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</si>
  <si>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</si>
  <si>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</si>
  <si>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</si>
  <si>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</si>
  <si>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</si>
  <si>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</si>
  <si>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</si>
  <si>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</si>
  <si>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</si>
  <si>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</si>
  <si>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</si>
  <si>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</si>
  <si>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</si>
  <si>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</si>
  <si>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</si>
  <si>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</si>
  <si>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</si>
  <si>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</si>
  <si>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</si>
  <si>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</si>
  <si>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</si>
  <si>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</si>
  <si>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</si>
  <si>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</si>
  <si>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</si>
  <si>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</si>
  <si>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</si>
  <si>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</si>
  <si>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</si>
  <si>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</si>
  <si>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</si>
  <si>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</si>
  <si>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</si>
  <si>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</si>
  <si>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</si>
  <si>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</si>
  <si>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</si>
  <si>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</si>
  <si>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</si>
  <si>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</si>
  <si>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</si>
  <si>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</si>
  <si>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</si>
  <si>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</si>
  <si>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</si>
  <si>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</si>
  <si>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</si>
  <si>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</si>
  <si>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</si>
  <si>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</si>
  <si>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</si>
  <si>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</si>
  <si>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</si>
  <si>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</si>
  <si>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</si>
  <si>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</si>
  <si>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</si>
  <si>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</si>
  <si>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</si>
  <si>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</si>
  <si>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</si>
  <si>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</si>
  <si>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</si>
  <si>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</si>
  <si>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</si>
  <si>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</si>
  <si>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</si>
  <si>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</si>
  <si>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</si>
  <si>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</si>
  <si>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</si>
  <si>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</si>
  <si>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</si>
  <si>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</si>
  <si>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</si>
  <si>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</si>
  <si>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</si>
  <si>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</si>
  <si>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</si>
  <si>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</si>
  <si>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</si>
  <si>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</si>
  <si>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</si>
  <si>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</si>
  <si>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</si>
  <si>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</si>
  <si>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</si>
  <si>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</si>
  <si>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</si>
  <si>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</si>
  <si>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</si>
  <si>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</si>
  <si>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</si>
  <si>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</si>
  <si>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</si>
  <si>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</si>
  <si>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</si>
  <si>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</si>
  <si>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</si>
  <si>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</si>
  <si>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</si>
  <si>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</si>
  <si>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</si>
  <si>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</si>
  <si>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</si>
  <si>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</si>
  <si>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</si>
  <si>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</si>
  <si>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</si>
  <si>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</si>
  <si>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</si>
  <si>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</si>
  <si>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</si>
  <si>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</si>
  <si>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</si>
  <si>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</si>
  <si>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</si>
  <si>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</si>
  <si>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</si>
  <si>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</si>
  <si>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</si>
  <si>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</si>
  <si>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</si>
  <si>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</si>
  <si>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</si>
  <si>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</si>
  <si>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</si>
  <si>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</si>
  <si>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</si>
  <si>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</si>
  <si>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</si>
  <si>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</si>
  <si>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</si>
  <si>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</si>
  <si>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</si>
  <si>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</si>
  <si>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</si>
  <si>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</si>
  <si>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</si>
  <si>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</si>
  <si>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</si>
  <si>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</si>
  <si>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</si>
  <si>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</si>
  <si>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</si>
  <si>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</si>
  <si>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</si>
  <si>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</si>
  <si>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</si>
  <si>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</si>
  <si>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</si>
  <si>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</si>
  <si>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</si>
  <si>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</si>
  <si>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</si>
  <si>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</si>
  <si>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</si>
  <si>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</si>
  <si>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</si>
  <si>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</si>
  <si>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</si>
  <si>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</si>
  <si>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</si>
  <si>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</si>
  <si>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</si>
  <si>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</si>
  <si>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</si>
  <si>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</si>
  <si>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</si>
  <si>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</si>
  <si>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</si>
  <si>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</si>
  <si>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</si>
  <si>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</si>
  <si>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</si>
  <si>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</si>
  <si>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</si>
  <si>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</si>
  <si>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</si>
  <si>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</si>
  <si>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</si>
  <si>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</si>
  <si>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</si>
  <si>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</si>
  <si>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</si>
  <si>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</si>
  <si>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</si>
  <si>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</si>
  <si>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</si>
  <si>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</si>
  <si>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</si>
  <si>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</si>
  <si>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</si>
  <si>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</si>
  <si>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</si>
  <si>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</si>
  <si>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</si>
  <si>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</si>
  <si>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</si>
  <si>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</si>
  <si>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</si>
  <si>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</si>
  <si>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</si>
  <si>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</si>
  <si>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</si>
  <si>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</si>
  <si>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</si>
  <si>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</si>
  <si>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</si>
  <si>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</si>
  <si>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</si>
  <si>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</si>
  <si>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</si>
  <si>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</si>
  <si>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</si>
  <si>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</si>
  <si>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</si>
  <si>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</si>
  <si>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</si>
  <si>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</si>
  <si>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</si>
  <si>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</si>
  <si>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</si>
  <si>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</si>
  <si>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</si>
  <si>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</si>
  <si>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</si>
  <si>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</si>
  <si>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</si>
  <si>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</si>
  <si>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</si>
  <si>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</si>
  <si>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</si>
  <si>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</si>
  <si>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</si>
  <si>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</si>
  <si>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</si>
  <si>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</si>
  <si>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</si>
  <si>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</si>
  <si>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</si>
  <si>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</si>
  <si>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</si>
  <si>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</si>
  <si>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</si>
  <si>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</si>
  <si>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</si>
  <si>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</si>
  <si>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</si>
  <si>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</si>
  <si>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</si>
  <si>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</si>
  <si>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</si>
  <si>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</si>
  <si>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</si>
  <si>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</si>
  <si>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</si>
  <si>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</si>
  <si>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</si>
  <si>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</si>
  <si>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</si>
  <si>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</si>
  <si>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</si>
  <si>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23060</t>
  </si>
  <si>
    <t>OPWIJK</t>
  </si>
  <si>
    <t>Paarden&amp;pony's 200 - 600 kg</t>
  </si>
  <si>
    <t>Paarden&amp;pony's &lt; 200 kg</t>
  </si>
  <si>
    <t>op basis van VEA (maart 2018) en Inventaris Hernieuwbare Energiebronnen (juni 2018)</t>
  </si>
  <si>
    <t>VEA (juni 2018)</t>
  </si>
  <si>
    <t xml:space="preserve">Lissens Dirk </t>
  </si>
  <si>
    <t>Pluimhofweg 28, 1745 Opwijk</t>
  </si>
  <si>
    <t>WKK-0051 Lissens Opwijk</t>
  </si>
  <si>
    <t>interne verbrandingsmotor</t>
  </si>
  <si>
    <t>WKK interne verbrandinsgmotor (vloeibaar)</t>
  </si>
  <si>
    <t>eilandwerking</t>
  </si>
  <si>
    <t>Rozenkwekerij Van Biesen</t>
  </si>
  <si>
    <t>Steenweg op Lebbeke 115 , 1745 Opwijk</t>
  </si>
  <si>
    <t>WKK-0311 Rozenkwekerij Van Biesen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</si>
</sst>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23060</v>
      </c>
      <c r="B6" s="397"/>
      <c r="C6" s="398"/>
    </row>
    <row r="7" spans="1:7" s="395" customFormat="1" ht="15.75" customHeight="1">
      <c r="A7" s="399" t="str">
        <f>txtMunicipality</f>
        <v>OPWIJK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0.19858562200142327</v>
      </c>
      <c r="C17" s="510">
        <f ca="1">'EF ele_warmte'!B22</f>
        <v>7.8529411764705889E-2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0.19858562200142327</v>
      </c>
      <c r="C29" s="511">
        <f ca="1">'EF ele_warmte'!B22</f>
        <v>7.8529411764705889E-2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23060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5588</v>
      </c>
      <c r="C9" s="338">
        <v>5749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948</v>
      </c>
    </row>
    <row r="15" spans="1:6">
      <c r="A15" s="1286" t="s">
        <v>184</v>
      </c>
      <c r="B15" s="335">
        <v>9</v>
      </c>
    </row>
    <row r="16" spans="1:6">
      <c r="A16" s="1286" t="s">
        <v>6</v>
      </c>
      <c r="B16" s="335">
        <v>196</v>
      </c>
    </row>
    <row r="17" spans="1:6">
      <c r="A17" s="1286" t="s">
        <v>7</v>
      </c>
      <c r="B17" s="335">
        <v>274</v>
      </c>
    </row>
    <row r="18" spans="1:6">
      <c r="A18" s="1286" t="s">
        <v>8</v>
      </c>
      <c r="B18" s="335">
        <v>334</v>
      </c>
    </row>
    <row r="19" spans="1:6">
      <c r="A19" s="1286" t="s">
        <v>9</v>
      </c>
      <c r="B19" s="335">
        <v>358</v>
      </c>
    </row>
    <row r="20" spans="1:6">
      <c r="A20" s="1286" t="s">
        <v>10</v>
      </c>
      <c r="B20" s="335">
        <v>262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296</v>
      </c>
    </row>
    <row r="27" spans="1:6">
      <c r="A27" s="1286" t="s">
        <v>17</v>
      </c>
      <c r="B27" s="335">
        <v>5</v>
      </c>
    </row>
    <row r="28" spans="1:6" s="341" customFormat="1">
      <c r="A28" s="1287" t="s">
        <v>18</v>
      </c>
      <c r="B28" s="1287">
        <v>0</v>
      </c>
    </row>
    <row r="29" spans="1:6">
      <c r="A29" s="1287" t="s">
        <v>942</v>
      </c>
      <c r="B29" s="1287">
        <v>33</v>
      </c>
      <c r="C29" s="341"/>
      <c r="D29" s="341"/>
      <c r="E29" s="341"/>
      <c r="F29" s="341"/>
    </row>
    <row r="30" spans="1:6">
      <c r="A30" s="1282" t="s">
        <v>943</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49302.284733838504</v>
      </c>
      <c r="E38" s="335">
        <v>2</v>
      </c>
      <c r="F38" s="335">
        <v>2911.9838237657</v>
      </c>
    </row>
    <row r="39" spans="1:6">
      <c r="A39" s="1286" t="s">
        <v>30</v>
      </c>
      <c r="B39" s="1286" t="s">
        <v>31</v>
      </c>
      <c r="C39" s="335">
        <v>2898</v>
      </c>
      <c r="D39" s="335">
        <v>48787203.185354397</v>
      </c>
      <c r="E39" s="335">
        <v>5629</v>
      </c>
      <c r="F39" s="335">
        <v>26091848.259706002</v>
      </c>
    </row>
    <row r="40" spans="1:6">
      <c r="A40" s="1286" t="s">
        <v>30</v>
      </c>
      <c r="B40" s="1286" t="s">
        <v>29</v>
      </c>
      <c r="C40" s="335">
        <v>0</v>
      </c>
      <c r="D40" s="335">
        <v>0</v>
      </c>
      <c r="E40" s="335">
        <v>0</v>
      </c>
      <c r="F40" s="335">
        <v>0</v>
      </c>
    </row>
    <row r="41" spans="1:6">
      <c r="A41" s="1286" t="s">
        <v>32</v>
      </c>
      <c r="B41" s="1286" t="s">
        <v>33</v>
      </c>
      <c r="C41" s="335">
        <v>21</v>
      </c>
      <c r="D41" s="335">
        <v>443326.93723173102</v>
      </c>
      <c r="E41" s="335">
        <v>139</v>
      </c>
      <c r="F41" s="335">
        <v>1704294.76215904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172235.53209118199</v>
      </c>
      <c r="E44" s="335">
        <v>5</v>
      </c>
      <c r="F44" s="335">
        <v>50174.353599805603</v>
      </c>
    </row>
    <row r="45" spans="1:6">
      <c r="A45" s="1286" t="s">
        <v>32</v>
      </c>
      <c r="B45" s="1286" t="s">
        <v>37</v>
      </c>
      <c r="C45" s="335">
        <v>0</v>
      </c>
      <c r="D45" s="335">
        <v>0</v>
      </c>
      <c r="E45" s="335">
        <v>3</v>
      </c>
      <c r="F45" s="335">
        <v>20092.344523706201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23</v>
      </c>
      <c r="D48" s="335">
        <v>6766051.3558858698</v>
      </c>
      <c r="E48" s="335">
        <v>32</v>
      </c>
      <c r="F48" s="335">
        <v>2870445.7763482002</v>
      </c>
    </row>
    <row r="49" spans="1:6">
      <c r="A49" s="1286" t="s">
        <v>32</v>
      </c>
      <c r="B49" s="1286" t="s">
        <v>40</v>
      </c>
      <c r="C49" s="335">
        <v>0</v>
      </c>
      <c r="D49" s="335">
        <v>0</v>
      </c>
      <c r="E49" s="335">
        <v>3</v>
      </c>
      <c r="F49" s="335">
        <v>2288758.2706907298</v>
      </c>
    </row>
    <row r="50" spans="1:6">
      <c r="A50" s="1286" t="s">
        <v>32</v>
      </c>
      <c r="B50" s="1286" t="s">
        <v>41</v>
      </c>
      <c r="C50" s="335">
        <v>0</v>
      </c>
      <c r="D50" s="335">
        <v>0</v>
      </c>
      <c r="E50" s="335">
        <v>7</v>
      </c>
      <c r="F50" s="335">
        <v>279352.86729327001</v>
      </c>
    </row>
    <row r="51" spans="1:6">
      <c r="A51" s="1286" t="s">
        <v>42</v>
      </c>
      <c r="B51" s="1286" t="s">
        <v>43</v>
      </c>
      <c r="C51" s="335">
        <v>5</v>
      </c>
      <c r="D51" s="335">
        <v>85182.764245080296</v>
      </c>
      <c r="E51" s="335">
        <v>43</v>
      </c>
      <c r="F51" s="335">
        <v>952780.66828468395</v>
      </c>
    </row>
    <row r="52" spans="1:6">
      <c r="A52" s="1286" t="s">
        <v>42</v>
      </c>
      <c r="B52" s="1286" t="s">
        <v>29</v>
      </c>
      <c r="C52" s="335">
        <v>0</v>
      </c>
      <c r="D52" s="335">
        <v>0</v>
      </c>
      <c r="E52" s="335">
        <v>5</v>
      </c>
      <c r="F52" s="335">
        <v>46533.839035523197</v>
      </c>
    </row>
    <row r="53" spans="1:6">
      <c r="A53" s="1286" t="s">
        <v>44</v>
      </c>
      <c r="B53" s="1286" t="s">
        <v>45</v>
      </c>
      <c r="C53" s="335">
        <v>40</v>
      </c>
      <c r="D53" s="335">
        <v>869944.921608028</v>
      </c>
      <c r="E53" s="335">
        <v>120</v>
      </c>
      <c r="F53" s="335">
        <v>687678.88026952301</v>
      </c>
    </row>
    <row r="54" spans="1:6">
      <c r="A54" s="1286" t="s">
        <v>46</v>
      </c>
      <c r="B54" s="1286" t="s">
        <v>47</v>
      </c>
      <c r="C54" s="335">
        <v>0</v>
      </c>
      <c r="D54" s="335">
        <v>0</v>
      </c>
      <c r="E54" s="335">
        <v>1</v>
      </c>
      <c r="F54" s="335">
        <v>973350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24</v>
      </c>
      <c r="D57" s="335">
        <v>590577.63389629906</v>
      </c>
      <c r="E57" s="335">
        <v>48</v>
      </c>
      <c r="F57" s="335">
        <v>571737.55361625704</v>
      </c>
    </row>
    <row r="58" spans="1:6">
      <c r="A58" s="1286" t="s">
        <v>49</v>
      </c>
      <c r="B58" s="1286" t="s">
        <v>51</v>
      </c>
      <c r="C58" s="335">
        <v>6</v>
      </c>
      <c r="D58" s="335">
        <v>158320.98423124201</v>
      </c>
      <c r="E58" s="335">
        <v>8</v>
      </c>
      <c r="F58" s="335">
        <v>79172.015512215396</v>
      </c>
    </row>
    <row r="59" spans="1:6">
      <c r="A59" s="1286" t="s">
        <v>49</v>
      </c>
      <c r="B59" s="1286" t="s">
        <v>52</v>
      </c>
      <c r="C59" s="335">
        <v>32</v>
      </c>
      <c r="D59" s="335">
        <v>1140179.3686432501</v>
      </c>
      <c r="E59" s="335">
        <v>134</v>
      </c>
      <c r="F59" s="335">
        <v>3223983.2997802701</v>
      </c>
    </row>
    <row r="60" spans="1:6">
      <c r="A60" s="1286" t="s">
        <v>49</v>
      </c>
      <c r="B60" s="1286" t="s">
        <v>53</v>
      </c>
      <c r="C60" s="335">
        <v>25</v>
      </c>
      <c r="D60" s="335">
        <v>1119298.6621612101</v>
      </c>
      <c r="E60" s="335">
        <v>38</v>
      </c>
      <c r="F60" s="335">
        <v>834606.95846001001</v>
      </c>
    </row>
    <row r="61" spans="1:6">
      <c r="A61" s="1286" t="s">
        <v>49</v>
      </c>
      <c r="B61" s="1286" t="s">
        <v>54</v>
      </c>
      <c r="C61" s="335">
        <v>79</v>
      </c>
      <c r="D61" s="335">
        <v>4457204.6034431905</v>
      </c>
      <c r="E61" s="335">
        <v>180</v>
      </c>
      <c r="F61" s="335">
        <v>1860402.07759486</v>
      </c>
    </row>
    <row r="62" spans="1:6">
      <c r="A62" s="1286" t="s">
        <v>49</v>
      </c>
      <c r="B62" s="1286" t="s">
        <v>55</v>
      </c>
      <c r="C62" s="335">
        <v>3</v>
      </c>
      <c r="D62" s="335">
        <v>724812.52594859502</v>
      </c>
      <c r="E62" s="335">
        <v>12</v>
      </c>
      <c r="F62" s="335">
        <v>182971.28570161501</v>
      </c>
    </row>
    <row r="63" spans="1:6">
      <c r="A63" s="1286" t="s">
        <v>49</v>
      </c>
      <c r="B63" s="1286" t="s">
        <v>29</v>
      </c>
      <c r="C63" s="335">
        <v>75</v>
      </c>
      <c r="D63" s="335">
        <v>3018342.1225383901</v>
      </c>
      <c r="E63" s="335">
        <v>77</v>
      </c>
      <c r="F63" s="335">
        <v>2070256.22947302</v>
      </c>
    </row>
    <row r="64" spans="1:6">
      <c r="A64" s="1286" t="s">
        <v>56</v>
      </c>
      <c r="B64" s="1286" t="s">
        <v>57</v>
      </c>
      <c r="C64" s="335">
        <v>0</v>
      </c>
      <c r="D64" s="335">
        <v>0</v>
      </c>
      <c r="E64" s="335">
        <v>0</v>
      </c>
      <c r="F64" s="335">
        <v>0</v>
      </c>
    </row>
    <row r="65" spans="1:6">
      <c r="A65" s="1286" t="s">
        <v>56</v>
      </c>
      <c r="B65" s="1286" t="s">
        <v>29</v>
      </c>
      <c r="C65" s="335">
        <v>1</v>
      </c>
      <c r="D65" s="335">
        <v>22887.4607602615</v>
      </c>
      <c r="E65" s="335">
        <v>2</v>
      </c>
      <c r="F65" s="335">
        <v>15699.4678434895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102639.911722139</v>
      </c>
      <c r="E68" s="335">
        <v>12</v>
      </c>
      <c r="F68" s="335">
        <v>59385.851388712603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42207360</v>
      </c>
      <c r="E73" s="335">
        <v>44588315.004418194</v>
      </c>
    </row>
    <row r="74" spans="1:6">
      <c r="A74" s="1286" t="s">
        <v>64</v>
      </c>
      <c r="B74" s="1286" t="s">
        <v>772</v>
      </c>
      <c r="C74" s="1297" t="s">
        <v>766</v>
      </c>
      <c r="D74" s="335">
        <v>3913618.0074959747</v>
      </c>
      <c r="E74" s="335">
        <v>4024074.577591043</v>
      </c>
    </row>
    <row r="75" spans="1:6">
      <c r="A75" s="1286" t="s">
        <v>65</v>
      </c>
      <c r="B75" s="1286" t="s">
        <v>771</v>
      </c>
      <c r="C75" s="1297" t="s">
        <v>767</v>
      </c>
      <c r="D75" s="335">
        <v>21444321</v>
      </c>
      <c r="E75" s="335">
        <v>22784238.097326703</v>
      </c>
    </row>
    <row r="76" spans="1:6">
      <c r="A76" s="1286" t="s">
        <v>65</v>
      </c>
      <c r="B76" s="1286" t="s">
        <v>772</v>
      </c>
      <c r="C76" s="1297" t="s">
        <v>768</v>
      </c>
      <c r="D76" s="335">
        <v>1459493.0074959747</v>
      </c>
      <c r="E76" s="335">
        <v>1497198.255861629</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175915.98500805083</v>
      </c>
      <c r="C83" s="335">
        <v>170504.13596872645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2506.3012502306237</v>
      </c>
    </row>
    <row r="92" spans="1:6">
      <c r="A92" s="1282" t="s">
        <v>69</v>
      </c>
      <c r="B92" s="338">
        <v>489.73797684082109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991</v>
      </c>
    </row>
    <row r="98" spans="1:6">
      <c r="A98" s="1286" t="s">
        <v>72</v>
      </c>
      <c r="B98" s="335">
        <v>4</v>
      </c>
    </row>
    <row r="99" spans="1:6">
      <c r="A99" s="1286" t="s">
        <v>73</v>
      </c>
      <c r="B99" s="335">
        <v>32</v>
      </c>
    </row>
    <row r="100" spans="1:6">
      <c r="A100" s="1286" t="s">
        <v>74</v>
      </c>
      <c r="B100" s="335">
        <v>641</v>
      </c>
    </row>
    <row r="101" spans="1:6">
      <c r="A101" s="1286" t="s">
        <v>75</v>
      </c>
      <c r="B101" s="335">
        <v>54</v>
      </c>
    </row>
    <row r="102" spans="1:6">
      <c r="A102" s="1286" t="s">
        <v>76</v>
      </c>
      <c r="B102" s="335">
        <v>59</v>
      </c>
    </row>
    <row r="103" spans="1:6">
      <c r="A103" s="1286" t="s">
        <v>77</v>
      </c>
      <c r="B103" s="335">
        <v>73</v>
      </c>
    </row>
    <row r="104" spans="1:6">
      <c r="A104" s="1286" t="s">
        <v>78</v>
      </c>
      <c r="B104" s="335">
        <v>2565</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13</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50</v>
      </c>
    </row>
    <row r="130" spans="1:6">
      <c r="A130" s="1286" t="s">
        <v>295</v>
      </c>
      <c r="B130" s="335">
        <v>0</v>
      </c>
    </row>
    <row r="131" spans="1:6">
      <c r="A131" s="1286" t="s">
        <v>296</v>
      </c>
      <c r="B131" s="335">
        <v>0</v>
      </c>
    </row>
    <row r="132" spans="1:6">
      <c r="A132" s="1282" t="s">
        <v>297</v>
      </c>
      <c r="B132" s="338">
        <v>13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47296.079925472382</v>
      </c>
      <c r="C3" s="44" t="s">
        <v>170</v>
      </c>
      <c r="D3" s="44"/>
      <c r="E3" s="157"/>
      <c r="F3" s="44"/>
      <c r="G3" s="44"/>
      <c r="H3" s="44"/>
      <c r="I3" s="44"/>
      <c r="J3" s="44"/>
      <c r="K3" s="97"/>
    </row>
    <row r="4" spans="1:11">
      <c r="A4" s="365" t="s">
        <v>171</v>
      </c>
      <c r="B4" s="50">
        <f>IF(ISERROR('SEAP template'!B78),0,'SEAP template'!B78)</f>
        <v>6418.2892270714447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358.32970588235293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0.19858562200142327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403.12091911764708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5133.375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7.8529411764705889E-2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973.35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973.35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0.19858562200142327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193.29331517508535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26091.848259706003</v>
      </c>
      <c r="C5" s="18">
        <f>IF(ISERROR('Eigen informatie GS &amp; warmtenet'!B57),0,'Eigen informatie GS &amp; warmtenet'!B57)</f>
        <v>0</v>
      </c>
      <c r="D5" s="31">
        <f>(SUM(HH_hh_gas_kWh,HH_rest_gas_kWh)/1000)*0.902</f>
        <v>44006.057273189668</v>
      </c>
      <c r="E5" s="18">
        <f>B46*B57</f>
        <v>1760.7804738375728</v>
      </c>
      <c r="F5" s="18">
        <f>B51*B62</f>
        <v>16753.239796614991</v>
      </c>
      <c r="G5" s="19"/>
      <c r="H5" s="18"/>
      <c r="I5" s="18"/>
      <c r="J5" s="18">
        <f>B50*B61+C50*C61</f>
        <v>0</v>
      </c>
      <c r="K5" s="18"/>
      <c r="L5" s="18"/>
      <c r="M5" s="18"/>
      <c r="N5" s="18">
        <f>B48*B59+C48*C59</f>
        <v>9649.4782037518853</v>
      </c>
      <c r="O5" s="18">
        <f>B69*B70*B71</f>
        <v>95.36333333333333</v>
      </c>
      <c r="P5" s="18">
        <f>B77*B78*B79/1000-B77*B78*B79/1000/B80</f>
        <v>495.73333333333335</v>
      </c>
    </row>
    <row r="6" spans="1:16">
      <c r="A6" s="17" t="s">
        <v>639</v>
      </c>
      <c r="B6" s="780">
        <f>kWh_PV_kleiner_dan_10kW</f>
        <v>2506.3012502306237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28598.149509936626</v>
      </c>
      <c r="C8" s="22">
        <f>C5</f>
        <v>0</v>
      </c>
      <c r="D8" s="22">
        <f>D5</f>
        <v>44006.057273189668</v>
      </c>
      <c r="E8" s="22">
        <f>E5</f>
        <v>1760.7804738375728</v>
      </c>
      <c r="F8" s="22">
        <f>F5</f>
        <v>16753.239796614991</v>
      </c>
      <c r="G8" s="22"/>
      <c r="H8" s="22"/>
      <c r="I8" s="22"/>
      <c r="J8" s="22">
        <f>J5</f>
        <v>0</v>
      </c>
      <c r="K8" s="22"/>
      <c r="L8" s="22">
        <f>L5</f>
        <v>0</v>
      </c>
      <c r="M8" s="22">
        <f>M5</f>
        <v>0</v>
      </c>
      <c r="N8" s="22">
        <f>N5</f>
        <v>9649.4782037518853</v>
      </c>
      <c r="O8" s="22">
        <f>O5</f>
        <v>95.36333333333333</v>
      </c>
      <c r="P8" s="22">
        <f>P5</f>
        <v>495.73333333333335</v>
      </c>
    </row>
    <row r="9" spans="1:16">
      <c r="B9" s="20"/>
      <c r="C9" s="20"/>
      <c r="D9" s="262"/>
      <c r="E9" s="20"/>
      <c r="F9" s="20"/>
      <c r="G9" s="20"/>
      <c r="H9" s="20"/>
      <c r="I9" s="20"/>
      <c r="J9" s="20"/>
      <c r="K9" s="20"/>
      <c r="L9" s="20"/>
      <c r="M9" s="20"/>
      <c r="N9" s="20"/>
      <c r="O9" s="20"/>
      <c r="P9" s="20"/>
    </row>
    <row r="10" spans="1:16">
      <c r="A10" s="25" t="s">
        <v>214</v>
      </c>
      <c r="B10" s="26">
        <f ca="1">'EF ele_warmte'!B12</f>
        <v>0.19858562200142327</v>
      </c>
      <c r="C10" s="26">
        <f ca="1">'EF ele_warmte'!B22</f>
        <v>7.8529411764705889E-2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5679.1813085204631</v>
      </c>
      <c r="C12" s="24">
        <f ca="1">C10*C8</f>
        <v>0</v>
      </c>
      <c r="D12" s="24">
        <f>D8*D10</f>
        <v>8889.2235691843143</v>
      </c>
      <c r="E12" s="24">
        <f>E10*E8</f>
        <v>399.69716756112905</v>
      </c>
      <c r="F12" s="24">
        <f>F10*F8</f>
        <v>4473.1150256962028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991</v>
      </c>
      <c r="C18" s="169" t="s">
        <v>111</v>
      </c>
      <c r="D18" s="231"/>
      <c r="E18" s="16"/>
    </row>
    <row r="19" spans="1:7">
      <c r="A19" s="174" t="s">
        <v>72</v>
      </c>
      <c r="B19" s="38">
        <f>aantalw2001_ander</f>
        <v>4</v>
      </c>
      <c r="C19" s="169" t="s">
        <v>111</v>
      </c>
      <c r="D19" s="232"/>
      <c r="E19" s="16"/>
    </row>
    <row r="20" spans="1:7">
      <c r="A20" s="174" t="s">
        <v>73</v>
      </c>
      <c r="B20" s="38">
        <f>aantalw2001_propaan</f>
        <v>32</v>
      </c>
      <c r="C20" s="170">
        <f>IF(ISERROR(B20/SUM($B$20,$B$21,$B$22)*100),0,B20/SUM($B$20,$B$21,$B$22)*100)</f>
        <v>4.4016506189821181</v>
      </c>
      <c r="D20" s="232"/>
      <c r="E20" s="16"/>
    </row>
    <row r="21" spans="1:7">
      <c r="A21" s="174" t="s">
        <v>74</v>
      </c>
      <c r="B21" s="38">
        <f>aantalw2001_elektriciteit</f>
        <v>641</v>
      </c>
      <c r="C21" s="170">
        <f>IF(ISERROR(B21/SUM($B$20,$B$21,$B$22)*100),0,B21/SUM($B$20,$B$21,$B$22)*100)</f>
        <v>88.170563961485556</v>
      </c>
      <c r="D21" s="232"/>
      <c r="E21" s="16"/>
    </row>
    <row r="22" spans="1:7">
      <c r="A22" s="174" t="s">
        <v>75</v>
      </c>
      <c r="B22" s="38">
        <f>aantalw2001_hout</f>
        <v>54</v>
      </c>
      <c r="C22" s="170">
        <f>IF(ISERROR(B22/SUM($B$20,$B$21,$B$22)*100),0,B22/SUM($B$20,$B$21,$B$22)*100)</f>
        <v>7.4277854195323245</v>
      </c>
      <c r="D22" s="232"/>
      <c r="E22" s="16"/>
    </row>
    <row r="23" spans="1:7">
      <c r="A23" s="174" t="s">
        <v>76</v>
      </c>
      <c r="B23" s="38">
        <f>aantalw2001_niet_gespec</f>
        <v>59</v>
      </c>
      <c r="C23" s="169" t="s">
        <v>111</v>
      </c>
      <c r="D23" s="231"/>
      <c r="E23" s="16"/>
    </row>
    <row r="24" spans="1:7">
      <c r="A24" s="174" t="s">
        <v>77</v>
      </c>
      <c r="B24" s="38">
        <f>aantalw2001_steenkool</f>
        <v>73</v>
      </c>
      <c r="C24" s="169" t="s">
        <v>111</v>
      </c>
      <c r="D24" s="232"/>
      <c r="E24" s="16"/>
    </row>
    <row r="25" spans="1:7">
      <c r="A25" s="174" t="s">
        <v>78</v>
      </c>
      <c r="B25" s="38">
        <f>aantalw2001_stookolie</f>
        <v>2565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5588</v>
      </c>
      <c r="C28" s="37"/>
      <c r="D28" s="231"/>
    </row>
    <row r="29" spans="1:7" s="16" customFormat="1">
      <c r="A29" s="233" t="s">
        <v>666</v>
      </c>
      <c r="B29" s="38">
        <f>SUM(HH_hh_gas_aantal,HH_rest_gas_aantal)</f>
        <v>2898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2898</v>
      </c>
      <c r="C32" s="170">
        <f>IF(ISERROR(B32/SUM($B$32,$B$34,$B$35,$B$36,$B$38,$B$39)*100),0,B32/SUM($B$32,$B$34,$B$35,$B$36,$B$38,$B$39)*100)</f>
        <v>52.103559870550164</v>
      </c>
      <c r="D32" s="236"/>
      <c r="G32" s="16"/>
    </row>
    <row r="33" spans="1:7">
      <c r="A33" s="174" t="s">
        <v>72</v>
      </c>
      <c r="B33" s="35" t="s">
        <v>111</v>
      </c>
      <c r="C33" s="170"/>
      <c r="D33" s="236"/>
      <c r="G33" s="16"/>
    </row>
    <row r="34" spans="1:7">
      <c r="A34" s="174" t="s">
        <v>73</v>
      </c>
      <c r="B34" s="34">
        <f>IF((($B$28-$B$32-$B$39-$B$77-$B$38)*C20/100)&lt;0,0,($B$28-$B$32-$B$39-$B$77-$B$38)*C20/100)</f>
        <v>79.903163686382385</v>
      </c>
      <c r="C34" s="170">
        <f>IF(ISERROR(B34/SUM($B$32,$B$34,$B$35,$B$36,$B$38,$B$39)*100),0,B34/SUM($B$32,$B$34,$B$35,$B$36,$B$38,$B$39)*100)</f>
        <v>1.4365905013732898</v>
      </c>
      <c r="D34" s="236"/>
      <c r="G34" s="16"/>
    </row>
    <row r="35" spans="1:7">
      <c r="A35" s="174" t="s">
        <v>74</v>
      </c>
      <c r="B35" s="34">
        <f>IF((($B$28-$B$32-$B$39-$B$77-$B$38)*C21/100)&lt;0,0,($B$28-$B$32-$B$39-$B$77-$B$38)*C21/100)</f>
        <v>1600.5602475928472</v>
      </c>
      <c r="C35" s="170">
        <f>IF(ISERROR(B35/SUM($B$32,$B$34,$B$35,$B$36,$B$38,$B$39)*100),0,B35/SUM($B$32,$B$34,$B$35,$B$36,$B$38,$B$39)*100)</f>
        <v>28.776703480633714</v>
      </c>
      <c r="D35" s="236"/>
      <c r="G35" s="16"/>
    </row>
    <row r="36" spans="1:7">
      <c r="A36" s="174" t="s">
        <v>75</v>
      </c>
      <c r="B36" s="34">
        <f>IF((($B$28-$B$32-$B$39-$B$77-$B$38)*C22/100)&lt;0,0,($B$28-$B$32-$B$39-$B$77-$B$38)*C22/100)</f>
        <v>134.83658872077029</v>
      </c>
      <c r="C36" s="170">
        <f>IF(ISERROR(B36/SUM($B$32,$B$34,$B$35,$B$36,$B$38,$B$39)*100),0,B36/SUM($B$32,$B$34,$B$35,$B$36,$B$38,$B$39)*100)</f>
        <v>2.424246471067427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848.7</v>
      </c>
      <c r="C39" s="170">
        <f>IF(ISERROR(B39/SUM($B$32,$B$34,$B$35,$B$36,$B$38,$B$39)*100),0,B39/SUM($B$32,$B$34,$B$35,$B$36,$B$38,$B$39)*100)</f>
        <v>15.258899676375407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2898</v>
      </c>
      <c r="C44" s="35" t="s">
        <v>111</v>
      </c>
      <c r="D44" s="177"/>
    </row>
    <row r="45" spans="1:7">
      <c r="A45" s="174" t="s">
        <v>72</v>
      </c>
      <c r="B45" s="34" t="str">
        <f t="shared" si="0"/>
        <v>-</v>
      </c>
      <c r="C45" s="35" t="s">
        <v>111</v>
      </c>
      <c r="D45" s="177"/>
    </row>
    <row r="46" spans="1:7">
      <c r="A46" s="174" t="s">
        <v>73</v>
      </c>
      <c r="B46" s="34">
        <f t="shared" si="0"/>
        <v>79.903163686382385</v>
      </c>
      <c r="C46" s="35" t="s">
        <v>111</v>
      </c>
      <c r="D46" s="177"/>
    </row>
    <row r="47" spans="1:7">
      <c r="A47" s="174" t="s">
        <v>74</v>
      </c>
      <c r="B47" s="34">
        <f t="shared" si="0"/>
        <v>1600.5602475928472</v>
      </c>
      <c r="C47" s="35" t="s">
        <v>111</v>
      </c>
      <c r="D47" s="177"/>
    </row>
    <row r="48" spans="1:7">
      <c r="A48" s="174" t="s">
        <v>75</v>
      </c>
      <c r="B48" s="34">
        <f t="shared" si="0"/>
        <v>134.83658872077029</v>
      </c>
      <c r="C48" s="34">
        <f>B48*10</f>
        <v>1348.3658872077031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848.7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8823.129420138248</v>
      </c>
      <c r="C5" s="18">
        <f>IF(ISERROR('Eigen informatie GS &amp; warmtenet'!B58),0,'Eigen informatie GS &amp; warmtenet'!B58)</f>
        <v>0</v>
      </c>
      <c r="D5" s="31">
        <f>SUM(D6:D12)</f>
        <v>10110.279782577683</v>
      </c>
      <c r="E5" s="18">
        <f>SUM(E6:E12)</f>
        <v>86.481244800185181</v>
      </c>
      <c r="F5" s="18">
        <f>SUM(F6:F12)</f>
        <v>1744.9532868109673</v>
      </c>
      <c r="G5" s="19"/>
      <c r="H5" s="18"/>
      <c r="I5" s="18"/>
      <c r="J5" s="18">
        <f>SUM(J6:J12)</f>
        <v>0</v>
      </c>
      <c r="K5" s="18"/>
      <c r="L5" s="18"/>
      <c r="M5" s="18"/>
      <c r="N5" s="18">
        <f>SUM(N6:N12)</f>
        <v>483.75686827340911</v>
      </c>
      <c r="O5" s="18">
        <f>B38*B39*B40</f>
        <v>0</v>
      </c>
      <c r="P5" s="18">
        <f>B46*B47*B48/1000-B46*B47*B48/1000/B49</f>
        <v>0</v>
      </c>
      <c r="R5" s="33"/>
    </row>
    <row r="6" spans="1:18">
      <c r="A6" s="33" t="s">
        <v>54</v>
      </c>
      <c r="B6" s="38">
        <f>B26</f>
        <v>1860.40207759486</v>
      </c>
      <c r="C6" s="34"/>
      <c r="D6" s="38">
        <f>IF(ISERROR(TER_kantoor_gas_kWh/1000),0,TER_kantoor_gas_kWh/1000)*0.902</f>
        <v>4020.3985523057581</v>
      </c>
      <c r="E6" s="34">
        <f>$C$26*'E Balans VL '!I12/100/3.6*1000000</f>
        <v>3.0532968679036845</v>
      </c>
      <c r="F6" s="34">
        <f>$C$26*('E Balans VL '!L12+'E Balans VL '!N12)/100/3.6*1000000</f>
        <v>219.2976320646147</v>
      </c>
      <c r="G6" s="35"/>
      <c r="H6" s="34"/>
      <c r="I6" s="34"/>
      <c r="J6" s="34">
        <f>$C$26*('E Balans VL '!D12+'E Balans VL '!E12)/100/3.6*1000000</f>
        <v>0</v>
      </c>
      <c r="K6" s="34"/>
      <c r="L6" s="34"/>
      <c r="M6" s="34"/>
      <c r="N6" s="34">
        <f>$C$26*'E Balans VL '!Y12/100/3.6*1000000</f>
        <v>0.37588543005297476</v>
      </c>
      <c r="O6" s="34"/>
      <c r="P6" s="34"/>
      <c r="R6" s="33"/>
    </row>
    <row r="7" spans="1:18">
      <c r="A7" s="33" t="s">
        <v>53</v>
      </c>
      <c r="B7" s="38">
        <f t="shared" ref="B7:B12" si="0">B27</f>
        <v>834.60695846000999</v>
      </c>
      <c r="C7" s="34"/>
      <c r="D7" s="38">
        <f>IF(ISERROR(TER_horeca_gas_kWh/1000),0,TER_horeca_gas_kWh/1000)*0.902</f>
        <v>1009.6073932694115</v>
      </c>
      <c r="E7" s="34">
        <f>$C$27*'E Balans VL '!I9/100/3.6*1000000</f>
        <v>43.31006179888594</v>
      </c>
      <c r="F7" s="34">
        <f>$C$27*('E Balans VL '!L9+'E Balans VL '!N9)/100/3.6*1000000</f>
        <v>190.45791351438481</v>
      </c>
      <c r="G7" s="35"/>
      <c r="H7" s="34"/>
      <c r="I7" s="34"/>
      <c r="J7" s="34">
        <f>$C$27*('E Balans VL '!D9+'E Balans VL '!E9)/100/3.6*1000000</f>
        <v>0</v>
      </c>
      <c r="K7" s="34"/>
      <c r="L7" s="34"/>
      <c r="M7" s="34"/>
      <c r="N7" s="34">
        <f>$C$27*'E Balans VL '!Y9/100/3.6*1000000</f>
        <v>8.8134112338051962E-2</v>
      </c>
      <c r="O7" s="34"/>
      <c r="P7" s="34"/>
      <c r="R7" s="33"/>
    </row>
    <row r="8" spans="1:18">
      <c r="A8" s="6" t="s">
        <v>52</v>
      </c>
      <c r="B8" s="38">
        <f t="shared" si="0"/>
        <v>3223.98329978027</v>
      </c>
      <c r="C8" s="34"/>
      <c r="D8" s="38">
        <f>IF(ISERROR(TER_handel_gas_kWh/1000),0,TER_handel_gas_kWh/1000)*0.902</f>
        <v>1028.4417905162115</v>
      </c>
      <c r="E8" s="34">
        <f>$C$28*'E Balans VL '!I13/100/3.6*1000000</f>
        <v>17.361546244208402</v>
      </c>
      <c r="F8" s="34">
        <f>$C$28*('E Balans VL '!L13+'E Balans VL '!N13)/100/3.6*1000000</f>
        <v>657.46600297973623</v>
      </c>
      <c r="G8" s="35"/>
      <c r="H8" s="34"/>
      <c r="I8" s="34"/>
      <c r="J8" s="34">
        <f>$C$28*('E Balans VL '!D13+'E Balans VL '!E13)/100/3.6*1000000</f>
        <v>0</v>
      </c>
      <c r="K8" s="34"/>
      <c r="L8" s="34"/>
      <c r="M8" s="34"/>
      <c r="N8" s="34">
        <f>$C$28*'E Balans VL '!Y13/100/3.6*1000000</f>
        <v>16.031166413005337</v>
      </c>
      <c r="O8" s="34"/>
      <c r="P8" s="34"/>
      <c r="R8" s="33"/>
    </row>
    <row r="9" spans="1:18">
      <c r="A9" s="33" t="s">
        <v>51</v>
      </c>
      <c r="B9" s="38">
        <f t="shared" si="0"/>
        <v>79.172015512215395</v>
      </c>
      <c r="C9" s="34"/>
      <c r="D9" s="38">
        <f>IF(ISERROR(TER_gezond_gas_kWh/1000),0,TER_gezond_gas_kWh/1000)*0.902</f>
        <v>142.80552777658028</v>
      </c>
      <c r="E9" s="34">
        <f>$C$29*'E Balans VL '!I10/100/3.6*1000000</f>
        <v>7.84603677130397E-2</v>
      </c>
      <c r="F9" s="34">
        <f>$C$29*('E Balans VL '!L10+'E Balans VL '!N10)/100/3.6*1000000</f>
        <v>27.470407336940816</v>
      </c>
      <c r="G9" s="35"/>
      <c r="H9" s="34"/>
      <c r="I9" s="34"/>
      <c r="J9" s="34">
        <f>$C$29*('E Balans VL '!D10+'E Balans VL '!E10)/100/3.6*1000000</f>
        <v>0</v>
      </c>
      <c r="K9" s="34"/>
      <c r="L9" s="34"/>
      <c r="M9" s="34"/>
      <c r="N9" s="34">
        <f>$C$29*'E Balans VL '!Y10/100/3.6*1000000</f>
        <v>0.68221839902993864</v>
      </c>
      <c r="O9" s="34"/>
      <c r="P9" s="34"/>
      <c r="R9" s="33"/>
    </row>
    <row r="10" spans="1:18">
      <c r="A10" s="33" t="s">
        <v>50</v>
      </c>
      <c r="B10" s="38">
        <f t="shared" si="0"/>
        <v>571.73755361625706</v>
      </c>
      <c r="C10" s="34"/>
      <c r="D10" s="38">
        <f>IF(ISERROR(TER_ander_gas_kWh/1000),0,TER_ander_gas_kWh/1000)*0.902</f>
        <v>532.70102577446175</v>
      </c>
      <c r="E10" s="34">
        <f>$C$30*'E Balans VL '!I14/100/3.6*1000000</f>
        <v>4.6773845995711669</v>
      </c>
      <c r="F10" s="34">
        <f>$C$30*('E Balans VL '!L14+'E Balans VL '!N14)/100/3.6*1000000</f>
        <v>167.15278427755885</v>
      </c>
      <c r="G10" s="35"/>
      <c r="H10" s="34"/>
      <c r="I10" s="34"/>
      <c r="J10" s="34">
        <f>$C$30*('E Balans VL '!D14+'E Balans VL '!E14)/100/3.6*1000000</f>
        <v>0</v>
      </c>
      <c r="K10" s="34"/>
      <c r="L10" s="34"/>
      <c r="M10" s="34"/>
      <c r="N10" s="34">
        <f>$C$30*'E Balans VL '!Y14/100/3.6*1000000</f>
        <v>329.81755013091691</v>
      </c>
      <c r="O10" s="34"/>
      <c r="P10" s="34"/>
      <c r="R10" s="33"/>
    </row>
    <row r="11" spans="1:18">
      <c r="A11" s="33" t="s">
        <v>55</v>
      </c>
      <c r="B11" s="38">
        <f t="shared" si="0"/>
        <v>182.97128570161502</v>
      </c>
      <c r="C11" s="34"/>
      <c r="D11" s="38">
        <f>IF(ISERROR(TER_onderwijs_gas_kWh/1000),0,TER_onderwijs_gas_kWh/1000)*0.902</f>
        <v>653.7808984056328</v>
      </c>
      <c r="E11" s="34">
        <f>$C$31*'E Balans VL '!I11/100/3.6*1000000</f>
        <v>0.11277578018144382</v>
      </c>
      <c r="F11" s="34">
        <f>$C$31*('E Balans VL '!L11+'E Balans VL '!N11)/100/3.6*1000000</f>
        <v>70.739662211710396</v>
      </c>
      <c r="G11" s="35"/>
      <c r="H11" s="34"/>
      <c r="I11" s="34"/>
      <c r="J11" s="34">
        <f>$C$31*('E Balans VL '!D11+'E Balans VL '!E11)/100/3.6*1000000</f>
        <v>0</v>
      </c>
      <c r="K11" s="34"/>
      <c r="L11" s="34"/>
      <c r="M11" s="34"/>
      <c r="N11" s="34">
        <f>$C$31*'E Balans VL '!Y11/100/3.6*1000000</f>
        <v>0.59516638247801579</v>
      </c>
      <c r="O11" s="34"/>
      <c r="P11" s="34"/>
      <c r="R11" s="33"/>
    </row>
    <row r="12" spans="1:18">
      <c r="A12" s="33" t="s">
        <v>260</v>
      </c>
      <c r="B12" s="38">
        <f t="shared" si="0"/>
        <v>2070.2562294730201</v>
      </c>
      <c r="C12" s="34"/>
      <c r="D12" s="38">
        <f>IF(ISERROR(TER_rest_gas_kWh/1000),0,TER_rest_gas_kWh/1000)*0.902</f>
        <v>2722.5445945296278</v>
      </c>
      <c r="E12" s="34">
        <f>$C$32*'E Balans VL '!I8/100/3.6*1000000</f>
        <v>17.887719141721519</v>
      </c>
      <c r="F12" s="34">
        <f>$C$32*('E Balans VL '!L8+'E Balans VL '!N8)/100/3.6*1000000</f>
        <v>412.36888442602174</v>
      </c>
      <c r="G12" s="35"/>
      <c r="H12" s="34"/>
      <c r="I12" s="34"/>
      <c r="J12" s="34">
        <f>$C$32*('E Balans VL '!D8+'E Balans VL '!E8)/100/3.6*1000000</f>
        <v>0</v>
      </c>
      <c r="K12" s="34"/>
      <c r="L12" s="34"/>
      <c r="M12" s="34"/>
      <c r="N12" s="34">
        <f>$C$32*'E Balans VL '!Y8/100/3.6*1000000</f>
        <v>136.1667474055879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8823.129420138248</v>
      </c>
      <c r="C16" s="22">
        <f t="shared" ca="1" si="1"/>
        <v>0</v>
      </c>
      <c r="D16" s="22">
        <f t="shared" ca="1" si="1"/>
        <v>10110.279782577683</v>
      </c>
      <c r="E16" s="22">
        <f t="shared" si="1"/>
        <v>86.481244800185181</v>
      </c>
      <c r="F16" s="22">
        <f t="shared" ca="1" si="1"/>
        <v>1744.9532868109673</v>
      </c>
      <c r="G16" s="22">
        <f t="shared" si="1"/>
        <v>0</v>
      </c>
      <c r="H16" s="22">
        <f t="shared" si="1"/>
        <v>0</v>
      </c>
      <c r="I16" s="22">
        <f t="shared" si="1"/>
        <v>0</v>
      </c>
      <c r="J16" s="22">
        <f t="shared" si="1"/>
        <v>0</v>
      </c>
      <c r="K16" s="22">
        <f t="shared" si="1"/>
        <v>0</v>
      </c>
      <c r="L16" s="22">
        <f t="shared" ca="1" si="1"/>
        <v>0</v>
      </c>
      <c r="M16" s="22">
        <f t="shared" si="1"/>
        <v>0</v>
      </c>
      <c r="N16" s="22">
        <f t="shared" ca="1" si="1"/>
        <v>483.75686827340911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0.19858562200142327</v>
      </c>
      <c r="C18" s="26">
        <f ca="1">'EF ele_warmte'!B22</f>
        <v>7.8529411764705889E-2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1752.1466438972109</v>
      </c>
      <c r="C20" s="24">
        <f t="shared" ref="C20:P20" ca="1" si="2">C16*C18</f>
        <v>0</v>
      </c>
      <c r="D20" s="24">
        <f t="shared" ca="1" si="2"/>
        <v>2042.2765160806921</v>
      </c>
      <c r="E20" s="24">
        <f t="shared" si="2"/>
        <v>19.631242569642037</v>
      </c>
      <c r="F20" s="24">
        <f t="shared" ca="1" si="2"/>
        <v>465.90252757852829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1860.40207759486</v>
      </c>
      <c r="C26" s="40">
        <f>IF(ISERROR(B26*3.6/1000000/'E Balans VL '!Z12*100),0,B26*3.6/1000000/'E Balans VL '!Z12*100)</f>
        <v>3.953220999680717E-2</v>
      </c>
      <c r="D26" s="240" t="s">
        <v>707</v>
      </c>
      <c r="F26" s="6"/>
    </row>
    <row r="27" spans="1:18">
      <c r="A27" s="234" t="s">
        <v>53</v>
      </c>
      <c r="B27" s="34">
        <f>IF(ISERROR(TER_horeca_ele_kWh/1000),0,TER_horeca_ele_kWh/1000)</f>
        <v>834.60695846000999</v>
      </c>
      <c r="C27" s="40">
        <f>IF(ISERROR(B27*3.6/1000000/'E Balans VL '!Z9*100),0,B27*3.6/1000000/'E Balans VL '!Z9*100)</f>
        <v>6.5690021618423827E-2</v>
      </c>
      <c r="D27" s="240" t="s">
        <v>707</v>
      </c>
      <c r="F27" s="6"/>
    </row>
    <row r="28" spans="1:18">
      <c r="A28" s="174" t="s">
        <v>52</v>
      </c>
      <c r="B28" s="34">
        <f>IF(ISERROR(TER_handel_ele_kWh/1000),0,TER_handel_ele_kWh/1000)</f>
        <v>3223.98329978027</v>
      </c>
      <c r="C28" s="40">
        <f>IF(ISERROR(B28*3.6/1000000/'E Balans VL '!Z13*100),0,B28*3.6/1000000/'E Balans VL '!Z13*100)</f>
        <v>9.0305497634588811E-2</v>
      </c>
      <c r="D28" s="240" t="s">
        <v>707</v>
      </c>
      <c r="F28" s="6"/>
    </row>
    <row r="29" spans="1:18">
      <c r="A29" s="234" t="s">
        <v>51</v>
      </c>
      <c r="B29" s="34">
        <f>IF(ISERROR(TER_gezond_ele_kWh/1000),0,TER_gezond_ele_kWh/1000)</f>
        <v>79.172015512215395</v>
      </c>
      <c r="C29" s="40">
        <f>IF(ISERROR(B29*3.6/1000000/'E Balans VL '!Z10*100),0,B29*3.6/1000000/'E Balans VL '!Z10*100)</f>
        <v>1.0128494849341913E-2</v>
      </c>
      <c r="D29" s="240" t="s">
        <v>707</v>
      </c>
      <c r="F29" s="6"/>
    </row>
    <row r="30" spans="1:18">
      <c r="A30" s="234" t="s">
        <v>50</v>
      </c>
      <c r="B30" s="34">
        <f>IF(ISERROR(TER_ander_ele_kWh/1000),0,TER_ander_ele_kWh/1000)</f>
        <v>571.73755361625706</v>
      </c>
      <c r="C30" s="40">
        <f>IF(ISERROR(B30*3.6/1000000/'E Balans VL '!Z14*100),0,B30*3.6/1000000/'E Balans VL '!Z14*100)</f>
        <v>4.276115146571205E-2</v>
      </c>
      <c r="D30" s="240" t="s">
        <v>707</v>
      </c>
      <c r="F30" s="6"/>
    </row>
    <row r="31" spans="1:18">
      <c r="A31" s="234" t="s">
        <v>55</v>
      </c>
      <c r="B31" s="34">
        <f>IF(ISERROR(TER_onderwijs_ele_kWh/1000),0,TER_onderwijs_ele_kWh/1000)</f>
        <v>182.97128570161502</v>
      </c>
      <c r="C31" s="40">
        <f>IF(ISERROR(B31*3.6/1000000/'E Balans VL '!Z11*100),0,B31*3.6/1000000/'E Balans VL '!Z11*100)</f>
        <v>3.8634623984291842E-2</v>
      </c>
      <c r="D31" s="240" t="s">
        <v>707</v>
      </c>
    </row>
    <row r="32" spans="1:18">
      <c r="A32" s="234" t="s">
        <v>260</v>
      </c>
      <c r="B32" s="34">
        <f>IF(ISERROR(TER_rest_ele_kWh/1000),0,TER_rest_ele_kWh/1000)</f>
        <v>2070.2562294730201</v>
      </c>
      <c r="C32" s="40">
        <f>IF(ISERROR(B32*3.6/1000000/'E Balans VL '!Z8*100),0,B32*3.6/1000000/'E Balans VL '!Z8*100)</f>
        <v>1.705463017645201E-2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7213.1183746147508</v>
      </c>
      <c r="C5" s="18">
        <f>IF(ISERROR('Eigen informatie GS &amp; warmtenet'!B59),0,'Eigen informatie GS &amp; warmtenet'!B59)</f>
        <v>0</v>
      </c>
      <c r="D5" s="31">
        <f>SUM(D6:D15)</f>
        <v>6658.2156703383225</v>
      </c>
      <c r="E5" s="18">
        <f>SUM(E6:E15)</f>
        <v>43.813835851232938</v>
      </c>
      <c r="F5" s="18">
        <f>SUM(F6:F15)</f>
        <v>2039.7918018838816</v>
      </c>
      <c r="G5" s="19"/>
      <c r="H5" s="18"/>
      <c r="I5" s="18"/>
      <c r="J5" s="18">
        <f>SUM(J6:J15)</f>
        <v>15.552601603329453</v>
      </c>
      <c r="K5" s="18"/>
      <c r="L5" s="18"/>
      <c r="M5" s="18"/>
      <c r="N5" s="18">
        <f>SUM(N6:N15)</f>
        <v>245.29067439023044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50.174353599805606</v>
      </c>
      <c r="C8" s="34"/>
      <c r="D8" s="38">
        <f>IF( ISERROR(IND_metaal_Gas_kWH/1000),0,IND_metaal_Gas_kWH/1000)*0.902</f>
        <v>155.35644994624616</v>
      </c>
      <c r="E8" s="34">
        <f>C30*'E Balans VL '!I18/100/3.6*1000000</f>
        <v>0.45692879619503524</v>
      </c>
      <c r="F8" s="34">
        <f>C30*'E Balans VL '!L18/100/3.6*1000000+C30*'E Balans VL '!N18/100/3.6*1000000</f>
        <v>6.6176162092287161</v>
      </c>
      <c r="G8" s="35"/>
      <c r="H8" s="34"/>
      <c r="I8" s="34"/>
      <c r="J8" s="41">
        <f>C30*'E Balans VL '!D18/100/3.6*1000000+C30*'E Balans VL '!E18/100/3.6*1000000</f>
        <v>0.82278654849865418</v>
      </c>
      <c r="K8" s="34"/>
      <c r="L8" s="34"/>
      <c r="M8" s="34"/>
      <c r="N8" s="34">
        <f>C30*'E Balans VL '!Y18/100/3.6*1000000</f>
        <v>0.172429321611693</v>
      </c>
      <c r="O8" s="34"/>
      <c r="P8" s="34"/>
      <c r="R8" s="33"/>
    </row>
    <row r="9" spans="1:18">
      <c r="A9" s="6" t="s">
        <v>33</v>
      </c>
      <c r="B9" s="38">
        <f t="shared" si="0"/>
        <v>1704.2947621590399</v>
      </c>
      <c r="C9" s="34"/>
      <c r="D9" s="38">
        <f>IF( ISERROR(IND_andere_gas_kWh/1000),0,IND_andere_gas_kWh/1000)*0.902</f>
        <v>399.88089738302136</v>
      </c>
      <c r="E9" s="34">
        <f>C31*'E Balans VL '!I19/100/3.6*1000000</f>
        <v>9.8510784110656342</v>
      </c>
      <c r="F9" s="34">
        <f>C31*'E Balans VL '!L19/100/3.6*1000000+C31*'E Balans VL '!N19/100/3.6*1000000</f>
        <v>1355.8484907163181</v>
      </c>
      <c r="G9" s="35"/>
      <c r="H9" s="34"/>
      <c r="I9" s="34"/>
      <c r="J9" s="41">
        <f>C31*'E Balans VL '!D19/100/3.6*1000000+C31*'E Balans VL '!E19/100/3.6*1000000</f>
        <v>0.16120735373021841</v>
      </c>
      <c r="K9" s="34"/>
      <c r="L9" s="34"/>
      <c r="M9" s="34"/>
      <c r="N9" s="34">
        <f>C31*'E Balans VL '!Y19/100/3.6*1000000</f>
        <v>129.1261198498284</v>
      </c>
      <c r="O9" s="34"/>
      <c r="P9" s="34"/>
      <c r="R9" s="33"/>
    </row>
    <row r="10" spans="1:18">
      <c r="A10" s="6" t="s">
        <v>41</v>
      </c>
      <c r="B10" s="38">
        <f t="shared" si="0"/>
        <v>279.35286729327004</v>
      </c>
      <c r="C10" s="34"/>
      <c r="D10" s="38">
        <f>IF( ISERROR(IND_voed_gas_kWh/1000),0,IND_voed_gas_kWh/1000)*0.902</f>
        <v>0</v>
      </c>
      <c r="E10" s="34">
        <f>C32*'E Balans VL '!I20/100/3.6*1000000</f>
        <v>2.7467695148638813</v>
      </c>
      <c r="F10" s="34">
        <f>C32*'E Balans VL '!L20/100/3.6*1000000+C32*'E Balans VL '!N20/100/3.6*1000000</f>
        <v>31.025782206554183</v>
      </c>
      <c r="G10" s="35"/>
      <c r="H10" s="34"/>
      <c r="I10" s="34"/>
      <c r="J10" s="41">
        <f>C32*'E Balans VL '!D20/100/3.6*1000000+C32*'E Balans VL '!E20/100/3.6*1000000</f>
        <v>1.1010564685735628E-3</v>
      </c>
      <c r="K10" s="34"/>
      <c r="L10" s="34"/>
      <c r="M10" s="34"/>
      <c r="N10" s="34">
        <f>C32*'E Balans VL '!Y20/100/3.6*1000000</f>
        <v>4.1365588574052774</v>
      </c>
      <c r="O10" s="34"/>
      <c r="P10" s="34"/>
      <c r="R10" s="33"/>
    </row>
    <row r="11" spans="1:18">
      <c r="A11" s="6" t="s">
        <v>40</v>
      </c>
      <c r="B11" s="38">
        <f t="shared" si="0"/>
        <v>2288.7582706907297</v>
      </c>
      <c r="C11" s="34"/>
      <c r="D11" s="38">
        <f>IF( ISERROR(IND_textiel_gas_kWh/1000),0,IND_textiel_gas_kWh/1000)*0.902</f>
        <v>0</v>
      </c>
      <c r="E11" s="34">
        <f>C33*'E Balans VL '!I21/100/3.6*1000000</f>
        <v>4.4567438183742265</v>
      </c>
      <c r="F11" s="34">
        <f>C33*'E Balans VL '!L21/100/3.6*1000000+C33*'E Balans VL '!N21/100/3.6*1000000</f>
        <v>75.490758335844617</v>
      </c>
      <c r="G11" s="35"/>
      <c r="H11" s="34"/>
      <c r="I11" s="34"/>
      <c r="J11" s="41">
        <f>C33*'E Balans VL '!D21/100/3.6*1000000+C33*'E Balans VL '!E21/100/3.6*1000000</f>
        <v>0</v>
      </c>
      <c r="K11" s="34"/>
      <c r="L11" s="34"/>
      <c r="M11" s="34"/>
      <c r="N11" s="34">
        <f>C33*'E Balans VL '!Y21/100/3.6*1000000</f>
        <v>23.740443107097295</v>
      </c>
      <c r="O11" s="34"/>
      <c r="P11" s="34"/>
      <c r="R11" s="33"/>
    </row>
    <row r="12" spans="1:18">
      <c r="A12" s="6" t="s">
        <v>37</v>
      </c>
      <c r="B12" s="38">
        <f t="shared" si="0"/>
        <v>20.092344523706199</v>
      </c>
      <c r="C12" s="34"/>
      <c r="D12" s="38">
        <f>IF( ISERROR(IND_min_gas_kWh/1000),0,IND_min_gas_kWh/1000)*0.902</f>
        <v>0</v>
      </c>
      <c r="E12" s="34">
        <f>C34*'E Balans VL '!I22/100/3.6*1000000</f>
        <v>0.50937668790413504</v>
      </c>
      <c r="F12" s="34">
        <f>C34*'E Balans VL '!L22/100/3.6*1000000+C34*'E Balans VL '!N22/100/3.6*1000000</f>
        <v>5.5596217633902123</v>
      </c>
      <c r="G12" s="35"/>
      <c r="H12" s="34"/>
      <c r="I12" s="34"/>
      <c r="J12" s="41">
        <f>C34*'E Balans VL '!D22/100/3.6*1000000+C34*'E Balans VL '!E22/100/3.6*1000000</f>
        <v>0.13269388080983013</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2870.4457763482001</v>
      </c>
      <c r="C15" s="34"/>
      <c r="D15" s="38">
        <f>IF( ISERROR(IND_rest_gas_kWh/1000),0,IND_rest_gas_kWh/1000)*0.902</f>
        <v>6102.9783230090552</v>
      </c>
      <c r="E15" s="34">
        <f>C37*'E Balans VL '!I15/100/3.6*1000000</f>
        <v>25.792938622830018</v>
      </c>
      <c r="F15" s="34">
        <f>C37*'E Balans VL '!L15/100/3.6*1000000+C37*'E Balans VL '!N15/100/3.6*1000000</f>
        <v>565.24953265254567</v>
      </c>
      <c r="G15" s="35"/>
      <c r="H15" s="34"/>
      <c r="I15" s="34"/>
      <c r="J15" s="41">
        <f>C37*'E Balans VL '!D15/100/3.6*1000000+C37*'E Balans VL '!E15/100/3.6*1000000</f>
        <v>14.434812763822176</v>
      </c>
      <c r="K15" s="34"/>
      <c r="L15" s="34"/>
      <c r="M15" s="34"/>
      <c r="N15" s="34">
        <f>C37*'E Balans VL '!Y15/100/3.6*1000000</f>
        <v>88.115123254287766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7213.1183746147508</v>
      </c>
      <c r="C18" s="22">
        <f>C5+C16</f>
        <v>0</v>
      </c>
      <c r="D18" s="22">
        <f>MAX((D5+D16),0)</f>
        <v>6658.2156703383225</v>
      </c>
      <c r="E18" s="22">
        <f>MAX((E5+E16),0)</f>
        <v>43.813835851232938</v>
      </c>
      <c r="F18" s="22">
        <f>MAX((F5+F16),0)</f>
        <v>2039.7918018838816</v>
      </c>
      <c r="G18" s="22"/>
      <c r="H18" s="22"/>
      <c r="I18" s="22"/>
      <c r="J18" s="22">
        <f>MAX((J5+J16),0)</f>
        <v>15.552601603329453</v>
      </c>
      <c r="K18" s="22"/>
      <c r="L18" s="22">
        <f>MAX((L5+L16),0)</f>
        <v>0</v>
      </c>
      <c r="M18" s="22"/>
      <c r="N18" s="22">
        <f>MAX((N5+N16),0)</f>
        <v>245.29067439023044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0.19858562200142327</v>
      </c>
      <c r="C20" s="26">
        <f ca="1">'EF ele_warmte'!B22</f>
        <v>7.8529411764705889E-2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1432.4215989927654</v>
      </c>
      <c r="C22" s="24">
        <f ca="1">C18*C20</f>
        <v>0</v>
      </c>
      <c r="D22" s="24">
        <f>D18*D20</f>
        <v>1344.9595654083412</v>
      </c>
      <c r="E22" s="24">
        <f>E18*E20</f>
        <v>9.9457407382298779</v>
      </c>
      <c r="F22" s="24">
        <f>F18*F20</f>
        <v>544.62441110299642</v>
      </c>
      <c r="G22" s="24"/>
      <c r="H22" s="24"/>
      <c r="I22" s="24"/>
      <c r="J22" s="24">
        <f>J18*J20</f>
        <v>5.5056209675786265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50.174353599805606</v>
      </c>
      <c r="C30" s="40">
        <f>IF(ISERROR(B30*3.6/1000000/'E Balans VL '!Z18*100),0,B30*3.6/1000000/'E Balans VL '!Z18*100)</f>
        <v>2.791867264805274E-3</v>
      </c>
      <c r="D30" s="240" t="s">
        <v>707</v>
      </c>
    </row>
    <row r="31" spans="1:18">
      <c r="A31" s="6" t="s">
        <v>33</v>
      </c>
      <c r="B31" s="38">
        <f>IF( ISERROR(IND_ander_ele_kWh/1000),0,IND_ander_ele_kWh/1000)</f>
        <v>1704.2947621590399</v>
      </c>
      <c r="C31" s="40">
        <f>IF(ISERROR(B31*3.6/1000000/'E Balans VL '!Z19*100),0,B31*3.6/1000000/'E Balans VL '!Z19*100)</f>
        <v>7.9228187498810415E-2</v>
      </c>
      <c r="D31" s="240" t="s">
        <v>707</v>
      </c>
    </row>
    <row r="32" spans="1:18">
      <c r="A32" s="174" t="s">
        <v>41</v>
      </c>
      <c r="B32" s="38">
        <f>IF( ISERROR(IND_voed_ele_kWh/1000),0,IND_voed_ele_kWh/1000)</f>
        <v>279.35286729327004</v>
      </c>
      <c r="C32" s="40">
        <f>IF(ISERROR(B32*3.6/1000000/'E Balans VL '!Z20*100),0,B32*3.6/1000000/'E Balans VL '!Z20*100)</f>
        <v>9.8745596818084532E-3</v>
      </c>
      <c r="D32" s="240" t="s">
        <v>707</v>
      </c>
    </row>
    <row r="33" spans="1:5">
      <c r="A33" s="174" t="s">
        <v>40</v>
      </c>
      <c r="B33" s="38">
        <f>IF( ISERROR(IND_textiel_ele_kWh/1000),0,IND_textiel_ele_kWh/1000)</f>
        <v>2288.7582706907297</v>
      </c>
      <c r="C33" s="40">
        <f>IF(ISERROR(B33*3.6/1000000/'E Balans VL '!Z21*100),0,B33*3.6/1000000/'E Balans VL '!Z21*100)</f>
        <v>0.30913153392972209</v>
      </c>
      <c r="D33" s="240" t="s">
        <v>707</v>
      </c>
    </row>
    <row r="34" spans="1:5">
      <c r="A34" s="174" t="s">
        <v>37</v>
      </c>
      <c r="B34" s="38">
        <f>IF( ISERROR(IND_min_ele_kWh/1000),0,IND_min_ele_kWh/1000)</f>
        <v>20.092344523706199</v>
      </c>
      <c r="C34" s="40">
        <f>IF(ISERROR(B34*3.6/1000000/'E Balans VL '!Z22*100),0,B34*3.6/1000000/'E Balans VL '!Z22*100)</f>
        <v>4.0379946642909413E-3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2870.4457763482001</v>
      </c>
      <c r="C37" s="40">
        <f>IF(ISERROR(B37*3.6/1000000/'E Balans VL '!Z15*100),0,B37*3.6/1000000/'E Balans VL '!Z15*100)</f>
        <v>2.167610590103583E-2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999.31450732020721</v>
      </c>
      <c r="C5" s="18">
        <f>'Eigen informatie GS &amp; warmtenet'!B60</f>
        <v>0</v>
      </c>
      <c r="D5" s="31">
        <f>IF(ISERROR(SUM(LB_lb_gas_kWh,LB_rest_gas_kWh)/1000),0,SUM(LB_lb_gas_kWh,LB_rest_gas_kWh)/1000)*0.902</f>
        <v>76.834853349062428</v>
      </c>
      <c r="E5" s="18">
        <f>B17*'E Balans VL '!I25/3.6*1000000/100</f>
        <v>9.4142122216399855</v>
      </c>
      <c r="F5" s="18">
        <f>B17*('E Balans VL '!L25/3.6*1000000+'E Balans VL '!N25/3.6*1000000)/100</f>
        <v>3261.0948807448135</v>
      </c>
      <c r="G5" s="19"/>
      <c r="H5" s="18"/>
      <c r="I5" s="18"/>
      <c r="J5" s="18">
        <f>('E Balans VL '!D25+'E Balans VL '!E25)/3.6*1000000*landbouw!B17/100</f>
        <v>123.62006522033954</v>
      </c>
      <c r="K5" s="18"/>
      <c r="L5" s="18">
        <f>L6*(-1)</f>
        <v>8555.625</v>
      </c>
      <c r="M5" s="18"/>
      <c r="N5" s="18">
        <f>N6*(-1)</f>
        <v>0</v>
      </c>
      <c r="O5" s="18"/>
      <c r="P5" s="18"/>
      <c r="R5" s="33"/>
    </row>
    <row r="6" spans="1:18">
      <c r="A6" s="17" t="s">
        <v>502</v>
      </c>
      <c r="B6" s="18" t="s">
        <v>211</v>
      </c>
      <c r="C6" s="18">
        <f>'lokale energieproductie'!O92+'lokale energieproductie'!O61</f>
        <v>5133.375</v>
      </c>
      <c r="D6" s="312">
        <f>('lokale energieproductie'!P61+'lokale energieproductie'!P92)*(-1)</f>
        <v>0</v>
      </c>
      <c r="E6" s="251"/>
      <c r="F6" s="312">
        <f>('lokale energieproductie'!S61+'lokale energieproductie'!S92)*(-1)</f>
        <v>-2851.875</v>
      </c>
      <c r="G6" s="252"/>
      <c r="H6" s="251"/>
      <c r="I6" s="251"/>
      <c r="J6" s="251"/>
      <c r="K6" s="251"/>
      <c r="L6" s="312">
        <f>('lokale energieproductie'!T61+'lokale energieproductie'!U61+'lokale energieproductie'!T92+'lokale energieproductie'!U92)*(-1)</f>
        <v>-8555.625</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999.31450732020721</v>
      </c>
      <c r="C8" s="22">
        <f>C5+C6</f>
        <v>5133.375</v>
      </c>
      <c r="D8" s="22">
        <f>MAX((D5+D6),0)</f>
        <v>76.834853349062428</v>
      </c>
      <c r="E8" s="22">
        <f>MAX((E5+E6),0)</f>
        <v>9.4142122216399855</v>
      </c>
      <c r="F8" s="22">
        <f>MAX((F5+F6),0)</f>
        <v>409.21988074481351</v>
      </c>
      <c r="G8" s="22"/>
      <c r="H8" s="22"/>
      <c r="I8" s="22"/>
      <c r="J8" s="22">
        <f>MAX((J5+J6),0)</f>
        <v>123.62006522033954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0.19858562200142327</v>
      </c>
      <c r="C10" s="32">
        <f ca="1">'EF ele_warmte'!B22</f>
        <v>7.8529411764705889E-2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198.44949301122921</v>
      </c>
      <c r="C12" s="24">
        <f ca="1">C8*C10</f>
        <v>403.12091911764708</v>
      </c>
      <c r="D12" s="24">
        <f>D8*D10</f>
        <v>15.520640376510611</v>
      </c>
      <c r="E12" s="24">
        <f>E8*E10</f>
        <v>2.1370261743122767</v>
      </c>
      <c r="F12" s="24">
        <f>F8*F10</f>
        <v>109.26170815886522</v>
      </c>
      <c r="G12" s="24"/>
      <c r="H12" s="24"/>
      <c r="I12" s="24"/>
      <c r="J12" s="24">
        <f>J8*J10</f>
        <v>43.761503088000197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0.13529121575579475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96.705240936115359</v>
      </c>
      <c r="C26" s="250">
        <f>B26*'GWP N2O_CH4'!B5</f>
        <v>2030.8100596584225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12.883722221984565</v>
      </c>
      <c r="C27" s="250">
        <f>B27*'GWP N2O_CH4'!B5</f>
        <v>270.55816666167584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1.3157947168336337</v>
      </c>
      <c r="C28" s="250">
        <f>B28*'GWP N2O_CH4'!B4</f>
        <v>407.89636221842642</v>
      </c>
      <c r="D28" s="51"/>
    </row>
    <row r="29" spans="1:4">
      <c r="A29" s="42" t="s">
        <v>277</v>
      </c>
      <c r="B29" s="250">
        <f>B34*'ha_N2O bodem landbouw'!B4</f>
        <v>5.2285658817251628</v>
      </c>
      <c r="C29" s="250">
        <f>B29*'GWP N2O_CH4'!B4</f>
        <v>1620.8554233348004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1.4115481914166554E-3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4.8212394948708092E-6</v>
      </c>
      <c r="C5" s="447" t="s">
        <v>211</v>
      </c>
      <c r="D5" s="432">
        <f>SUM(D6:D11)</f>
        <v>1.49236392336951E-5</v>
      </c>
      <c r="E5" s="432">
        <f>SUM(E6:E11)</f>
        <v>8.4975243661989102E-4</v>
      </c>
      <c r="F5" s="445" t="s">
        <v>211</v>
      </c>
      <c r="G5" s="432">
        <f>SUM(G6:G11)</f>
        <v>0.17494702995921813</v>
      </c>
      <c r="H5" s="432">
        <f>SUM(H6:H11)</f>
        <v>3.2856986650141591E-2</v>
      </c>
      <c r="I5" s="447" t="s">
        <v>211</v>
      </c>
      <c r="J5" s="447" t="s">
        <v>211</v>
      </c>
      <c r="K5" s="447" t="s">
        <v>211</v>
      </c>
      <c r="L5" s="447" t="s">
        <v>211</v>
      </c>
      <c r="M5" s="432">
        <f>SUM(M6:M11)</f>
        <v>9.2934233920896458E-3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3.1969586318738449E-6</v>
      </c>
      <c r="C6" s="433"/>
      <c r="D6" s="433">
        <f>vkm_2011_GW_PW*SUMIFS(TableVerdeelsleutelVkm[CNG],TableVerdeelsleutelVkm[Voertuigtype],"Lichte voertuigen")*SUMIFS(TableECFTransport[EnergieConsumptieFactor (PJ per km)],TableECFTransport[Index],CONCATENATE($A6,"_CNG_CNG"))</f>
        <v>7.8070265188424469E-6</v>
      </c>
      <c r="E6" s="435">
        <f>vkm_2011_GW_PW*SUMIFS(TableVerdeelsleutelVkm[LPG],TableVerdeelsleutelVkm[Voertuigtype],"Lichte voertuigen")*SUMIFS(TableECFTransport[EnergieConsumptieFactor (PJ per km)],TableECFTransport[Index],CONCATENATE($A6,"_LPG_LPG"))</f>
        <v>4.6276018640893483E-4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6.6897428613937451E-2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1.7531894112190631E-2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3.7809005578104057E-3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3.6387021747645458E-2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1.4680744664437117E-5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1.6210305607919054E-3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1.6242808629969646E-6</v>
      </c>
      <c r="C8" s="433"/>
      <c r="D8" s="435">
        <f>vkm_2011_NGW_PW*SUMIFS(TableVerdeelsleutelVkm[CNG],TableVerdeelsleutelVkm[Voertuigtype],"Lichte voertuigen")*SUMIFS(TableECFTransport[EnergieConsumptieFactor (PJ per km)],TableECFTransport[Index],CONCATENATE($A8,"_CNG_CNG"))</f>
        <v>7.1166127148526538E-6</v>
      </c>
      <c r="E8" s="435">
        <f>vkm_2011_NGW_PW*SUMIFS(TableVerdeelsleutelVkm[LPG],TableVerdeelsleutelVkm[Voertuigtype],"Lichte voertuigen")*SUMIFS(TableECFTransport[EnergieConsumptieFactor (PJ per km)],TableECFTransport[Index],CONCATENATE($A8,"_LPG_LPG"))</f>
        <v>3.8699225021095619E-4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5.2849721831507102E-2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1.5303802991972551E-2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3.0534301704625345E-3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1.8812857766128128E-2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6.6088013139713826E-6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8.3806210302480027E-4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1.339233193019669</v>
      </c>
      <c r="C14" s="22"/>
      <c r="D14" s="22">
        <f t="shared" ref="D14:M14" si="0">((D5)*10^9/3600)+D12</f>
        <v>4.1454553426930829</v>
      </c>
      <c r="E14" s="22">
        <f t="shared" si="0"/>
        <v>236.04234350552528</v>
      </c>
      <c r="F14" s="22"/>
      <c r="G14" s="22">
        <f t="shared" si="0"/>
        <v>48596.39721089392</v>
      </c>
      <c r="H14" s="22">
        <f t="shared" si="0"/>
        <v>9126.9407361504418</v>
      </c>
      <c r="I14" s="22"/>
      <c r="J14" s="22"/>
      <c r="K14" s="22"/>
      <c r="L14" s="22"/>
      <c r="M14" s="22">
        <f t="shared" si="0"/>
        <v>2581.5064978026794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0.19858562200142327</v>
      </c>
      <c r="C16" s="57">
        <f ca="1">'EF ele_warmte'!B22</f>
        <v>7.8529411764705889E-2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0.26595245664076311</v>
      </c>
      <c r="C18" s="24"/>
      <c r="D18" s="24">
        <f t="shared" ref="D18:M18" si="1">D14*D16</f>
        <v>0.83738197922400281</v>
      </c>
      <c r="E18" s="24">
        <f t="shared" si="1"/>
        <v>53.581611975754242</v>
      </c>
      <c r="F18" s="24"/>
      <c r="G18" s="24">
        <f t="shared" si="1"/>
        <v>12975.238055308677</v>
      </c>
      <c r="H18" s="24">
        <f t="shared" si="1"/>
        <v>2272.6082433014599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2.3057780296694328E-3</v>
      </c>
      <c r="H50" s="323">
        <f t="shared" si="2"/>
        <v>0</v>
      </c>
      <c r="I50" s="323">
        <f t="shared" si="2"/>
        <v>0</v>
      </c>
      <c r="J50" s="323">
        <f t="shared" si="2"/>
        <v>0</v>
      </c>
      <c r="K50" s="323">
        <f t="shared" si="2"/>
        <v>0</v>
      </c>
      <c r="L50" s="323">
        <f t="shared" si="2"/>
        <v>0</v>
      </c>
      <c r="M50" s="323">
        <f t="shared" si="2"/>
        <v>1.0125051690156525E-4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2.3057780296694328E-3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1.0125051690156525E-4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640.49389713039807</v>
      </c>
      <c r="H54" s="22">
        <f t="shared" si="3"/>
        <v>0</v>
      </c>
      <c r="I54" s="22">
        <f t="shared" si="3"/>
        <v>0</v>
      </c>
      <c r="J54" s="22">
        <f t="shared" si="3"/>
        <v>0</v>
      </c>
      <c r="K54" s="22">
        <f t="shared" si="3"/>
        <v>0</v>
      </c>
      <c r="L54" s="22">
        <f t="shared" si="3"/>
        <v>0</v>
      </c>
      <c r="M54" s="22">
        <f t="shared" si="3"/>
        <v>28.125143583768125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0.19858562200142327</v>
      </c>
      <c r="C56" s="57">
        <f ca="1">'EF ele_warmte'!B22</f>
        <v>7.8529411764705889E-2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171.01187053381631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9796.4794201382483</v>
      </c>
      <c r="D10" s="688">
        <f ca="1">tertiair!C16</f>
        <v>0</v>
      </c>
      <c r="E10" s="688">
        <f ca="1">tertiair!D16</f>
        <v>10110.279782577683</v>
      </c>
      <c r="F10" s="688">
        <f>tertiair!E16</f>
        <v>86.481244800185181</v>
      </c>
      <c r="G10" s="688">
        <f ca="1">tertiair!F16</f>
        <v>1744.9532868109673</v>
      </c>
      <c r="H10" s="688">
        <f>tertiair!G16</f>
        <v>0</v>
      </c>
      <c r="I10" s="688">
        <f>tertiair!H16</f>
        <v>0</v>
      </c>
      <c r="J10" s="688">
        <f>tertiair!I16</f>
        <v>0</v>
      </c>
      <c r="K10" s="688">
        <f>tertiair!J16</f>
        <v>0</v>
      </c>
      <c r="L10" s="688">
        <f>tertiair!K16</f>
        <v>0</v>
      </c>
      <c r="M10" s="688">
        <f ca="1">tertiair!L16</f>
        <v>0</v>
      </c>
      <c r="N10" s="688">
        <f>tertiair!M16</f>
        <v>0</v>
      </c>
      <c r="O10" s="688">
        <f ca="1">tertiair!N16</f>
        <v>483.75686827340911</v>
      </c>
      <c r="P10" s="688">
        <f>tertiair!O16</f>
        <v>0</v>
      </c>
      <c r="Q10" s="689">
        <f>tertiair!P16</f>
        <v>0</v>
      </c>
      <c r="R10" s="691">
        <f ca="1">SUM(C10:Q10)</f>
        <v>22221.950602600496</v>
      </c>
      <c r="S10" s="68"/>
    </row>
    <row r="11" spans="1:19" s="457" customFormat="1">
      <c r="A11" s="803" t="s">
        <v>225</v>
      </c>
      <c r="B11" s="808"/>
      <c r="C11" s="688">
        <f>huishoudens!B8</f>
        <v>28598.149509936626</v>
      </c>
      <c r="D11" s="688">
        <f>huishoudens!C8</f>
        <v>0</v>
      </c>
      <c r="E11" s="688">
        <f>huishoudens!D8</f>
        <v>44006.057273189668</v>
      </c>
      <c r="F11" s="688">
        <f>huishoudens!E8</f>
        <v>1760.7804738375728</v>
      </c>
      <c r="G11" s="688">
        <f>huishoudens!F8</f>
        <v>16753.239796614991</v>
      </c>
      <c r="H11" s="688">
        <f>huishoudens!G8</f>
        <v>0</v>
      </c>
      <c r="I11" s="688">
        <f>huishoudens!H8</f>
        <v>0</v>
      </c>
      <c r="J11" s="688">
        <f>huishoudens!I8</f>
        <v>0</v>
      </c>
      <c r="K11" s="688">
        <f>huishoudens!J8</f>
        <v>0</v>
      </c>
      <c r="L11" s="688">
        <f>huishoudens!K8</f>
        <v>0</v>
      </c>
      <c r="M11" s="688">
        <f>huishoudens!L8</f>
        <v>0</v>
      </c>
      <c r="N11" s="688">
        <f>huishoudens!M8</f>
        <v>0</v>
      </c>
      <c r="O11" s="688">
        <f>huishoudens!N8</f>
        <v>9649.4782037518853</v>
      </c>
      <c r="P11" s="688">
        <f>huishoudens!O8</f>
        <v>95.36333333333333</v>
      </c>
      <c r="Q11" s="689">
        <f>huishoudens!P8</f>
        <v>495.73333333333335</v>
      </c>
      <c r="R11" s="691">
        <f>SUM(C11:Q11)</f>
        <v>101358.80192399741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7213.1183746147508</v>
      </c>
      <c r="D13" s="688">
        <f>industrie!C18</f>
        <v>0</v>
      </c>
      <c r="E13" s="688">
        <f>industrie!D18</f>
        <v>6658.2156703383225</v>
      </c>
      <c r="F13" s="688">
        <f>industrie!E18</f>
        <v>43.813835851232938</v>
      </c>
      <c r="G13" s="688">
        <f>industrie!F18</f>
        <v>2039.7918018838816</v>
      </c>
      <c r="H13" s="688">
        <f>industrie!G18</f>
        <v>0</v>
      </c>
      <c r="I13" s="688">
        <f>industrie!H18</f>
        <v>0</v>
      </c>
      <c r="J13" s="688">
        <f>industrie!I18</f>
        <v>0</v>
      </c>
      <c r="K13" s="688">
        <f>industrie!J18</f>
        <v>15.552601603329453</v>
      </c>
      <c r="L13" s="688">
        <f>industrie!K18</f>
        <v>0</v>
      </c>
      <c r="M13" s="688">
        <f>industrie!L18</f>
        <v>0</v>
      </c>
      <c r="N13" s="688">
        <f>industrie!M18</f>
        <v>0</v>
      </c>
      <c r="O13" s="688">
        <f>industrie!N18</f>
        <v>245.29067439023044</v>
      </c>
      <c r="P13" s="688">
        <f>industrie!O18</f>
        <v>0</v>
      </c>
      <c r="Q13" s="689">
        <f>industrie!P18</f>
        <v>0</v>
      </c>
      <c r="R13" s="691">
        <f>SUM(C13:Q13)</f>
        <v>16215.782958681748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45607.747304689627</v>
      </c>
      <c r="D16" s="721">
        <f t="shared" ref="D16:R16" ca="1" si="0">SUM(D9:D15)</f>
        <v>0</v>
      </c>
      <c r="E16" s="721">
        <f t="shared" ca="1" si="0"/>
        <v>60774.55272610567</v>
      </c>
      <c r="F16" s="721">
        <f t="shared" si="0"/>
        <v>1891.0755544889907</v>
      </c>
      <c r="G16" s="721">
        <f t="shared" ca="1" si="0"/>
        <v>20537.984885309841</v>
      </c>
      <c r="H16" s="721">
        <f t="shared" si="0"/>
        <v>0</v>
      </c>
      <c r="I16" s="721">
        <f t="shared" si="0"/>
        <v>0</v>
      </c>
      <c r="J16" s="721">
        <f t="shared" si="0"/>
        <v>0</v>
      </c>
      <c r="K16" s="721">
        <f t="shared" si="0"/>
        <v>15.552601603329453</v>
      </c>
      <c r="L16" s="721">
        <f t="shared" si="0"/>
        <v>0</v>
      </c>
      <c r="M16" s="721">
        <f t="shared" ca="1" si="0"/>
        <v>0</v>
      </c>
      <c r="N16" s="721">
        <f t="shared" si="0"/>
        <v>0</v>
      </c>
      <c r="O16" s="721">
        <f t="shared" ca="1" si="0"/>
        <v>10378.525746415526</v>
      </c>
      <c r="P16" s="721">
        <f t="shared" si="0"/>
        <v>95.36333333333333</v>
      </c>
      <c r="Q16" s="721">
        <f t="shared" si="0"/>
        <v>495.73333333333335</v>
      </c>
      <c r="R16" s="721">
        <f t="shared" ca="1" si="0"/>
        <v>139796.53548527966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640.49389713039807</v>
      </c>
      <c r="I19" s="688">
        <f>transport!H54</f>
        <v>0</v>
      </c>
      <c r="J19" s="688">
        <f>transport!I54</f>
        <v>0</v>
      </c>
      <c r="K19" s="688">
        <f>transport!J54</f>
        <v>0</v>
      </c>
      <c r="L19" s="688">
        <f>transport!K54</f>
        <v>0</v>
      </c>
      <c r="M19" s="688">
        <f>transport!L54</f>
        <v>0</v>
      </c>
      <c r="N19" s="688">
        <f>transport!M54</f>
        <v>28.125143583768125</v>
      </c>
      <c r="O19" s="688">
        <f>transport!N54</f>
        <v>0</v>
      </c>
      <c r="P19" s="688">
        <f>transport!O54</f>
        <v>0</v>
      </c>
      <c r="Q19" s="689">
        <f>transport!P54</f>
        <v>0</v>
      </c>
      <c r="R19" s="691">
        <f>SUM(C19:Q19)</f>
        <v>668.6190407141662</v>
      </c>
      <c r="S19" s="68"/>
    </row>
    <row r="20" spans="1:19" s="457" customFormat="1">
      <c r="A20" s="803" t="s">
        <v>307</v>
      </c>
      <c r="B20" s="808"/>
      <c r="C20" s="688">
        <f>transport!B14</f>
        <v>1.339233193019669</v>
      </c>
      <c r="D20" s="688">
        <f>transport!C14</f>
        <v>0</v>
      </c>
      <c r="E20" s="688">
        <f>transport!D14</f>
        <v>4.1454553426930829</v>
      </c>
      <c r="F20" s="688">
        <f>transport!E14</f>
        <v>236.04234350552528</v>
      </c>
      <c r="G20" s="688">
        <f>transport!F14</f>
        <v>0</v>
      </c>
      <c r="H20" s="688">
        <f>transport!G14</f>
        <v>48596.39721089392</v>
      </c>
      <c r="I20" s="688">
        <f>transport!H14</f>
        <v>9126.9407361504418</v>
      </c>
      <c r="J20" s="688">
        <f>transport!I14</f>
        <v>0</v>
      </c>
      <c r="K20" s="688">
        <f>transport!J14</f>
        <v>0</v>
      </c>
      <c r="L20" s="688">
        <f>transport!K14</f>
        <v>0</v>
      </c>
      <c r="M20" s="688">
        <f>transport!L14</f>
        <v>0</v>
      </c>
      <c r="N20" s="688">
        <f>transport!M14</f>
        <v>2581.5064978026794</v>
      </c>
      <c r="O20" s="688">
        <f>transport!N14</f>
        <v>0</v>
      </c>
      <c r="P20" s="688">
        <f>transport!O14</f>
        <v>0</v>
      </c>
      <c r="Q20" s="689">
        <f>transport!P14</f>
        <v>0</v>
      </c>
      <c r="R20" s="691">
        <f>SUM(C20:Q20)</f>
        <v>60546.371476888278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1.339233193019669</v>
      </c>
      <c r="D22" s="806">
        <f t="shared" ref="D22:R22" si="1">SUM(D18:D21)</f>
        <v>0</v>
      </c>
      <c r="E22" s="806">
        <f t="shared" si="1"/>
        <v>4.1454553426930829</v>
      </c>
      <c r="F22" s="806">
        <f t="shared" si="1"/>
        <v>236.04234350552528</v>
      </c>
      <c r="G22" s="806">
        <f t="shared" si="1"/>
        <v>0</v>
      </c>
      <c r="H22" s="806">
        <f t="shared" si="1"/>
        <v>49236.89110802432</v>
      </c>
      <c r="I22" s="806">
        <f t="shared" si="1"/>
        <v>9126.9407361504418</v>
      </c>
      <c r="J22" s="806">
        <f t="shared" si="1"/>
        <v>0</v>
      </c>
      <c r="K22" s="806">
        <f t="shared" si="1"/>
        <v>0</v>
      </c>
      <c r="L22" s="806">
        <f t="shared" si="1"/>
        <v>0</v>
      </c>
      <c r="M22" s="806">
        <f t="shared" si="1"/>
        <v>0</v>
      </c>
      <c r="N22" s="806">
        <f t="shared" si="1"/>
        <v>2609.6316413864474</v>
      </c>
      <c r="O22" s="806">
        <f t="shared" si="1"/>
        <v>0</v>
      </c>
      <c r="P22" s="806">
        <f t="shared" si="1"/>
        <v>0</v>
      </c>
      <c r="Q22" s="806">
        <f t="shared" si="1"/>
        <v>0</v>
      </c>
      <c r="R22" s="806">
        <f t="shared" si="1"/>
        <v>61214.990517602448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999.31450732020721</v>
      </c>
      <c r="D24" s="688">
        <f>+landbouw!C8</f>
        <v>5133.375</v>
      </c>
      <c r="E24" s="688">
        <f>+landbouw!D8</f>
        <v>76.834853349062428</v>
      </c>
      <c r="F24" s="688">
        <f>+landbouw!E8</f>
        <v>9.4142122216399855</v>
      </c>
      <c r="G24" s="688">
        <f>+landbouw!F8</f>
        <v>409.21988074481351</v>
      </c>
      <c r="H24" s="688">
        <f>+landbouw!G8</f>
        <v>0</v>
      </c>
      <c r="I24" s="688">
        <f>+landbouw!H8</f>
        <v>0</v>
      </c>
      <c r="J24" s="688">
        <f>+landbouw!I8</f>
        <v>0</v>
      </c>
      <c r="K24" s="688">
        <f>+landbouw!J8</f>
        <v>123.62006522033954</v>
      </c>
      <c r="L24" s="688">
        <f>+landbouw!K8</f>
        <v>0</v>
      </c>
      <c r="M24" s="688">
        <f>+landbouw!L8</f>
        <v>0</v>
      </c>
      <c r="N24" s="688">
        <f>+landbouw!M8</f>
        <v>0</v>
      </c>
      <c r="O24" s="688">
        <f>+landbouw!N8</f>
        <v>0</v>
      </c>
      <c r="P24" s="688">
        <f>+landbouw!O8</f>
        <v>0</v>
      </c>
      <c r="Q24" s="689">
        <f>+landbouw!P8</f>
        <v>0</v>
      </c>
      <c r="R24" s="691">
        <f>SUM(C24:Q24)</f>
        <v>6751.778518856062</v>
      </c>
      <c r="S24" s="68"/>
    </row>
    <row r="25" spans="1:19" s="457" customFormat="1" ht="15" thickBot="1">
      <c r="A25" s="825" t="s">
        <v>912</v>
      </c>
      <c r="B25" s="1001"/>
      <c r="C25" s="1002">
        <f>IF(Onbekend_ele_kWh="---",0,Onbekend_ele_kWh)/1000+IF(REST_rest_ele_kWh="---",0,REST_rest_ele_kWh)/1000</f>
        <v>687.67888026952301</v>
      </c>
      <c r="D25" s="1002"/>
      <c r="E25" s="1002">
        <f>IF(onbekend_gas_kWh="---",0,onbekend_gas_kWh)/1000+IF(REST_rest_gas_kWh="---",0,REST_rest_gas_kWh)/1000</f>
        <v>869.94492160802804</v>
      </c>
      <c r="F25" s="1002"/>
      <c r="G25" s="1002"/>
      <c r="H25" s="1002"/>
      <c r="I25" s="1002"/>
      <c r="J25" s="1002"/>
      <c r="K25" s="1002"/>
      <c r="L25" s="1002"/>
      <c r="M25" s="1002"/>
      <c r="N25" s="1002"/>
      <c r="O25" s="1002"/>
      <c r="P25" s="1002"/>
      <c r="Q25" s="1003"/>
      <c r="R25" s="691">
        <f>SUM(C25:Q25)</f>
        <v>1557.6238018775512</v>
      </c>
      <c r="S25" s="68"/>
    </row>
    <row r="26" spans="1:19" s="457" customFormat="1" ht="15.75" thickBot="1">
      <c r="A26" s="694" t="s">
        <v>913</v>
      </c>
      <c r="B26" s="811"/>
      <c r="C26" s="806">
        <f>SUM(C24:C25)</f>
        <v>1686.9933875897302</v>
      </c>
      <c r="D26" s="806">
        <f t="shared" ref="D26:R26" si="2">SUM(D24:D25)</f>
        <v>5133.375</v>
      </c>
      <c r="E26" s="806">
        <f t="shared" si="2"/>
        <v>946.77977495709047</v>
      </c>
      <c r="F26" s="806">
        <f t="shared" si="2"/>
        <v>9.4142122216399855</v>
      </c>
      <c r="G26" s="806">
        <f t="shared" si="2"/>
        <v>409.21988074481351</v>
      </c>
      <c r="H26" s="806">
        <f t="shared" si="2"/>
        <v>0</v>
      </c>
      <c r="I26" s="806">
        <f t="shared" si="2"/>
        <v>0</v>
      </c>
      <c r="J26" s="806">
        <f t="shared" si="2"/>
        <v>0</v>
      </c>
      <c r="K26" s="806">
        <f t="shared" si="2"/>
        <v>123.62006522033954</v>
      </c>
      <c r="L26" s="806">
        <f t="shared" si="2"/>
        <v>0</v>
      </c>
      <c r="M26" s="806">
        <f t="shared" si="2"/>
        <v>0</v>
      </c>
      <c r="N26" s="806">
        <f t="shared" si="2"/>
        <v>0</v>
      </c>
      <c r="O26" s="806">
        <f t="shared" si="2"/>
        <v>0</v>
      </c>
      <c r="P26" s="806">
        <f t="shared" si="2"/>
        <v>0</v>
      </c>
      <c r="Q26" s="806">
        <f t="shared" si="2"/>
        <v>0</v>
      </c>
      <c r="R26" s="806">
        <f t="shared" si="2"/>
        <v>8309.402320733614</v>
      </c>
      <c r="S26" s="68"/>
    </row>
    <row r="27" spans="1:19" s="457" customFormat="1" ht="17.25" thickTop="1" thickBot="1">
      <c r="A27" s="695" t="s">
        <v>116</v>
      </c>
      <c r="B27" s="798"/>
      <c r="C27" s="696">
        <f ca="1">C22+C16+C26</f>
        <v>47296.079925472382</v>
      </c>
      <c r="D27" s="696">
        <f t="shared" ref="D27:R27" ca="1" si="3">D22+D16+D26</f>
        <v>5133.375</v>
      </c>
      <c r="E27" s="696">
        <f t="shared" ca="1" si="3"/>
        <v>61725.477956405455</v>
      </c>
      <c r="F27" s="696">
        <f t="shared" si="3"/>
        <v>2136.5321102161561</v>
      </c>
      <c r="G27" s="696">
        <f t="shared" ca="1" si="3"/>
        <v>20947.204766054656</v>
      </c>
      <c r="H27" s="696">
        <f t="shared" si="3"/>
        <v>49236.89110802432</v>
      </c>
      <c r="I27" s="696">
        <f t="shared" si="3"/>
        <v>9126.9407361504418</v>
      </c>
      <c r="J27" s="696">
        <f t="shared" si="3"/>
        <v>0</v>
      </c>
      <c r="K27" s="696">
        <f t="shared" si="3"/>
        <v>139.172666823669</v>
      </c>
      <c r="L27" s="696">
        <f t="shared" si="3"/>
        <v>0</v>
      </c>
      <c r="M27" s="696">
        <f t="shared" ca="1" si="3"/>
        <v>0</v>
      </c>
      <c r="N27" s="696">
        <f t="shared" si="3"/>
        <v>2609.6316413864474</v>
      </c>
      <c r="O27" s="696">
        <f t="shared" ca="1" si="3"/>
        <v>10378.525746415526</v>
      </c>
      <c r="P27" s="696">
        <f t="shared" si="3"/>
        <v>95.36333333333333</v>
      </c>
      <c r="Q27" s="696">
        <f t="shared" si="3"/>
        <v>495.73333333333335</v>
      </c>
      <c r="R27" s="696">
        <f t="shared" ca="1" si="3"/>
        <v>209320.92832361572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1945.4399590722962</v>
      </c>
      <c r="D40" s="688">
        <f ca="1">tertiair!C20</f>
        <v>0</v>
      </c>
      <c r="E40" s="688">
        <f ca="1">tertiair!D20</f>
        <v>2042.2765160806921</v>
      </c>
      <c r="F40" s="688">
        <f>tertiair!E20</f>
        <v>19.631242569642037</v>
      </c>
      <c r="G40" s="688">
        <f ca="1">tertiair!F20</f>
        <v>465.90252757852829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4473.2502453011584</v>
      </c>
    </row>
    <row r="41" spans="1:18">
      <c r="A41" s="816" t="s">
        <v>225</v>
      </c>
      <c r="B41" s="823"/>
      <c r="C41" s="688">
        <f ca="1">huishoudens!B12</f>
        <v>5679.1813085204631</v>
      </c>
      <c r="D41" s="688">
        <f ca="1">huishoudens!C12</f>
        <v>0</v>
      </c>
      <c r="E41" s="688">
        <f>huishoudens!D12</f>
        <v>8889.2235691843143</v>
      </c>
      <c r="F41" s="688">
        <f>huishoudens!E12</f>
        <v>399.69716756112905</v>
      </c>
      <c r="G41" s="688">
        <f>huishoudens!F12</f>
        <v>4473.1150256962028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19441.21707096211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1432.4215989927654</v>
      </c>
      <c r="D43" s="688">
        <f ca="1">industrie!C22</f>
        <v>0</v>
      </c>
      <c r="E43" s="688">
        <f>industrie!D22</f>
        <v>1344.9595654083412</v>
      </c>
      <c r="F43" s="688">
        <f>industrie!E22</f>
        <v>9.9457407382298779</v>
      </c>
      <c r="G43" s="688">
        <f>industrie!F22</f>
        <v>544.62441110299642</v>
      </c>
      <c r="H43" s="688">
        <f>industrie!G22</f>
        <v>0</v>
      </c>
      <c r="I43" s="688">
        <f>industrie!H22</f>
        <v>0</v>
      </c>
      <c r="J43" s="688">
        <f>industrie!I22</f>
        <v>0</v>
      </c>
      <c r="K43" s="688">
        <f>industrie!J22</f>
        <v>5.5056209675786265</v>
      </c>
      <c r="L43" s="688">
        <f>industrie!K22</f>
        <v>0</v>
      </c>
      <c r="M43" s="688">
        <f>industrie!L22</f>
        <v>0</v>
      </c>
      <c r="N43" s="688">
        <f>industrie!M22</f>
        <v>0</v>
      </c>
      <c r="O43" s="688">
        <f>industrie!N22</f>
        <v>0</v>
      </c>
      <c r="P43" s="688">
        <f>industrie!O22</f>
        <v>0</v>
      </c>
      <c r="Q43" s="763">
        <f>industrie!P22</f>
        <v>0</v>
      </c>
      <c r="R43" s="843">
        <f t="shared" ca="1" si="4"/>
        <v>3337.4569372099113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9057.0428665855252</v>
      </c>
      <c r="D46" s="721">
        <f t="shared" ref="D46:Q46" ca="1" si="5">SUM(D39:D45)</f>
        <v>0</v>
      </c>
      <c r="E46" s="721">
        <f t="shared" ca="1" si="5"/>
        <v>12276.459650673347</v>
      </c>
      <c r="F46" s="721">
        <f t="shared" si="5"/>
        <v>429.27415086900095</v>
      </c>
      <c r="G46" s="721">
        <f t="shared" ca="1" si="5"/>
        <v>5483.6419643777272</v>
      </c>
      <c r="H46" s="721">
        <f t="shared" si="5"/>
        <v>0</v>
      </c>
      <c r="I46" s="721">
        <f t="shared" si="5"/>
        <v>0</v>
      </c>
      <c r="J46" s="721">
        <f t="shared" si="5"/>
        <v>0</v>
      </c>
      <c r="K46" s="721">
        <f t="shared" si="5"/>
        <v>5.5056209675786265</v>
      </c>
      <c r="L46" s="721">
        <f t="shared" si="5"/>
        <v>0</v>
      </c>
      <c r="M46" s="721">
        <f t="shared" ca="1" si="5"/>
        <v>0</v>
      </c>
      <c r="N46" s="721">
        <f t="shared" si="5"/>
        <v>0</v>
      </c>
      <c r="O46" s="721">
        <f t="shared" ca="1" si="5"/>
        <v>0</v>
      </c>
      <c r="P46" s="721">
        <f t="shared" si="5"/>
        <v>0</v>
      </c>
      <c r="Q46" s="721">
        <f t="shared" si="5"/>
        <v>0</v>
      </c>
      <c r="R46" s="721">
        <f ca="1">SUM(R39:R45)</f>
        <v>27251.924253473178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171.01187053381631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171.01187053381631</v>
      </c>
    </row>
    <row r="50" spans="1:18">
      <c r="A50" s="819" t="s">
        <v>307</v>
      </c>
      <c r="B50" s="829"/>
      <c r="C50" s="1008">
        <f ca="1">transport!B18</f>
        <v>0.26595245664076311</v>
      </c>
      <c r="D50" s="1008">
        <f>transport!C18</f>
        <v>0</v>
      </c>
      <c r="E50" s="1008">
        <f>transport!D18</f>
        <v>0.83738197922400281</v>
      </c>
      <c r="F50" s="1008">
        <f>transport!E18</f>
        <v>53.581611975754242</v>
      </c>
      <c r="G50" s="1008">
        <f>transport!F18</f>
        <v>0</v>
      </c>
      <c r="H50" s="1008">
        <f>transport!G18</f>
        <v>12975.238055308677</v>
      </c>
      <c r="I50" s="1008">
        <f>transport!H18</f>
        <v>2272.6082433014599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15302.531245021755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0.26595245664076311</v>
      </c>
      <c r="D52" s="721">
        <f t="shared" ref="D52:Q52" ca="1" si="6">SUM(D48:D51)</f>
        <v>0</v>
      </c>
      <c r="E52" s="721">
        <f t="shared" si="6"/>
        <v>0.83738197922400281</v>
      </c>
      <c r="F52" s="721">
        <f t="shared" si="6"/>
        <v>53.581611975754242</v>
      </c>
      <c r="G52" s="721">
        <f t="shared" si="6"/>
        <v>0</v>
      </c>
      <c r="H52" s="721">
        <f t="shared" si="6"/>
        <v>13146.249925842492</v>
      </c>
      <c r="I52" s="721">
        <f t="shared" si="6"/>
        <v>2272.6082433014599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15473.543115555571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198.44949301122921</v>
      </c>
      <c r="D54" s="1008">
        <f ca="1">+landbouw!C12</f>
        <v>403.12091911764708</v>
      </c>
      <c r="E54" s="1008">
        <f>+landbouw!D12</f>
        <v>15.520640376510611</v>
      </c>
      <c r="F54" s="1008">
        <f>+landbouw!E12</f>
        <v>2.1370261743122767</v>
      </c>
      <c r="G54" s="1008">
        <f>+landbouw!F12</f>
        <v>109.26170815886522</v>
      </c>
      <c r="H54" s="1008">
        <f>+landbouw!G12</f>
        <v>0</v>
      </c>
      <c r="I54" s="1008">
        <f>+landbouw!H12</f>
        <v>0</v>
      </c>
      <c r="J54" s="1008">
        <f>+landbouw!I12</f>
        <v>0</v>
      </c>
      <c r="K54" s="1008">
        <f>+landbouw!J12</f>
        <v>43.761503088000197</v>
      </c>
      <c r="L54" s="1008">
        <f>+landbouw!K12</f>
        <v>0</v>
      </c>
      <c r="M54" s="1008">
        <f>+landbouw!L12</f>
        <v>0</v>
      </c>
      <c r="N54" s="1008">
        <f>+landbouw!M12</f>
        <v>0</v>
      </c>
      <c r="O54" s="1008">
        <f>+landbouw!N12</f>
        <v>0</v>
      </c>
      <c r="P54" s="1008">
        <f>+landbouw!O12</f>
        <v>0</v>
      </c>
      <c r="Q54" s="1009">
        <f>+landbouw!P12</f>
        <v>0</v>
      </c>
      <c r="R54" s="720">
        <f ca="1">SUM(C54:Q54)</f>
        <v>772.2512899265646</v>
      </c>
    </row>
    <row r="55" spans="1:18" ht="15" thickBot="1">
      <c r="A55" s="819" t="s">
        <v>912</v>
      </c>
      <c r="B55" s="829"/>
      <c r="C55" s="1008">
        <f ca="1">C25*'EF ele_warmte'!B12</f>
        <v>136.56313817556551</v>
      </c>
      <c r="D55" s="1008"/>
      <c r="E55" s="1008">
        <f>E25*EF_CO2_aardgas</f>
        <v>175.72887416482166</v>
      </c>
      <c r="F55" s="1008"/>
      <c r="G55" s="1008"/>
      <c r="H55" s="1008"/>
      <c r="I55" s="1008"/>
      <c r="J55" s="1008"/>
      <c r="K55" s="1008"/>
      <c r="L55" s="1008"/>
      <c r="M55" s="1008"/>
      <c r="N55" s="1008"/>
      <c r="O55" s="1008"/>
      <c r="P55" s="1008"/>
      <c r="Q55" s="1009"/>
      <c r="R55" s="720">
        <f ca="1">SUM(C55:Q55)</f>
        <v>312.29201234038715</v>
      </c>
    </row>
    <row r="56" spans="1:18" ht="15.75" thickBot="1">
      <c r="A56" s="817" t="s">
        <v>913</v>
      </c>
      <c r="B56" s="830"/>
      <c r="C56" s="721">
        <f ca="1">SUM(C54:C55)</f>
        <v>335.01263118679469</v>
      </c>
      <c r="D56" s="721">
        <f t="shared" ref="D56:Q56" ca="1" si="7">SUM(D54:D55)</f>
        <v>403.12091911764708</v>
      </c>
      <c r="E56" s="721">
        <f t="shared" si="7"/>
        <v>191.24951454133227</v>
      </c>
      <c r="F56" s="721">
        <f t="shared" si="7"/>
        <v>2.1370261743122767</v>
      </c>
      <c r="G56" s="721">
        <f t="shared" si="7"/>
        <v>109.26170815886522</v>
      </c>
      <c r="H56" s="721">
        <f t="shared" si="7"/>
        <v>0</v>
      </c>
      <c r="I56" s="721">
        <f t="shared" si="7"/>
        <v>0</v>
      </c>
      <c r="J56" s="721">
        <f t="shared" si="7"/>
        <v>0</v>
      </c>
      <c r="K56" s="721">
        <f t="shared" si="7"/>
        <v>43.761503088000197</v>
      </c>
      <c r="L56" s="721">
        <f t="shared" si="7"/>
        <v>0</v>
      </c>
      <c r="M56" s="721">
        <f t="shared" si="7"/>
        <v>0</v>
      </c>
      <c r="N56" s="721">
        <f t="shared" si="7"/>
        <v>0</v>
      </c>
      <c r="O56" s="721">
        <f t="shared" si="7"/>
        <v>0</v>
      </c>
      <c r="P56" s="721">
        <f t="shared" si="7"/>
        <v>0</v>
      </c>
      <c r="Q56" s="722">
        <f t="shared" si="7"/>
        <v>0</v>
      </c>
      <c r="R56" s="723">
        <f ca="1">SUM(R54:R55)</f>
        <v>1084.5433022669517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9392.3214502289611</v>
      </c>
      <c r="D61" s="729">
        <f t="shared" ref="D61:Q61" ca="1" si="8">D46+D52+D56</f>
        <v>403.12091911764708</v>
      </c>
      <c r="E61" s="729">
        <f t="shared" ca="1" si="8"/>
        <v>12468.546547193902</v>
      </c>
      <c r="F61" s="729">
        <f t="shared" si="8"/>
        <v>484.99278901906746</v>
      </c>
      <c r="G61" s="729">
        <f t="shared" ca="1" si="8"/>
        <v>5592.9036725365922</v>
      </c>
      <c r="H61" s="729">
        <f t="shared" si="8"/>
        <v>13146.249925842492</v>
      </c>
      <c r="I61" s="729">
        <f t="shared" si="8"/>
        <v>2272.6082433014599</v>
      </c>
      <c r="J61" s="729">
        <f t="shared" si="8"/>
        <v>0</v>
      </c>
      <c r="K61" s="729">
        <f t="shared" si="8"/>
        <v>49.267124055578826</v>
      </c>
      <c r="L61" s="729">
        <f t="shared" si="8"/>
        <v>0</v>
      </c>
      <c r="M61" s="729">
        <f t="shared" ca="1" si="8"/>
        <v>0</v>
      </c>
      <c r="N61" s="729">
        <f t="shared" si="8"/>
        <v>0</v>
      </c>
      <c r="O61" s="729">
        <f t="shared" ca="1" si="8"/>
        <v>0</v>
      </c>
      <c r="P61" s="729">
        <f t="shared" si="8"/>
        <v>0</v>
      </c>
      <c r="Q61" s="729">
        <f t="shared" si="8"/>
        <v>0</v>
      </c>
      <c r="R61" s="729">
        <f ca="1">R46+R52+R56</f>
        <v>43810.010671295699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0.19858562200142327</v>
      </c>
      <c r="D63" s="773">
        <f t="shared" ca="1" si="9"/>
        <v>7.8529411764705889E-2</v>
      </c>
      <c r="E63" s="1010">
        <f t="shared" ca="1" si="9"/>
        <v>0.20200000000000001</v>
      </c>
      <c r="F63" s="773">
        <f t="shared" si="9"/>
        <v>0.22700000000000001</v>
      </c>
      <c r="G63" s="773">
        <f t="shared" ca="1" si="9"/>
        <v>0.26699999999999996</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2996.0392270714447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3422.25</v>
      </c>
      <c r="C76" s="739">
        <f>'lokale energieproductie'!B8*IFERROR(SUM(D76:H76)/SUM(D76:O76),0)</f>
        <v>1140.75</v>
      </c>
      <c r="D76" s="1020">
        <f>'lokale energieproductie'!C8</f>
        <v>0</v>
      </c>
      <c r="E76" s="1021">
        <f>'lokale energieproductie'!D8</f>
        <v>0</v>
      </c>
      <c r="F76" s="1021">
        <f>'lokale energieproductie'!E8</f>
        <v>1342.0588235294117</v>
      </c>
      <c r="G76" s="1021">
        <f>'lokale energieproductie'!F8</f>
        <v>0</v>
      </c>
      <c r="H76" s="1021">
        <f>'lokale energieproductie'!G8</f>
        <v>0</v>
      </c>
      <c r="I76" s="1021">
        <f>'lokale energieproductie'!I8</f>
        <v>4026.1764705882351</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358.32970588235293</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6418.2892270714447</v>
      </c>
      <c r="C78" s="744">
        <f>SUM(C72:C77)</f>
        <v>1140.75</v>
      </c>
      <c r="D78" s="745">
        <f t="shared" ref="D78:H78" si="10">SUM(D76:D77)</f>
        <v>0</v>
      </c>
      <c r="E78" s="745">
        <f t="shared" si="10"/>
        <v>0</v>
      </c>
      <c r="F78" s="745">
        <f t="shared" si="10"/>
        <v>1342.0588235294117</v>
      </c>
      <c r="G78" s="745">
        <f t="shared" si="10"/>
        <v>0</v>
      </c>
      <c r="H78" s="745">
        <f t="shared" si="10"/>
        <v>0</v>
      </c>
      <c r="I78" s="745">
        <f>SUM(I76:I77)</f>
        <v>4026.1764705882351</v>
      </c>
      <c r="J78" s="745">
        <f>SUM(J76:J77)</f>
        <v>0</v>
      </c>
      <c r="K78" s="745">
        <f t="shared" ref="K78:L78" si="11">SUM(K76:K77)</f>
        <v>0</v>
      </c>
      <c r="L78" s="745">
        <f t="shared" si="11"/>
        <v>0</v>
      </c>
      <c r="M78" s="745">
        <f>SUM(M76:M77)</f>
        <v>0</v>
      </c>
      <c r="N78" s="745">
        <f>SUM(N76:N77)</f>
        <v>0</v>
      </c>
      <c r="O78" s="854">
        <f>SUM(O76:O77)</f>
        <v>0</v>
      </c>
      <c r="P78" s="746">
        <v>0</v>
      </c>
      <c r="Q78" s="746">
        <f>SUM(Q76:Q77)</f>
        <v>358.32970588235293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3850.03125</v>
      </c>
      <c r="C87" s="755">
        <f>'lokale energieproductie'!B17*IFERROR(SUM(D87:H87)/SUM(D87:O87),0)</f>
        <v>1283.34375</v>
      </c>
      <c r="D87" s="766">
        <f>'lokale energieproductie'!C17</f>
        <v>0</v>
      </c>
      <c r="E87" s="766">
        <f>'lokale energieproductie'!D17</f>
        <v>0</v>
      </c>
      <c r="F87" s="766">
        <f>'lokale energieproductie'!E17</f>
        <v>1509.8161764705883</v>
      </c>
      <c r="G87" s="766">
        <f>'lokale energieproductie'!F17</f>
        <v>0</v>
      </c>
      <c r="H87" s="766">
        <f>'lokale energieproductie'!G17</f>
        <v>0</v>
      </c>
      <c r="I87" s="766">
        <f>'lokale energieproductie'!I17</f>
        <v>4529.4485294117649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403.12091911764708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3850.03125</v>
      </c>
      <c r="C90" s="744">
        <f>SUM(C87:C89)</f>
        <v>1283.34375</v>
      </c>
      <c r="D90" s="744">
        <f t="shared" ref="D90:H90" si="12">SUM(D87:D89)</f>
        <v>0</v>
      </c>
      <c r="E90" s="744">
        <f t="shared" si="12"/>
        <v>0</v>
      </c>
      <c r="F90" s="744">
        <f t="shared" si="12"/>
        <v>1509.8161764705883</v>
      </c>
      <c r="G90" s="744">
        <f t="shared" si="12"/>
        <v>0</v>
      </c>
      <c r="H90" s="744">
        <f t="shared" si="12"/>
        <v>0</v>
      </c>
      <c r="I90" s="744">
        <f>SUM(I87:I89)</f>
        <v>4529.4485294117649</v>
      </c>
      <c r="J90" s="744">
        <f>SUM(J87:J89)</f>
        <v>0</v>
      </c>
      <c r="K90" s="744">
        <f t="shared" ref="K90:L90" si="13">SUM(K87:K89)</f>
        <v>0</v>
      </c>
      <c r="L90" s="744">
        <f t="shared" si="13"/>
        <v>0</v>
      </c>
      <c r="M90" s="744">
        <f>SUM(M87:M89)</f>
        <v>0</v>
      </c>
      <c r="N90" s="744">
        <f>SUM(N87:N89)</f>
        <v>0</v>
      </c>
      <c r="O90" s="744">
        <f>SUM(O87:O89)</f>
        <v>0</v>
      </c>
      <c r="P90" s="744">
        <v>0</v>
      </c>
      <c r="Q90" s="744">
        <f>SUM(Q87:Q89)</f>
        <v>403.12091911764708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2996.0392270714447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4563</v>
      </c>
      <c r="C8" s="558">
        <f>B101</f>
        <v>0</v>
      </c>
      <c r="D8" s="991"/>
      <c r="E8" s="991">
        <f>E101</f>
        <v>1342.0588235294117</v>
      </c>
      <c r="F8" s="992"/>
      <c r="G8" s="559"/>
      <c r="H8" s="991">
        <f>I101</f>
        <v>0</v>
      </c>
      <c r="I8" s="991">
        <f>G101+F101</f>
        <v>4026.1764705882351</v>
      </c>
      <c r="J8" s="991">
        <f>H101+D101+C101</f>
        <v>0</v>
      </c>
      <c r="K8" s="991"/>
      <c r="L8" s="991"/>
      <c r="M8" s="991"/>
      <c r="N8" s="560"/>
      <c r="O8" s="561">
        <f>C8*$C$12+D8*$D$12+E8*$E$12+F8*$F$12+G8*$G$12+H8*$H$12+I8*$I$12+J8*$J$12</f>
        <v>358.32970588235293</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7559.0392270714447</v>
      </c>
      <c r="C10" s="570">
        <f t="shared" ref="C10:L10" si="0">SUM(C8:C9)</f>
        <v>0</v>
      </c>
      <c r="D10" s="570">
        <f t="shared" si="0"/>
        <v>0</v>
      </c>
      <c r="E10" s="570">
        <f t="shared" si="0"/>
        <v>1342.0588235294117</v>
      </c>
      <c r="F10" s="570">
        <f t="shared" si="0"/>
        <v>0</v>
      </c>
      <c r="G10" s="570">
        <f t="shared" si="0"/>
        <v>0</v>
      </c>
      <c r="H10" s="570">
        <f t="shared" si="0"/>
        <v>0</v>
      </c>
      <c r="I10" s="570">
        <f t="shared" si="0"/>
        <v>4026.1764705882351</v>
      </c>
      <c r="J10" s="570">
        <f t="shared" si="0"/>
        <v>0</v>
      </c>
      <c r="K10" s="570">
        <f t="shared" si="0"/>
        <v>0</v>
      </c>
      <c r="L10" s="570">
        <f t="shared" si="0"/>
        <v>0</v>
      </c>
      <c r="M10" s="995"/>
      <c r="N10" s="995"/>
      <c r="O10" s="571">
        <f>SUM(O4:O9)</f>
        <v>358.32970588235293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5133.375</v>
      </c>
      <c r="C17" s="582">
        <f>B102</f>
        <v>0</v>
      </c>
      <c r="D17" s="583"/>
      <c r="E17" s="583">
        <f>E102</f>
        <v>1509.8161764705883</v>
      </c>
      <c r="F17" s="584"/>
      <c r="G17" s="585"/>
      <c r="H17" s="582">
        <f>I102</f>
        <v>0</v>
      </c>
      <c r="I17" s="583">
        <f>G102+F102</f>
        <v>4529.4485294117649</v>
      </c>
      <c r="J17" s="583">
        <f>H102+D102+C102</f>
        <v>0</v>
      </c>
      <c r="K17" s="583"/>
      <c r="L17" s="583"/>
      <c r="M17" s="583"/>
      <c r="N17" s="998"/>
      <c r="O17" s="586">
        <f>C17*$C$22+E17*$E$22+H17*$H$22+I17*$I$22+J17*$J$22+D17*$D$22+F17*$F$22+G17*$G$22+K17*$K$22+L17*$L$22</f>
        <v>403.12091911764708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5133.375</v>
      </c>
      <c r="C20" s="569">
        <f>SUM(C17:C19)</f>
        <v>0</v>
      </c>
      <c r="D20" s="569">
        <f t="shared" ref="D20:L20" si="1">SUM(D17:D19)</f>
        <v>0</v>
      </c>
      <c r="E20" s="569">
        <f t="shared" si="1"/>
        <v>1509.8161764705883</v>
      </c>
      <c r="F20" s="569">
        <f t="shared" si="1"/>
        <v>0</v>
      </c>
      <c r="G20" s="569">
        <f t="shared" si="1"/>
        <v>0</v>
      </c>
      <c r="H20" s="569">
        <f t="shared" si="1"/>
        <v>0</v>
      </c>
      <c r="I20" s="569">
        <f t="shared" si="1"/>
        <v>4529.4485294117649</v>
      </c>
      <c r="J20" s="569">
        <f t="shared" si="1"/>
        <v>0</v>
      </c>
      <c r="K20" s="569">
        <f t="shared" si="1"/>
        <v>0</v>
      </c>
      <c r="L20" s="569">
        <f t="shared" si="1"/>
        <v>0</v>
      </c>
      <c r="M20" s="569"/>
      <c r="N20" s="569"/>
      <c r="O20" s="590">
        <f>SUM(O17:O19)</f>
        <v>403.12091911764708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23060</v>
      </c>
      <c r="C28" s="789">
        <v>1745</v>
      </c>
      <c r="D28" s="642" t="s">
        <v>946</v>
      </c>
      <c r="E28" s="641" t="s">
        <v>947</v>
      </c>
      <c r="F28" s="641" t="s">
        <v>948</v>
      </c>
      <c r="G28" s="641" t="s">
        <v>949</v>
      </c>
      <c r="H28" s="641" t="s">
        <v>950</v>
      </c>
      <c r="I28" s="641" t="s">
        <v>947</v>
      </c>
      <c r="J28" s="788">
        <v>39066</v>
      </c>
      <c r="K28" s="788">
        <v>39063</v>
      </c>
      <c r="L28" s="641" t="s">
        <v>951</v>
      </c>
      <c r="M28" s="641">
        <v>720</v>
      </c>
      <c r="N28" s="641">
        <v>3240</v>
      </c>
      <c r="O28" s="641">
        <v>3645</v>
      </c>
      <c r="P28" s="641">
        <v>0</v>
      </c>
      <c r="Q28" s="641">
        <v>0</v>
      </c>
      <c r="R28" s="641">
        <v>0</v>
      </c>
      <c r="S28" s="641">
        <v>2025</v>
      </c>
      <c r="T28" s="641">
        <v>6075</v>
      </c>
      <c r="U28" s="641">
        <v>0</v>
      </c>
      <c r="V28" s="641">
        <v>0</v>
      </c>
      <c r="W28" s="641"/>
      <c r="X28" s="641">
        <v>10</v>
      </c>
      <c r="Y28" s="641" t="s">
        <v>112</v>
      </c>
      <c r="Z28" s="643" t="s">
        <v>112</v>
      </c>
    </row>
    <row r="29" spans="1:26" s="595" customFormat="1" ht="38.25">
      <c r="A29" s="594"/>
      <c r="B29" s="789">
        <v>23060</v>
      </c>
      <c r="C29" s="789">
        <v>1745</v>
      </c>
      <c r="D29" s="642" t="s">
        <v>952</v>
      </c>
      <c r="E29" s="641" t="s">
        <v>953</v>
      </c>
      <c r="F29" s="641" t="s">
        <v>954</v>
      </c>
      <c r="G29" s="641" t="s">
        <v>949</v>
      </c>
      <c r="H29" s="641" t="s">
        <v>950</v>
      </c>
      <c r="I29" s="641" t="s">
        <v>953</v>
      </c>
      <c r="J29" s="788">
        <v>40444</v>
      </c>
      <c r="K29" s="788">
        <v>40444</v>
      </c>
      <c r="L29" s="641" t="s">
        <v>951</v>
      </c>
      <c r="M29" s="641">
        <v>294</v>
      </c>
      <c r="N29" s="641">
        <v>1323</v>
      </c>
      <c r="O29" s="641">
        <v>1488.375</v>
      </c>
      <c r="P29" s="641">
        <v>0</v>
      </c>
      <c r="Q29" s="641">
        <v>0</v>
      </c>
      <c r="R29" s="641">
        <v>0</v>
      </c>
      <c r="S29" s="641">
        <v>826.875</v>
      </c>
      <c r="T29" s="641">
        <v>2480.625</v>
      </c>
      <c r="U29" s="641">
        <v>0</v>
      </c>
      <c r="V29" s="641">
        <v>0</v>
      </c>
      <c r="W29" s="641"/>
      <c r="X29" s="641">
        <v>10</v>
      </c>
      <c r="Y29" s="641" t="s">
        <v>112</v>
      </c>
      <c r="Z29" s="643" t="s">
        <v>112</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1014</v>
      </c>
      <c r="N58" s="599">
        <f>SUM(N28:N57)</f>
        <v>4563</v>
      </c>
      <c r="O58" s="599">
        <f t="shared" ref="O58:W58" si="2">SUM(O28:O57)</f>
        <v>5133.375</v>
      </c>
      <c r="P58" s="599">
        <f t="shared" si="2"/>
        <v>0</v>
      </c>
      <c r="Q58" s="599">
        <f t="shared" si="2"/>
        <v>0</v>
      </c>
      <c r="R58" s="599">
        <f t="shared" si="2"/>
        <v>0</v>
      </c>
      <c r="S58" s="599">
        <f t="shared" si="2"/>
        <v>2851.875</v>
      </c>
      <c r="T58" s="599">
        <f t="shared" si="2"/>
        <v>8555.625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1014</v>
      </c>
      <c r="N61" s="604">
        <f t="shared" si="4"/>
        <v>4563</v>
      </c>
      <c r="O61" s="604">
        <f t="shared" si="4"/>
        <v>5133.375</v>
      </c>
      <c r="P61" s="604">
        <f t="shared" si="4"/>
        <v>0</v>
      </c>
      <c r="Q61" s="604">
        <f t="shared" si="4"/>
        <v>0</v>
      </c>
      <c r="R61" s="604">
        <f t="shared" si="4"/>
        <v>0</v>
      </c>
      <c r="S61" s="604">
        <f t="shared" si="4"/>
        <v>2851.875</v>
      </c>
      <c r="T61" s="604">
        <f t="shared" si="4"/>
        <v>8555.625</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0.52941176470588236</v>
      </c>
      <c r="C98" s="624">
        <f>IF(ISERROR(N58/(O58+N58)),0,N58/(N58+O58))</f>
        <v>0.47058823529411764</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1342.0588235294117</v>
      </c>
      <c r="F101" s="633">
        <f t="shared" si="9"/>
        <v>4026.1764705882351</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1509.8161764705883</v>
      </c>
      <c r="F102" s="636">
        <f t="shared" si="10"/>
        <v>4529.4485294117649</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28598.149509936626</v>
      </c>
      <c r="C4" s="461">
        <f>huishoudens!C8</f>
        <v>0</v>
      </c>
      <c r="D4" s="461">
        <f>huishoudens!D8</f>
        <v>44006.057273189668</v>
      </c>
      <c r="E4" s="461">
        <f>huishoudens!E8</f>
        <v>1760.7804738375728</v>
      </c>
      <c r="F4" s="461">
        <f>huishoudens!F8</f>
        <v>16753.239796614991</v>
      </c>
      <c r="G4" s="461">
        <f>huishoudens!G8</f>
        <v>0</v>
      </c>
      <c r="H4" s="461">
        <f>huishoudens!H8</f>
        <v>0</v>
      </c>
      <c r="I4" s="461">
        <f>huishoudens!I8</f>
        <v>0</v>
      </c>
      <c r="J4" s="461">
        <f>huishoudens!J8</f>
        <v>0</v>
      </c>
      <c r="K4" s="461">
        <f>huishoudens!K8</f>
        <v>0</v>
      </c>
      <c r="L4" s="461">
        <f>huishoudens!L8</f>
        <v>0</v>
      </c>
      <c r="M4" s="461">
        <f>huishoudens!M8</f>
        <v>0</v>
      </c>
      <c r="N4" s="461">
        <f>huishoudens!N8</f>
        <v>9649.4782037518853</v>
      </c>
      <c r="O4" s="461">
        <f>huishoudens!O8</f>
        <v>95.36333333333333</v>
      </c>
      <c r="P4" s="462">
        <f>huishoudens!P8</f>
        <v>495.73333333333335</v>
      </c>
      <c r="Q4" s="463">
        <f>SUM(B4:P4)</f>
        <v>101358.80192399741</v>
      </c>
    </row>
    <row r="5" spans="1:17">
      <c r="A5" s="460" t="s">
        <v>156</v>
      </c>
      <c r="B5" s="461">
        <f ca="1">tertiair!B16</f>
        <v>8823.129420138248</v>
      </c>
      <c r="C5" s="461">
        <f ca="1">tertiair!C16</f>
        <v>0</v>
      </c>
      <c r="D5" s="461">
        <f ca="1">tertiair!D16</f>
        <v>10110.279782577683</v>
      </c>
      <c r="E5" s="461">
        <f>tertiair!E16</f>
        <v>86.481244800185181</v>
      </c>
      <c r="F5" s="461">
        <f ca="1">tertiair!F16</f>
        <v>1744.9532868109673</v>
      </c>
      <c r="G5" s="461">
        <f>tertiair!G16</f>
        <v>0</v>
      </c>
      <c r="H5" s="461">
        <f>tertiair!H16</f>
        <v>0</v>
      </c>
      <c r="I5" s="461">
        <f>tertiair!I16</f>
        <v>0</v>
      </c>
      <c r="J5" s="461">
        <f>tertiair!J16</f>
        <v>0</v>
      </c>
      <c r="K5" s="461">
        <f>tertiair!K16</f>
        <v>0</v>
      </c>
      <c r="L5" s="461">
        <f ca="1">tertiair!L16</f>
        <v>0</v>
      </c>
      <c r="M5" s="461">
        <f>tertiair!M16</f>
        <v>0</v>
      </c>
      <c r="N5" s="461">
        <f ca="1">tertiair!N16</f>
        <v>483.75686827340911</v>
      </c>
      <c r="O5" s="461">
        <f>tertiair!O16</f>
        <v>0</v>
      </c>
      <c r="P5" s="462">
        <f>tertiair!P16</f>
        <v>0</v>
      </c>
      <c r="Q5" s="460">
        <f t="shared" ref="Q5:Q14" ca="1" si="0">SUM(B5:P5)</f>
        <v>21248.600602600494</v>
      </c>
    </row>
    <row r="6" spans="1:17">
      <c r="A6" s="460" t="s">
        <v>194</v>
      </c>
      <c r="B6" s="461">
        <f>'openbare verlichting'!B8</f>
        <v>973.35</v>
      </c>
      <c r="C6" s="461"/>
      <c r="D6" s="461"/>
      <c r="E6" s="461"/>
      <c r="F6" s="461"/>
      <c r="G6" s="461"/>
      <c r="H6" s="461"/>
      <c r="I6" s="461"/>
      <c r="J6" s="461"/>
      <c r="K6" s="461"/>
      <c r="L6" s="461"/>
      <c r="M6" s="461"/>
      <c r="N6" s="461"/>
      <c r="O6" s="461"/>
      <c r="P6" s="462"/>
      <c r="Q6" s="460">
        <f t="shared" si="0"/>
        <v>973.35</v>
      </c>
    </row>
    <row r="7" spans="1:17">
      <c r="A7" s="460" t="s">
        <v>112</v>
      </c>
      <c r="B7" s="461">
        <f>landbouw!B8</f>
        <v>999.31450732020721</v>
      </c>
      <c r="C7" s="461">
        <f>landbouw!C8</f>
        <v>5133.375</v>
      </c>
      <c r="D7" s="461">
        <f>landbouw!D8</f>
        <v>76.834853349062428</v>
      </c>
      <c r="E7" s="461">
        <f>landbouw!E8</f>
        <v>9.4142122216399855</v>
      </c>
      <c r="F7" s="461">
        <f>landbouw!F8</f>
        <v>409.21988074481351</v>
      </c>
      <c r="G7" s="461">
        <f>landbouw!G8</f>
        <v>0</v>
      </c>
      <c r="H7" s="461">
        <f>landbouw!H8</f>
        <v>0</v>
      </c>
      <c r="I7" s="461">
        <f>landbouw!I8</f>
        <v>0</v>
      </c>
      <c r="J7" s="461">
        <f>landbouw!J8</f>
        <v>123.62006522033954</v>
      </c>
      <c r="K7" s="461">
        <f>landbouw!K8</f>
        <v>0</v>
      </c>
      <c r="L7" s="461">
        <f>landbouw!L8</f>
        <v>0</v>
      </c>
      <c r="M7" s="461">
        <f>landbouw!M8</f>
        <v>0</v>
      </c>
      <c r="N7" s="461">
        <f>landbouw!N8</f>
        <v>0</v>
      </c>
      <c r="O7" s="461">
        <f>landbouw!O8</f>
        <v>0</v>
      </c>
      <c r="P7" s="462">
        <f>landbouw!P8</f>
        <v>0</v>
      </c>
      <c r="Q7" s="460">
        <f t="shared" si="0"/>
        <v>6751.778518856062</v>
      </c>
    </row>
    <row r="8" spans="1:17">
      <c r="A8" s="460" t="s">
        <v>685</v>
      </c>
      <c r="B8" s="461">
        <f>industrie!B18</f>
        <v>7213.1183746147508</v>
      </c>
      <c r="C8" s="461">
        <f>industrie!C18</f>
        <v>0</v>
      </c>
      <c r="D8" s="461">
        <f>industrie!D18</f>
        <v>6658.2156703383225</v>
      </c>
      <c r="E8" s="461">
        <f>industrie!E18</f>
        <v>43.813835851232938</v>
      </c>
      <c r="F8" s="461">
        <f>industrie!F18</f>
        <v>2039.7918018838816</v>
      </c>
      <c r="G8" s="461">
        <f>industrie!G18</f>
        <v>0</v>
      </c>
      <c r="H8" s="461">
        <f>industrie!H18</f>
        <v>0</v>
      </c>
      <c r="I8" s="461">
        <f>industrie!I18</f>
        <v>0</v>
      </c>
      <c r="J8" s="461">
        <f>industrie!J18</f>
        <v>15.552601603329453</v>
      </c>
      <c r="K8" s="461">
        <f>industrie!K18</f>
        <v>0</v>
      </c>
      <c r="L8" s="461">
        <f>industrie!L18</f>
        <v>0</v>
      </c>
      <c r="M8" s="461">
        <f>industrie!M18</f>
        <v>0</v>
      </c>
      <c r="N8" s="461">
        <f>industrie!N18</f>
        <v>245.29067439023044</v>
      </c>
      <c r="O8" s="461">
        <f>industrie!O18</f>
        <v>0</v>
      </c>
      <c r="P8" s="462">
        <f>industrie!P18</f>
        <v>0</v>
      </c>
      <c r="Q8" s="460">
        <f t="shared" si="0"/>
        <v>16215.782958681748</v>
      </c>
    </row>
    <row r="9" spans="1:17" s="466" customFormat="1">
      <c r="A9" s="464" t="s">
        <v>579</v>
      </c>
      <c r="B9" s="465">
        <f>transport!B14</f>
        <v>1.339233193019669</v>
      </c>
      <c r="C9" s="465">
        <f>transport!C14</f>
        <v>0</v>
      </c>
      <c r="D9" s="465">
        <f>transport!D14</f>
        <v>4.1454553426930829</v>
      </c>
      <c r="E9" s="465">
        <f>transport!E14</f>
        <v>236.04234350552528</v>
      </c>
      <c r="F9" s="465">
        <f>transport!F14</f>
        <v>0</v>
      </c>
      <c r="G9" s="465">
        <f>transport!G14</f>
        <v>48596.39721089392</v>
      </c>
      <c r="H9" s="465">
        <f>transport!H14</f>
        <v>9126.9407361504418</v>
      </c>
      <c r="I9" s="465">
        <f>transport!I14</f>
        <v>0</v>
      </c>
      <c r="J9" s="465">
        <f>transport!J14</f>
        <v>0</v>
      </c>
      <c r="K9" s="465">
        <f>transport!K14</f>
        <v>0</v>
      </c>
      <c r="L9" s="465">
        <f>transport!L14</f>
        <v>0</v>
      </c>
      <c r="M9" s="465">
        <f>transport!M14</f>
        <v>2581.5064978026794</v>
      </c>
      <c r="N9" s="465">
        <f>transport!N14</f>
        <v>0</v>
      </c>
      <c r="O9" s="465">
        <f>transport!O14</f>
        <v>0</v>
      </c>
      <c r="P9" s="465">
        <f>transport!P14</f>
        <v>0</v>
      </c>
      <c r="Q9" s="464">
        <f>SUM(B9:P9)</f>
        <v>60546.371476888278</v>
      </c>
    </row>
    <row r="10" spans="1:17">
      <c r="A10" s="460" t="s">
        <v>569</v>
      </c>
      <c r="B10" s="461">
        <f>transport!B54</f>
        <v>0</v>
      </c>
      <c r="C10" s="461">
        <f>transport!C54</f>
        <v>0</v>
      </c>
      <c r="D10" s="461">
        <f>transport!D54</f>
        <v>0</v>
      </c>
      <c r="E10" s="461">
        <f>transport!E54</f>
        <v>0</v>
      </c>
      <c r="F10" s="461">
        <f>transport!F54</f>
        <v>0</v>
      </c>
      <c r="G10" s="461">
        <f>transport!G54</f>
        <v>640.49389713039807</v>
      </c>
      <c r="H10" s="461">
        <f>transport!H54</f>
        <v>0</v>
      </c>
      <c r="I10" s="461">
        <f>transport!I54</f>
        <v>0</v>
      </c>
      <c r="J10" s="461">
        <f>transport!J54</f>
        <v>0</v>
      </c>
      <c r="K10" s="461">
        <f>transport!K54</f>
        <v>0</v>
      </c>
      <c r="L10" s="461">
        <f>transport!L54</f>
        <v>0</v>
      </c>
      <c r="M10" s="461">
        <f>transport!M54</f>
        <v>28.125143583768125</v>
      </c>
      <c r="N10" s="461">
        <f>transport!N54</f>
        <v>0</v>
      </c>
      <c r="O10" s="461">
        <f>transport!O54</f>
        <v>0</v>
      </c>
      <c r="P10" s="462">
        <f>transport!P54</f>
        <v>0</v>
      </c>
      <c r="Q10" s="460">
        <f t="shared" si="0"/>
        <v>668.6190407141662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687.67888026952301</v>
      </c>
      <c r="C14" s="468"/>
      <c r="D14" s="468">
        <f>'SEAP template'!E25</f>
        <v>869.94492160802804</v>
      </c>
      <c r="E14" s="468"/>
      <c r="F14" s="468"/>
      <c r="G14" s="468"/>
      <c r="H14" s="468"/>
      <c r="I14" s="468"/>
      <c r="J14" s="468"/>
      <c r="K14" s="468"/>
      <c r="L14" s="468"/>
      <c r="M14" s="468"/>
      <c r="N14" s="468"/>
      <c r="O14" s="468"/>
      <c r="P14" s="469"/>
      <c r="Q14" s="460">
        <f t="shared" si="0"/>
        <v>1557.6238018775512</v>
      </c>
    </row>
    <row r="15" spans="1:17" s="473" customFormat="1">
      <c r="A15" s="470" t="s">
        <v>573</v>
      </c>
      <c r="B15" s="471">
        <f ca="1">SUM(B4:B14)</f>
        <v>47296.079925472375</v>
      </c>
      <c r="C15" s="471">
        <f t="shared" ref="C15:Q15" ca="1" si="1">SUM(C4:C14)</f>
        <v>5133.375</v>
      </c>
      <c r="D15" s="471">
        <f t="shared" ca="1" si="1"/>
        <v>61725.477956405455</v>
      </c>
      <c r="E15" s="471">
        <f t="shared" si="1"/>
        <v>2136.5321102161561</v>
      </c>
      <c r="F15" s="471">
        <f t="shared" ca="1" si="1"/>
        <v>20947.204766054656</v>
      </c>
      <c r="G15" s="471">
        <f t="shared" si="1"/>
        <v>49236.89110802432</v>
      </c>
      <c r="H15" s="471">
        <f t="shared" si="1"/>
        <v>9126.9407361504418</v>
      </c>
      <c r="I15" s="471">
        <f t="shared" si="1"/>
        <v>0</v>
      </c>
      <c r="J15" s="471">
        <f t="shared" si="1"/>
        <v>139.172666823669</v>
      </c>
      <c r="K15" s="471">
        <f t="shared" si="1"/>
        <v>0</v>
      </c>
      <c r="L15" s="471">
        <f t="shared" ca="1" si="1"/>
        <v>0</v>
      </c>
      <c r="M15" s="471">
        <f t="shared" si="1"/>
        <v>2609.6316413864474</v>
      </c>
      <c r="N15" s="471">
        <f t="shared" ca="1" si="1"/>
        <v>10378.525746415526</v>
      </c>
      <c r="O15" s="471">
        <f t="shared" si="1"/>
        <v>95.36333333333333</v>
      </c>
      <c r="P15" s="471">
        <f t="shared" si="1"/>
        <v>495.73333333333335</v>
      </c>
      <c r="Q15" s="471">
        <f t="shared" ca="1" si="1"/>
        <v>209320.92832361572</v>
      </c>
    </row>
    <row r="17" spans="1:17">
      <c r="A17" s="474" t="s">
        <v>574</v>
      </c>
      <c r="B17" s="778">
        <f ca="1">huishoudens!B10</f>
        <v>0.19858562200142327</v>
      </c>
      <c r="C17" s="778">
        <f ca="1">huishoudens!C10</f>
        <v>7.8529411764705889E-2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5679.1813085204631</v>
      </c>
      <c r="C22" s="461">
        <f t="shared" ref="C22:C32" ca="1" si="3">C4*$C$17</f>
        <v>0</v>
      </c>
      <c r="D22" s="461">
        <f t="shared" ref="D22:D32" si="4">D4*$D$17</f>
        <v>8889.2235691843143</v>
      </c>
      <c r="E22" s="461">
        <f t="shared" ref="E22:E32" si="5">E4*$E$17</f>
        <v>399.69716756112905</v>
      </c>
      <c r="F22" s="461">
        <f t="shared" ref="F22:F32" si="6">F4*$F$17</f>
        <v>4473.1150256962028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19441.21707096211</v>
      </c>
    </row>
    <row r="23" spans="1:17">
      <c r="A23" s="460" t="s">
        <v>156</v>
      </c>
      <c r="B23" s="461">
        <f t="shared" ca="1" si="2"/>
        <v>1752.1466438972109</v>
      </c>
      <c r="C23" s="461">
        <f t="shared" ca="1" si="3"/>
        <v>0</v>
      </c>
      <c r="D23" s="461">
        <f t="shared" ca="1" si="4"/>
        <v>2042.2765160806921</v>
      </c>
      <c r="E23" s="461">
        <f t="shared" si="5"/>
        <v>19.631242569642037</v>
      </c>
      <c r="F23" s="461">
        <f t="shared" ca="1" si="6"/>
        <v>465.90252757852829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4279.9569301260735</v>
      </c>
    </row>
    <row r="24" spans="1:17">
      <c r="A24" s="460" t="s">
        <v>194</v>
      </c>
      <c r="B24" s="461">
        <f t="shared" ca="1" si="2"/>
        <v>193.29331517508535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193.29331517508535</v>
      </c>
    </row>
    <row r="25" spans="1:17">
      <c r="A25" s="460" t="s">
        <v>112</v>
      </c>
      <c r="B25" s="461">
        <f t="shared" ca="1" si="2"/>
        <v>198.44949301122921</v>
      </c>
      <c r="C25" s="461">
        <f t="shared" ca="1" si="3"/>
        <v>403.12091911764708</v>
      </c>
      <c r="D25" s="461">
        <f t="shared" si="4"/>
        <v>15.520640376510611</v>
      </c>
      <c r="E25" s="461">
        <f t="shared" si="5"/>
        <v>2.1370261743122767</v>
      </c>
      <c r="F25" s="461">
        <f t="shared" si="6"/>
        <v>109.26170815886522</v>
      </c>
      <c r="G25" s="461">
        <f t="shared" si="7"/>
        <v>0</v>
      </c>
      <c r="H25" s="461">
        <f t="shared" si="8"/>
        <v>0</v>
      </c>
      <c r="I25" s="461">
        <f t="shared" si="9"/>
        <v>0</v>
      </c>
      <c r="J25" s="461">
        <f t="shared" si="10"/>
        <v>43.761503088000197</v>
      </c>
      <c r="K25" s="461">
        <f t="shared" si="11"/>
        <v>0</v>
      </c>
      <c r="L25" s="461">
        <f t="shared" si="12"/>
        <v>0</v>
      </c>
      <c r="M25" s="461">
        <f t="shared" si="13"/>
        <v>0</v>
      </c>
      <c r="N25" s="461">
        <f t="shared" si="14"/>
        <v>0</v>
      </c>
      <c r="O25" s="461">
        <f t="shared" si="15"/>
        <v>0</v>
      </c>
      <c r="P25" s="462">
        <f t="shared" si="16"/>
        <v>0</v>
      </c>
      <c r="Q25" s="460">
        <f t="shared" ca="1" si="17"/>
        <v>772.2512899265646</v>
      </c>
    </row>
    <row r="26" spans="1:17">
      <c r="A26" s="460" t="s">
        <v>685</v>
      </c>
      <c r="B26" s="461">
        <f t="shared" ca="1" si="2"/>
        <v>1432.4215989927654</v>
      </c>
      <c r="C26" s="461">
        <f t="shared" ca="1" si="3"/>
        <v>0</v>
      </c>
      <c r="D26" s="461">
        <f t="shared" si="4"/>
        <v>1344.9595654083412</v>
      </c>
      <c r="E26" s="461">
        <f t="shared" si="5"/>
        <v>9.9457407382298779</v>
      </c>
      <c r="F26" s="461">
        <f t="shared" si="6"/>
        <v>544.62441110299642</v>
      </c>
      <c r="G26" s="461">
        <f t="shared" si="7"/>
        <v>0</v>
      </c>
      <c r="H26" s="461">
        <f t="shared" si="8"/>
        <v>0</v>
      </c>
      <c r="I26" s="461">
        <f t="shared" si="9"/>
        <v>0</v>
      </c>
      <c r="J26" s="461">
        <f t="shared" si="10"/>
        <v>5.5056209675786265</v>
      </c>
      <c r="K26" s="461">
        <f t="shared" si="11"/>
        <v>0</v>
      </c>
      <c r="L26" s="461">
        <f t="shared" si="12"/>
        <v>0</v>
      </c>
      <c r="M26" s="461">
        <f t="shared" si="13"/>
        <v>0</v>
      </c>
      <c r="N26" s="461">
        <f t="shared" si="14"/>
        <v>0</v>
      </c>
      <c r="O26" s="461">
        <f t="shared" si="15"/>
        <v>0</v>
      </c>
      <c r="P26" s="462">
        <f t="shared" si="16"/>
        <v>0</v>
      </c>
      <c r="Q26" s="460">
        <f t="shared" ca="1" si="17"/>
        <v>3337.4569372099113</v>
      </c>
    </row>
    <row r="27" spans="1:17" s="466" customFormat="1">
      <c r="A27" s="464" t="s">
        <v>579</v>
      </c>
      <c r="B27" s="772">
        <f t="shared" ca="1" si="2"/>
        <v>0.26595245664076311</v>
      </c>
      <c r="C27" s="465">
        <f t="shared" ca="1" si="3"/>
        <v>0</v>
      </c>
      <c r="D27" s="465">
        <f t="shared" si="4"/>
        <v>0.83738197922400281</v>
      </c>
      <c r="E27" s="465">
        <f t="shared" si="5"/>
        <v>53.581611975754242</v>
      </c>
      <c r="F27" s="465">
        <f t="shared" si="6"/>
        <v>0</v>
      </c>
      <c r="G27" s="465">
        <f t="shared" si="7"/>
        <v>12975.238055308677</v>
      </c>
      <c r="H27" s="465">
        <f t="shared" si="8"/>
        <v>2272.6082433014599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15302.531245021755</v>
      </c>
    </row>
    <row r="28" spans="1:17">
      <c r="A28" s="460" t="s">
        <v>569</v>
      </c>
      <c r="B28" s="461">
        <f t="shared" ca="1" si="2"/>
        <v>0</v>
      </c>
      <c r="C28" s="461">
        <f t="shared" ca="1" si="3"/>
        <v>0</v>
      </c>
      <c r="D28" s="461">
        <f t="shared" si="4"/>
        <v>0</v>
      </c>
      <c r="E28" s="461">
        <f t="shared" si="5"/>
        <v>0</v>
      </c>
      <c r="F28" s="461">
        <f t="shared" si="6"/>
        <v>0</v>
      </c>
      <c r="G28" s="461">
        <f t="shared" si="7"/>
        <v>171.01187053381631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171.01187053381631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136.56313817556551</v>
      </c>
      <c r="C32" s="461">
        <f t="shared" ca="1" si="3"/>
        <v>0</v>
      </c>
      <c r="D32" s="461">
        <f t="shared" si="4"/>
        <v>175.72887416482166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312.29201234038715</v>
      </c>
    </row>
    <row r="33" spans="1:17" s="473" customFormat="1">
      <c r="A33" s="470" t="s">
        <v>573</v>
      </c>
      <c r="B33" s="471">
        <f ca="1">SUM(B22:B32)</f>
        <v>9392.3214502289611</v>
      </c>
      <c r="C33" s="471">
        <f t="shared" ref="C33:Q33" ca="1" si="18">SUM(C22:C32)</f>
        <v>403.12091911764708</v>
      </c>
      <c r="D33" s="471">
        <f t="shared" ca="1" si="18"/>
        <v>12468.546547193902</v>
      </c>
      <c r="E33" s="471">
        <f t="shared" si="18"/>
        <v>484.99278901906746</v>
      </c>
      <c r="F33" s="471">
        <f t="shared" ca="1" si="18"/>
        <v>5592.9036725365922</v>
      </c>
      <c r="G33" s="471">
        <f t="shared" si="18"/>
        <v>13146.249925842492</v>
      </c>
      <c r="H33" s="471">
        <f t="shared" si="18"/>
        <v>2272.6082433014599</v>
      </c>
      <c r="I33" s="471">
        <f t="shared" si="18"/>
        <v>0</v>
      </c>
      <c r="J33" s="471">
        <f t="shared" si="18"/>
        <v>49.267124055578826</v>
      </c>
      <c r="K33" s="471">
        <f t="shared" si="18"/>
        <v>0</v>
      </c>
      <c r="L33" s="471">
        <f t="shared" ca="1" si="18"/>
        <v>0</v>
      </c>
      <c r="M33" s="471">
        <f t="shared" si="18"/>
        <v>0</v>
      </c>
      <c r="N33" s="471">
        <f t="shared" ca="1" si="18"/>
        <v>0</v>
      </c>
      <c r="O33" s="471">
        <f t="shared" si="18"/>
        <v>0</v>
      </c>
      <c r="P33" s="471">
        <f t="shared" si="18"/>
        <v>0</v>
      </c>
      <c r="Q33" s="471">
        <f t="shared" ca="1" si="18"/>
        <v>43810.010671295706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2996.0392270714447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3422.25</v>
      </c>
      <c r="C8" s="1037">
        <f>'SEAP template'!C76</f>
        <v>1140.75</v>
      </c>
      <c r="D8" s="1037">
        <f>'SEAP template'!D76</f>
        <v>0</v>
      </c>
      <c r="E8" s="1037">
        <f>'SEAP template'!E76</f>
        <v>0</v>
      </c>
      <c r="F8" s="1037">
        <f>'SEAP template'!F76</f>
        <v>1342.0588235294117</v>
      </c>
      <c r="G8" s="1037">
        <f>'SEAP template'!G76</f>
        <v>0</v>
      </c>
      <c r="H8" s="1037">
        <f>'SEAP template'!H76</f>
        <v>0</v>
      </c>
      <c r="I8" s="1037">
        <f>'SEAP template'!I76</f>
        <v>4026.1764705882351</v>
      </c>
      <c r="J8" s="1037">
        <f>'SEAP template'!J76</f>
        <v>0</v>
      </c>
      <c r="K8" s="1037">
        <f>'SEAP template'!K76</f>
        <v>0</v>
      </c>
      <c r="L8" s="1037">
        <f>'SEAP template'!L76</f>
        <v>0</v>
      </c>
      <c r="M8" s="1037">
        <f>'SEAP template'!M76</f>
        <v>0</v>
      </c>
      <c r="N8" s="1037">
        <f>'SEAP template'!N76</f>
        <v>0</v>
      </c>
      <c r="O8" s="1037">
        <f>'SEAP template'!O76</f>
        <v>0</v>
      </c>
      <c r="P8" s="1038">
        <f>'SEAP template'!Q76</f>
        <v>358.32970588235293</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6418.2892270714447</v>
      </c>
      <c r="C10" s="1041">
        <f>SUM(C4:C9)</f>
        <v>1140.75</v>
      </c>
      <c r="D10" s="1041">
        <f t="shared" ref="D10:H10" si="0">SUM(D8:D9)</f>
        <v>0</v>
      </c>
      <c r="E10" s="1041">
        <f t="shared" si="0"/>
        <v>0</v>
      </c>
      <c r="F10" s="1041">
        <f t="shared" si="0"/>
        <v>1342.0588235294117</v>
      </c>
      <c r="G10" s="1041">
        <f t="shared" si="0"/>
        <v>0</v>
      </c>
      <c r="H10" s="1041">
        <f t="shared" si="0"/>
        <v>0</v>
      </c>
      <c r="I10" s="1041">
        <f>SUM(I8:I9)</f>
        <v>4026.1764705882351</v>
      </c>
      <c r="J10" s="1041">
        <f>SUM(J8:J9)</f>
        <v>0</v>
      </c>
      <c r="K10" s="1041">
        <f t="shared" ref="K10:L10" si="1">SUM(K8:K9)</f>
        <v>0</v>
      </c>
      <c r="L10" s="1041">
        <f t="shared" si="1"/>
        <v>0</v>
      </c>
      <c r="M10" s="1041">
        <f>SUM(M8:M9)</f>
        <v>0</v>
      </c>
      <c r="N10" s="1041">
        <f>SUM(N8:N9)</f>
        <v>0</v>
      </c>
      <c r="O10" s="1041">
        <f>SUM(O8:O9)</f>
        <v>0</v>
      </c>
      <c r="P10" s="1041">
        <f>SUM(P8:P9)</f>
        <v>358.32970588235293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0.19858562200142327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3850.03125</v>
      </c>
      <c r="C17" s="1044">
        <f>'SEAP template'!C87</f>
        <v>1283.34375</v>
      </c>
      <c r="D17" s="1038">
        <f>'SEAP template'!D87</f>
        <v>0</v>
      </c>
      <c r="E17" s="1038">
        <f>'SEAP template'!E87</f>
        <v>0</v>
      </c>
      <c r="F17" s="1038">
        <f>'SEAP template'!F87</f>
        <v>1509.8161764705883</v>
      </c>
      <c r="G17" s="1038">
        <f>'SEAP template'!G87</f>
        <v>0</v>
      </c>
      <c r="H17" s="1038">
        <f>'SEAP template'!H87</f>
        <v>0</v>
      </c>
      <c r="I17" s="1038">
        <f>'SEAP template'!I87</f>
        <v>4529.4485294117649</v>
      </c>
      <c r="J17" s="1038">
        <f>'SEAP template'!J87</f>
        <v>0</v>
      </c>
      <c r="K17" s="1038">
        <f>'SEAP template'!K87</f>
        <v>0</v>
      </c>
      <c r="L17" s="1038">
        <f>'SEAP template'!L87</f>
        <v>0</v>
      </c>
      <c r="M17" s="1038">
        <f>'SEAP template'!M87</f>
        <v>0</v>
      </c>
      <c r="N17" s="1038">
        <f>'SEAP template'!N87</f>
        <v>0</v>
      </c>
      <c r="O17" s="1038">
        <f>'SEAP template'!O87</f>
        <v>0</v>
      </c>
      <c r="P17" s="1038">
        <f>'SEAP template'!Q87</f>
        <v>403.12091911764708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3850.03125</v>
      </c>
      <c r="C20" s="1041">
        <f>SUM(C17:C19)</f>
        <v>1283.34375</v>
      </c>
      <c r="D20" s="1041">
        <f t="shared" ref="D20:H20" si="2">SUM(D17:D19)</f>
        <v>0</v>
      </c>
      <c r="E20" s="1041">
        <f t="shared" si="2"/>
        <v>0</v>
      </c>
      <c r="F20" s="1041">
        <f t="shared" si="2"/>
        <v>1509.8161764705883</v>
      </c>
      <c r="G20" s="1041">
        <f t="shared" si="2"/>
        <v>0</v>
      </c>
      <c r="H20" s="1041">
        <f t="shared" si="2"/>
        <v>0</v>
      </c>
      <c r="I20" s="1041">
        <f>SUM(I17:I19)</f>
        <v>4529.4485294117649</v>
      </c>
      <c r="J20" s="1041">
        <f>SUM(J17:J19)</f>
        <v>0</v>
      </c>
      <c r="K20" s="1041">
        <f t="shared" ref="K20:L20" si="3">SUM(K17:K19)</f>
        <v>0</v>
      </c>
      <c r="L20" s="1041">
        <f t="shared" si="3"/>
        <v>0</v>
      </c>
      <c r="M20" s="1041">
        <f>SUM(M17:M19)</f>
        <v>0</v>
      </c>
      <c r="N20" s="1041">
        <f>SUM(N17:N19)</f>
        <v>0</v>
      </c>
      <c r="O20" s="1041">
        <f>SUM(O17:O19)</f>
        <v>0</v>
      </c>
      <c r="P20" s="1041">
        <f>SUM(P17:P19)</f>
        <v>403.12091911764708</v>
      </c>
    </row>
    <row r="22" spans="1:16">
      <c r="A22" s="474" t="s">
        <v>933</v>
      </c>
      <c r="B22" s="778" t="s">
        <v>927</v>
      </c>
      <c r="C22" s="778">
        <f ca="1">'EF ele_warmte'!B22</f>
        <v>7.8529411764705889E-2</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0.19858562200142327</v>
      </c>
      <c r="C17" s="510">
        <f ca="1">'EF ele_warmte'!B22</f>
        <v>7.8529411764705889E-2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2019-06-29T16:11:57Z</dcterms:modified>
</cp:coreProperties>
</file>