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N78" i="14" l="1"/>
  <c r="N8" i="56"/>
  <c r="N10" s="1"/>
  <c r="F17"/>
  <c r="F20" s="1"/>
  <c r="F90" i="14"/>
  <c r="K90"/>
  <c r="K18" i="56"/>
  <c r="J10" i="18"/>
  <c r="J76" i="14"/>
  <c r="G8" i="56"/>
  <c r="G10" s="1"/>
  <c r="G78" i="14"/>
  <c r="I20" i="18"/>
  <c r="I87" i="14"/>
  <c r="I17" i="56" s="1"/>
  <c r="I20" s="1"/>
  <c r="N90" i="14"/>
  <c r="E8" i="56"/>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I10"/>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Q90" i="14"/>
  <c r="B17" i="6" s="1"/>
  <c r="C76" i="14"/>
  <c r="B76"/>
  <c r="C87"/>
  <c r="C17" i="56" s="1"/>
  <c r="C20" s="1"/>
  <c r="B87" i="14"/>
  <c r="C8" i="56" l="1"/>
  <c r="C10" s="1"/>
  <c r="C78" i="14"/>
  <c r="B8" i="56"/>
  <c r="B10" s="1"/>
  <c r="B78" i="14"/>
  <c r="B4" i="6" s="1"/>
  <c r="B90" i="14"/>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24"/>
  <c r="D32"/>
  <c r="D31"/>
  <c r="L28"/>
  <c r="L32"/>
  <c r="L27"/>
  <c r="L31"/>
  <c r="L29"/>
  <c r="L22"/>
  <c r="L30"/>
  <c r="L24"/>
  <c r="P5"/>
  <c r="P23" s="1"/>
  <c r="Q10" i="14"/>
  <c r="K32" i="48"/>
  <c r="K27"/>
  <c r="K31"/>
  <c r="K25"/>
  <c r="K24"/>
  <c r="K28"/>
  <c r="K22"/>
  <c r="K26"/>
  <c r="K29"/>
  <c r="K30"/>
  <c r="J10" i="14"/>
  <c r="J16" s="1"/>
  <c r="J27" s="1"/>
  <c r="I5" i="48"/>
  <c r="J30"/>
  <c r="J31"/>
  <c r="J29"/>
  <c r="J24"/>
  <c r="J32"/>
  <c r="J28"/>
  <c r="J27"/>
  <c r="P4"/>
  <c r="Q11" i="14"/>
  <c r="B7" i="48"/>
  <c r="C24" i="14"/>
  <c r="C26" s="1"/>
  <c r="P11"/>
  <c r="O4" i="48"/>
  <c r="I32"/>
  <c r="I22"/>
  <c r="I25"/>
  <c r="I29"/>
  <c r="I26"/>
  <c r="I27"/>
  <c r="I24"/>
  <c r="I31"/>
  <c r="I28"/>
  <c r="I30"/>
  <c r="E11" i="14"/>
  <c r="D4" i="48"/>
  <c r="D22" s="1"/>
  <c r="H32"/>
  <c r="H25"/>
  <c r="H26"/>
  <c r="H28"/>
  <c r="H24"/>
  <c r="H22"/>
  <c r="H30"/>
  <c r="H29"/>
  <c r="H23"/>
  <c r="D11" i="14"/>
  <c r="C4" i="48"/>
  <c r="G32"/>
  <c r="G26"/>
  <c r="G30"/>
  <c r="G29"/>
  <c r="G25"/>
  <c r="G24"/>
  <c r="G22"/>
  <c r="G23"/>
  <c r="C11" i="14"/>
  <c r="B4" i="48"/>
  <c r="F30"/>
  <c r="F24"/>
  <c r="F28"/>
  <c r="F27"/>
  <c r="F32"/>
  <c r="F31"/>
  <c r="F29"/>
  <c r="N32"/>
  <c r="N30"/>
  <c r="N31"/>
  <c r="N28"/>
  <c r="N24"/>
  <c r="N27"/>
  <c r="N29"/>
  <c r="C19" i="14"/>
  <c r="B10" i="48"/>
  <c r="E32"/>
  <c r="E28"/>
  <c r="E29"/>
  <c r="E24"/>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4"/>
  <c r="M25"/>
  <c r="M26"/>
  <c r="M30"/>
  <c r="M29"/>
  <c r="M23"/>
  <c r="H18" i="14"/>
  <c r="G13" i="48"/>
  <c r="N18" i="14"/>
  <c r="M13" i="48"/>
  <c r="M31" s="1"/>
  <c r="J12" i="17"/>
  <c r="K54" i="14" s="1"/>
  <c r="K56" s="1"/>
  <c r="J7" i="48"/>
  <c r="J25" s="1"/>
  <c r="K24" i="14"/>
  <c r="K26" s="1"/>
  <c r="P15" i="48"/>
  <c r="P22"/>
  <c r="I23"/>
  <c r="I33" s="1"/>
  <c r="I15"/>
  <c r="J46" i="14"/>
  <c r="J61" s="1"/>
  <c r="K33" i="48"/>
  <c r="L63" i="14"/>
  <c r="L46"/>
  <c r="L61"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<sst xmlns="http://schemas.openxmlformats.org/spreadsheetml/2006/main" count="2492" uniqueCount="952">
  <si>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</si>
  <si>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</si>
  <si>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</si>
  <si>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</si>
  <si>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</si>
  <si>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</si>
  <si>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</si>
  <si>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</si>
  <si>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</si>
  <si>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</si>
  <si>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</si>
  <si>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</si>
  <si>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</si>
  <si>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</si>
  <si>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</si>
  <si>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</si>
  <si>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</si>
  <si>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</si>
  <si>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</si>
  <si>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</si>
  <si>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</si>
  <si>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</si>
  <si>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</si>
  <si>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</si>
  <si>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</si>
  <si>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</si>
  <si>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</si>
  <si>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</si>
  <si>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</si>
  <si>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</si>
  <si>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</si>
  <si>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</si>
  <si>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</si>
  <si>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</si>
  <si>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</si>
  <si>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</si>
  <si>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</si>
  <si>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</si>
  <si>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</si>
  <si>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</si>
  <si>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</si>
  <si>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</si>
  <si>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</si>
  <si>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</si>
  <si>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</si>
  <si>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</si>
  <si>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</si>
  <si>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</si>
  <si>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</si>
  <si>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</si>
  <si>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</si>
  <si>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</si>
  <si>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</si>
  <si>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</si>
  <si>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</si>
  <si>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</si>
  <si>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</si>
  <si>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</si>
  <si>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</si>
  <si>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</si>
  <si>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</si>
  <si>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</si>
  <si>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</si>
  <si>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</si>
  <si>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</si>
  <si>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</si>
  <si>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</si>
  <si>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</si>
  <si>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</si>
  <si>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</si>
  <si>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</si>
  <si>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</si>
  <si>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</si>
  <si>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</si>
  <si>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</si>
  <si>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</si>
  <si>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</si>
  <si>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</si>
  <si>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</si>
  <si>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</si>
  <si>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</si>
  <si>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</si>
  <si>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</si>
  <si>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</si>
  <si>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</si>
  <si>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</si>
  <si>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</si>
  <si>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</si>
  <si>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</si>
  <si>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</si>
  <si>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</si>
  <si>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</si>
  <si>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</si>
  <si>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</si>
  <si>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</si>
  <si>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</si>
  <si>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</si>
  <si>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</si>
  <si>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</si>
  <si>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</si>
  <si>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</si>
  <si>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</si>
  <si>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</si>
  <si>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</si>
  <si>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</si>
  <si>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</si>
  <si>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</si>
  <si>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</si>
  <si>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</si>
  <si>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</si>
  <si>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</si>
  <si>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</si>
  <si>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</si>
  <si>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</si>
  <si>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</si>
  <si>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</si>
  <si>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</si>
  <si>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</si>
  <si>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</si>
  <si>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</si>
  <si>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</si>
  <si>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</si>
  <si>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</si>
  <si>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</si>
  <si>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</si>
  <si>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</si>
  <si>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</si>
  <si>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</si>
  <si>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</si>
  <si>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</si>
  <si>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</si>
  <si>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</si>
  <si>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</si>
  <si>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</si>
  <si>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</si>
  <si>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</si>
  <si>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</si>
  <si>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</si>
  <si>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</si>
  <si>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</si>
  <si>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</si>
  <si>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</si>
  <si>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</si>
  <si>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</si>
  <si>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</si>
  <si>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</si>
  <si>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</si>
  <si>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</si>
  <si>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</si>
  <si>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</si>
  <si>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</si>
  <si>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</si>
  <si>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</si>
  <si>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</si>
  <si>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</si>
  <si>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</si>
  <si>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</si>
  <si>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</si>
  <si>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</si>
  <si>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</si>
  <si>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</si>
  <si>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</si>
  <si>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</si>
  <si>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</si>
  <si>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</si>
  <si>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</si>
  <si>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</si>
  <si>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</si>
  <si>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</si>
  <si>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</si>
  <si>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</si>
  <si>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</si>
  <si>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</si>
  <si>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</si>
  <si>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</si>
  <si>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</si>
  <si>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</si>
  <si>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</si>
  <si>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</si>
  <si>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</si>
  <si>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</si>
  <si>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</si>
  <si>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</si>
  <si>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</si>
  <si>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</si>
  <si>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</si>
  <si>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</si>
  <si>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</si>
  <si>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</si>
  <si>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</si>
  <si>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</si>
  <si>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</si>
  <si>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</si>
  <si>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</si>
  <si>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</si>
  <si>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</si>
  <si>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</si>
  <si>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</si>
  <si>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</si>
  <si>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</si>
  <si>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</si>
  <si>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</si>
  <si>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</si>
  <si>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</si>
  <si>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</si>
  <si>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</si>
  <si>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</si>
  <si>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</si>
  <si>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</si>
  <si>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</si>
  <si>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</si>
  <si>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</si>
  <si>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</si>
  <si>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</si>
  <si>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</si>
  <si>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</si>
  <si>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</si>
  <si>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</si>
  <si>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</si>
  <si>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</si>
  <si>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</si>
  <si>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</si>
  <si>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</si>
  <si>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</si>
  <si>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</si>
  <si>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</si>
  <si>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</si>
  <si>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</si>
  <si>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</si>
  <si>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</si>
  <si>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</si>
  <si>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</si>
  <si>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</si>
  <si>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</si>
  <si>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</si>
  <si>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</si>
  <si>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</si>
  <si>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</si>
  <si>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</si>
  <si>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</si>
  <si>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</si>
  <si>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</si>
  <si>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</si>
  <si>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</si>
  <si>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</si>
  <si>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</si>
  <si>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</si>
  <si>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</si>
  <si>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</si>
  <si>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</si>
  <si>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</si>
  <si>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</si>
  <si>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</si>
  <si>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</si>
  <si>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</si>
  <si>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</si>
  <si>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</si>
  <si>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</si>
  <si>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</si>
  <si>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</si>
  <si>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</si>
  <si>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</si>
  <si>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</si>
  <si>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</si>
  <si>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</si>
  <si>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</si>
  <si>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</si>
  <si>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</si>
  <si>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</si>
  <si>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</si>
  <si>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</si>
  <si>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</si>
  <si>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</si>
  <si>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</si>
  <si>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</si>
  <si>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</si>
  <si>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</si>
  <si>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</si>
  <si>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</si>
  <si>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</si>
  <si>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</si>
  <si>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</si>
  <si>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</si>
  <si>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</si>
  <si>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</si>
  <si>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</si>
  <si>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</si>
  <si>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</si>
  <si>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</si>
  <si>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</si>
  <si>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</si>
  <si>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</si>
  <si>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</si>
  <si>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</si>
  <si>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</si>
  <si>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</si>
  <si>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</si>
  <si>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</si>
  <si>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</si>
  <si>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</si>
  <si>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</si>
  <si>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</si>
  <si>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</si>
  <si>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</si>
  <si>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</si>
  <si>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</si>
  <si>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</si>
  <si>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</si>
  <si>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</si>
  <si>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</si>
  <si>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</si>
  <si>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</si>
  <si>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</si>
  <si>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</si>
  <si>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</si>
  <si>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</si>
  <si>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</si>
  <si>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</si>
  <si>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</si>
  <si>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</si>
  <si>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</si>
  <si>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</si>
  <si>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</si>
  <si>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</si>
  <si>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</si>
  <si>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</si>
  <si>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</si>
  <si>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</si>
  <si>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</si>
  <si>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</si>
  <si>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</si>
  <si>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</si>
  <si>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</si>
  <si>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</si>
  <si>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</si>
  <si>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</si>
  <si>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</si>
  <si>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</si>
  <si>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</si>
  <si>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</si>
  <si>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</si>
  <si>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</si>
  <si>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</si>
  <si>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</si>
  <si>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</si>
  <si>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</si>
  <si>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</si>
  <si>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</si>
  <si>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</si>
  <si>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</si>
  <si>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</si>
  <si>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</si>
  <si>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</si>
  <si>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</si>
  <si>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</si>
  <si>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</si>
  <si>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</si>
  <si>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</si>
  <si>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</si>
  <si>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</si>
  <si>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</si>
  <si>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</si>
  <si>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</si>
  <si>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</si>
  <si>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</si>
  <si>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</si>
  <si>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</si>
  <si>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</si>
  <si>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</si>
  <si>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</si>
  <si>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</si>
  <si>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</si>
  <si>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</si>
  <si>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</si>
  <si>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</si>
  <si>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</si>
  <si>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</si>
  <si>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</si>
  <si>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</si>
  <si>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</si>
  <si>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</si>
  <si>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</si>
  <si>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</si>
  <si>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</si>
  <si>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</si>
  <si>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</si>
  <si>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</si>
  <si>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</si>
  <si>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</si>
  <si>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</si>
  <si>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</si>
  <si>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</si>
  <si>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</si>
  <si>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</si>
  <si>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</si>
  <si>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</si>
  <si>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</si>
  <si>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</si>
  <si>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</si>
  <si>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</si>
  <si>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</si>
  <si>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</si>
  <si>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</si>
  <si>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</si>
  <si>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</si>
  <si>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</si>
  <si>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</si>
  <si>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</si>
  <si>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</si>
  <si>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</si>
  <si>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</si>
  <si>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</si>
  <si>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</si>
  <si>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</si>
  <si>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</si>
  <si>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</si>
  <si>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</si>
  <si>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</si>
  <si>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</si>
  <si>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</si>
  <si>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</si>
  <si>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</si>
  <si>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</si>
  <si>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</si>
  <si>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</si>
  <si>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</si>
  <si>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</si>
  <si>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</si>
  <si>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</si>
  <si>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</si>
  <si>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</si>
  <si>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</si>
  <si>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</si>
  <si>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</si>
  <si>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</si>
  <si>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</si>
  <si>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</si>
  <si>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</si>
  <si>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</si>
  <si>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</si>
  <si>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</si>
  <si>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</si>
  <si>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</si>
  <si>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</si>
  <si>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</si>
  <si>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</si>
  <si>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</si>
  <si>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</si>
  <si>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</si>
  <si>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</si>
  <si>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</si>
  <si>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</si>
  <si>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</si>
  <si>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</si>
  <si>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</si>
  <si>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</si>
  <si>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</si>
  <si>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</si>
  <si>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</si>
  <si>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</si>
  <si>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</si>
  <si>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</si>
  <si>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</si>
  <si>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</si>
  <si>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</si>
  <si>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</si>
  <si>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</si>
  <si>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</si>
  <si>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</si>
  <si>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</si>
  <si>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</si>
  <si>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</si>
  <si>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</si>
  <si>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</si>
  <si>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</si>
  <si>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</si>
  <si>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</si>
  <si>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</si>
  <si>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</si>
  <si>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</si>
  <si>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</si>
  <si>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</si>
  <si>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</si>
  <si>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</si>
  <si>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</si>
  <si>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</si>
  <si>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</si>
  <si>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</si>
  <si>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</si>
  <si>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</si>
  <si>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</si>
  <si>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</si>
  <si>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</si>
  <si>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</si>
  <si>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</si>
  <si>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</si>
  <si>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</si>
  <si>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</si>
  <si>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</si>
  <si>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</si>
  <si>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</si>
  <si>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</si>
  <si>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</si>
  <si>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</si>
  <si>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</si>
  <si>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</si>
  <si>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</si>
  <si>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</si>
  <si>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</si>
  <si>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</si>
  <si>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</si>
  <si>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</si>
  <si>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</si>
  <si>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</si>
  <si>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</si>
  <si>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</si>
  <si>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</si>
  <si>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</si>
  <si>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</si>
  <si>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</si>
  <si>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</si>
  <si>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</si>
  <si>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</si>
  <si>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</si>
  <si>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</si>
  <si>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</si>
  <si>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</si>
  <si>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</si>
  <si>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</si>
  <si>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</si>
  <si>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</si>
  <si>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</si>
  <si>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</si>
  <si>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</si>
  <si>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</si>
  <si>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</si>
  <si>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</si>
  <si>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</si>
  <si>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</si>
  <si>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</si>
  <si>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</si>
  <si>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</si>
  <si>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</si>
  <si>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</si>
  <si>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</si>
  <si>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</si>
  <si>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</si>
  <si>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</si>
  <si>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</si>
  <si>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</si>
  <si>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</si>
  <si>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</si>
  <si>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</si>
  <si>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</si>
  <si>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</si>
  <si>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</si>
  <si>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</si>
  <si>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</si>
  <si>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</si>
  <si>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</si>
  <si>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</si>
  <si>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</si>
  <si>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</si>
  <si>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</si>
  <si>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</si>
  <si>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</si>
  <si>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</si>
  <si>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</si>
  <si>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</si>
  <si>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</si>
  <si>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</si>
  <si>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</si>
  <si>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</si>
  <si>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</si>
  <si>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</si>
  <si>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</si>
  <si>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</si>
  <si>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</si>
  <si>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</si>
  <si>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</si>
  <si>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</si>
  <si>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</si>
  <si>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</si>
  <si>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</si>
  <si>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</si>
  <si>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</si>
  <si>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</si>
  <si>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</si>
  <si>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</si>
  <si>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</si>
  <si>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</si>
  <si>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</si>
  <si>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</si>
  <si>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</si>
  <si>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</si>
  <si>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</si>
  <si>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</si>
  <si>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</si>
  <si>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</si>
  <si>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</si>
  <si>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</si>
  <si>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</si>
  <si>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</si>
  <si>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</si>
  <si>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</si>
  <si>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</si>
  <si>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</si>
  <si>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</si>
  <si>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</si>
  <si>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</si>
  <si>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</si>
  <si>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</si>
  <si>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</si>
  <si>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</si>
  <si>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</si>
  <si>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</si>
  <si>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</si>
  <si>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</si>
  <si>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</si>
  <si>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</si>
  <si>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</si>
  <si>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</si>
  <si>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</si>
  <si>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</si>
  <si>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</si>
  <si>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</si>
  <si>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</si>
  <si>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</si>
  <si>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</si>
  <si>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</si>
  <si>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</si>
  <si>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</si>
  <si>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</si>
  <si>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</si>
  <si>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</si>
  <si>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</si>
  <si>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</si>
  <si>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</si>
  <si>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</si>
  <si>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</si>
  <si>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</si>
  <si>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</si>
  <si>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</si>
  <si>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</si>
  <si>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</si>
  <si>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</si>
  <si>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</si>
  <si>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</si>
  <si>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</si>
  <si>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</si>
  <si>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</si>
  <si>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</si>
  <si>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</si>
  <si>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</si>
  <si>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</si>
  <si>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</si>
  <si>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</si>
  <si>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</si>
  <si>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</si>
  <si>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</si>
  <si>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</si>
  <si>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</si>
  <si>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</si>
  <si>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</si>
  <si>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</si>
  <si>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</si>
  <si>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</si>
  <si>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</si>
  <si>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</si>
  <si>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</si>
  <si>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</si>
  <si>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</si>
  <si>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</si>
  <si>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</si>
  <si>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</si>
  <si>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</si>
  <si>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</si>
  <si>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</si>
  <si>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</si>
  <si>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</si>
  <si>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</si>
  <si>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</si>
  <si>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</si>
  <si>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</si>
  <si>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</si>
  <si>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</si>
  <si>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</si>
  <si>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</si>
  <si>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</si>
  <si>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</si>
  <si>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</si>
  <si>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</si>
  <si>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</si>
  <si>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</si>
  <si>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</si>
  <si>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</si>
  <si>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</si>
  <si>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</si>
  <si>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</si>
  <si>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</si>
  <si>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</si>
  <si>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</si>
  <si>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</si>
  <si>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</si>
  <si>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</si>
  <si>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</si>
  <si>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</si>
  <si>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</si>
  <si>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</si>
  <si>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</si>
  <si>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</si>
  <si>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</si>
  <si>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</si>
  <si>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</si>
  <si>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</si>
  <si>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</si>
  <si>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</si>
  <si>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</si>
  <si>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</si>
  <si>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</si>
  <si>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</si>
  <si>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</si>
  <si>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</si>
  <si>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</si>
  <si>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</si>
  <si>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</si>
  <si>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</si>
  <si>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</si>
  <si>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</si>
  <si>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</si>
  <si>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</si>
  <si>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</si>
  <si>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</si>
  <si>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</si>
  <si>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</si>
  <si>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</si>
  <si>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</si>
  <si>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</si>
  <si>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</si>
  <si>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</si>
  <si>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</si>
  <si>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</si>
  <si>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</si>
  <si>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</si>
  <si>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</si>
  <si>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</si>
  <si>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</si>
  <si>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</si>
  <si>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</si>
  <si>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</si>
  <si>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</si>
  <si>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</si>
  <si>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</si>
  <si>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</si>
  <si>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</si>
  <si>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</si>
  <si>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</si>
  <si>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</si>
  <si>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</si>
  <si>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</si>
  <si>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</si>
  <si>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</si>
  <si>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</si>
  <si>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</si>
  <si>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</si>
  <si>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</si>
  <si>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</si>
  <si>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</si>
  <si>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</si>
  <si>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</si>
  <si>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</si>
  <si>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</si>
  <si>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</si>
  <si>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</si>
  <si>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</si>
  <si>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</si>
  <si>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</si>
  <si>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</si>
  <si>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</si>
  <si>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</si>
  <si>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</si>
  <si>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</si>
  <si>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</si>
  <si>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</si>
  <si>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</si>
  <si>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</si>
  <si>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</si>
  <si>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</si>
  <si>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</si>
  <si>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</si>
  <si>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</si>
  <si>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</si>
  <si>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</si>
  <si>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</si>
  <si>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</si>
  <si>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</si>
  <si>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</si>
  <si>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</si>
  <si>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</si>
  <si>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</si>
  <si>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</si>
  <si>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</si>
  <si>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</si>
  <si>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</si>
  <si>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</si>
  <si>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</si>
  <si>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</si>
  <si>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</si>
  <si>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</si>
  <si>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</si>
  <si>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</si>
  <si>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</si>
  <si>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</si>
  <si>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</si>
  <si>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</si>
  <si>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</si>
  <si>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</si>
  <si>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</si>
  <si>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</si>
  <si>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</si>
  <si>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</si>
  <si>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</si>
  <si>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</si>
  <si>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</si>
  <si>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</si>
  <si>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</si>
  <si>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</si>
  <si>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</si>
  <si>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</si>
  <si>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</si>
  <si>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</si>
  <si>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</si>
  <si>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</si>
  <si>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</si>
  <si>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</si>
  <si>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</si>
  <si>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</si>
  <si>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</si>
  <si>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</si>
  <si>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</si>
  <si>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</si>
  <si>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</si>
  <si>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</si>
  <si>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</si>
  <si>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</si>
  <si>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</si>
  <si>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</si>
  <si>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</si>
  <si>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</si>
  <si>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</si>
  <si>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</si>
  <si>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</si>
  <si>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</si>
  <si>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</si>
  <si>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</si>
  <si>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</si>
  <si>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</si>
  <si>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</si>
  <si>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</si>
  <si>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</si>
  <si>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</si>
  <si>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</si>
  <si>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</si>
  <si>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</si>
  <si>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</si>
  <si>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</si>
  <si>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</si>
  <si>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</si>
  <si>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</si>
  <si>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</si>
  <si>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</si>
  <si>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</si>
  <si>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</si>
  <si>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</si>
  <si>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</si>
  <si>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</si>
  <si>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</si>
  <si>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</si>
  <si>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</si>
  <si>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</si>
  <si>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</si>
  <si>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</si>
  <si>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</si>
  <si>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</si>
  <si>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</si>
  <si>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</si>
  <si>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</si>
  <si>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</si>
  <si>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</si>
  <si>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</si>
  <si>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</si>
  <si>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</si>
  <si>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</si>
  <si>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</si>
  <si>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</si>
  <si>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</si>
  <si>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</si>
  <si>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</si>
  <si>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</si>
  <si>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</si>
  <si>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</si>
  <si>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</si>
  <si>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</si>
  <si>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</si>
  <si>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</si>
  <si>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</si>
  <si>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</si>
  <si>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</si>
  <si>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</si>
  <si>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</si>
  <si>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</si>
  <si>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</si>
  <si>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</si>
  <si>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</si>
  <si>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</si>
  <si>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</si>
  <si>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</si>
  <si>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</si>
  <si>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</si>
  <si>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</si>
  <si>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</si>
  <si>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</si>
  <si>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</si>
  <si>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</si>
  <si>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</si>
  <si>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</si>
  <si>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</si>
  <si>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</si>
  <si>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</si>
  <si>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</si>
  <si>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</si>
  <si>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</si>
  <si>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</si>
  <si>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</si>
  <si>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</si>
  <si>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</si>
  <si>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</si>
  <si>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</si>
  <si>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</si>
  <si>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</si>
  <si>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23027</t>
  </si>
  <si>
    <t>HALLE</t>
  </si>
  <si>
    <t>Paarden&amp;pony's 200 - 600 kg</t>
  </si>
  <si>
    <t>Paarden&amp;pony's &lt; 200 kg</t>
  </si>
  <si>
    <t>op basis van VEA (maart 2018) en Inventaris Hernieuwbare Energiebronnen (juni 2018)</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</si>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</sst>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23027</v>
      </c>
      <c r="B6" s="397"/>
      <c r="C6" s="398"/>
    </row>
    <row r="7" spans="1:7" s="395" customFormat="1" ht="15.75" customHeight="1">
      <c r="A7" s="399" t="str">
        <f>txtMunicipality</f>
        <v>HALLE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0.20929061071184563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0.20929061071184563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15444</v>
      </c>
      <c r="C9" s="338">
        <v>16341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1611</v>
      </c>
    </row>
    <row r="15" spans="1:6">
      <c r="A15" s="1286" t="s">
        <v>184</v>
      </c>
      <c r="B15" s="335">
        <v>7</v>
      </c>
    </row>
    <row r="16" spans="1:6">
      <c r="A16" s="1286" t="s">
        <v>6</v>
      </c>
      <c r="B16" s="335">
        <v>282</v>
      </c>
    </row>
    <row r="17" spans="1:6">
      <c r="A17" s="1286" t="s">
        <v>7</v>
      </c>
      <c r="B17" s="335">
        <v>235</v>
      </c>
    </row>
    <row r="18" spans="1:6">
      <c r="A18" s="1286" t="s">
        <v>8</v>
      </c>
      <c r="B18" s="335">
        <v>340</v>
      </c>
    </row>
    <row r="19" spans="1:6">
      <c r="A19" s="1286" t="s">
        <v>9</v>
      </c>
      <c r="B19" s="335">
        <v>251</v>
      </c>
    </row>
    <row r="20" spans="1:6">
      <c r="A20" s="1286" t="s">
        <v>10</v>
      </c>
      <c r="B20" s="335">
        <v>319</v>
      </c>
    </row>
    <row r="21" spans="1:6">
      <c r="A21" s="1286" t="s">
        <v>11</v>
      </c>
      <c r="B21" s="335">
        <v>722</v>
      </c>
    </row>
    <row r="22" spans="1:6">
      <c r="A22" s="1286" t="s">
        <v>12</v>
      </c>
      <c r="B22" s="335">
        <v>1968</v>
      </c>
    </row>
    <row r="23" spans="1:6">
      <c r="A23" s="1286" t="s">
        <v>13</v>
      </c>
      <c r="B23" s="335">
        <v>44</v>
      </c>
    </row>
    <row r="24" spans="1:6">
      <c r="A24" s="1286" t="s">
        <v>14</v>
      </c>
      <c r="B24" s="335">
        <v>2</v>
      </c>
    </row>
    <row r="25" spans="1:6">
      <c r="A25" s="1286" t="s">
        <v>15</v>
      </c>
      <c r="B25" s="335">
        <v>188</v>
      </c>
    </row>
    <row r="26" spans="1:6">
      <c r="A26" s="1286" t="s">
        <v>16</v>
      </c>
      <c r="B26" s="335">
        <v>214</v>
      </c>
    </row>
    <row r="27" spans="1:6">
      <c r="A27" s="1286" t="s">
        <v>17</v>
      </c>
      <c r="B27" s="335">
        <v>0</v>
      </c>
    </row>
    <row r="28" spans="1:6" s="341" customFormat="1">
      <c r="A28" s="1287" t="s">
        <v>18</v>
      </c>
      <c r="B28" s="1287">
        <v>554</v>
      </c>
    </row>
    <row r="29" spans="1:6">
      <c r="A29" s="1287" t="s">
        <v>942</v>
      </c>
      <c r="B29" s="1287">
        <v>123</v>
      </c>
      <c r="C29" s="341"/>
      <c r="D29" s="341"/>
      <c r="E29" s="341"/>
      <c r="F29" s="341"/>
    </row>
    <row r="30" spans="1:6">
      <c r="A30" s="1282" t="s">
        <v>943</v>
      </c>
      <c r="B30" s="1282">
        <v>39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6</v>
      </c>
      <c r="D36" s="335">
        <v>2829430.2165196198</v>
      </c>
      <c r="E36" s="335">
        <v>7</v>
      </c>
      <c r="F36" s="335">
        <v>9660.9436156848005</v>
      </c>
    </row>
    <row r="37" spans="1:6">
      <c r="A37" s="1286" t="s">
        <v>25</v>
      </c>
      <c r="B37" s="1286" t="s">
        <v>28</v>
      </c>
      <c r="C37" s="335">
        <v>0</v>
      </c>
      <c r="D37" s="335">
        <v>0</v>
      </c>
      <c r="E37" s="335">
        <v>0</v>
      </c>
      <c r="F37" s="335">
        <v>0</v>
      </c>
    </row>
    <row r="38" spans="1:6">
      <c r="A38" s="1286" t="s">
        <v>25</v>
      </c>
      <c r="B38" s="1286" t="s">
        <v>29</v>
      </c>
      <c r="C38" s="335">
        <v>2</v>
      </c>
      <c r="D38" s="335">
        <v>29039.711915992099</v>
      </c>
      <c r="E38" s="335">
        <v>4</v>
      </c>
      <c r="F38" s="335">
        <v>18756.072643920401</v>
      </c>
    </row>
    <row r="39" spans="1:6">
      <c r="A39" s="1286" t="s">
        <v>30</v>
      </c>
      <c r="B39" s="1286" t="s">
        <v>31</v>
      </c>
      <c r="C39" s="335">
        <v>11519</v>
      </c>
      <c r="D39" s="335">
        <v>200909308.13046801</v>
      </c>
      <c r="E39" s="335">
        <v>15926</v>
      </c>
      <c r="F39" s="335">
        <v>60416047.859481402</v>
      </c>
    </row>
    <row r="40" spans="1:6">
      <c r="A40" s="1286" t="s">
        <v>30</v>
      </c>
      <c r="B40" s="1286" t="s">
        <v>29</v>
      </c>
      <c r="C40" s="335">
        <v>0</v>
      </c>
      <c r="D40" s="335">
        <v>0</v>
      </c>
      <c r="E40" s="335">
        <v>0</v>
      </c>
      <c r="F40" s="335">
        <v>0</v>
      </c>
    </row>
    <row r="41" spans="1:6">
      <c r="A41" s="1286" t="s">
        <v>32</v>
      </c>
      <c r="B41" s="1286" t="s">
        <v>33</v>
      </c>
      <c r="C41" s="335">
        <v>59</v>
      </c>
      <c r="D41" s="335">
        <v>1444689.3638726401</v>
      </c>
      <c r="E41" s="335">
        <v>162</v>
      </c>
      <c r="F41" s="335">
        <v>20848726.357189301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716277.88942061597</v>
      </c>
      <c r="E44" s="335">
        <v>12</v>
      </c>
      <c r="F44" s="335">
        <v>554264.190819846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20711.506706290798</v>
      </c>
      <c r="E47" s="335">
        <v>5</v>
      </c>
      <c r="F47" s="335">
        <v>21687.8609365796</v>
      </c>
    </row>
    <row r="48" spans="1:6">
      <c r="A48" s="1286" t="s">
        <v>32</v>
      </c>
      <c r="B48" s="1286" t="s">
        <v>29</v>
      </c>
      <c r="C48" s="335">
        <v>55</v>
      </c>
      <c r="D48" s="335">
        <v>33723383.734559499</v>
      </c>
      <c r="E48" s="335">
        <v>80</v>
      </c>
      <c r="F48" s="335">
        <v>36410648.4611068</v>
      </c>
    </row>
    <row r="49" spans="1:6">
      <c r="A49" s="1286" t="s">
        <v>32</v>
      </c>
      <c r="B49" s="1286" t="s">
        <v>40</v>
      </c>
      <c r="C49" s="335">
        <v>0</v>
      </c>
      <c r="D49" s="335">
        <v>0</v>
      </c>
      <c r="E49" s="335">
        <v>3</v>
      </c>
      <c r="F49" s="335">
        <v>8373.4206492878002</v>
      </c>
    </row>
    <row r="50" spans="1:6">
      <c r="A50" s="1286" t="s">
        <v>32</v>
      </c>
      <c r="B50" s="1286" t="s">
        <v>41</v>
      </c>
      <c r="C50" s="335">
        <v>7</v>
      </c>
      <c r="D50" s="335">
        <v>475536.56333610899</v>
      </c>
      <c r="E50" s="335">
        <v>10</v>
      </c>
      <c r="F50" s="335">
        <v>357599.62969846599</v>
      </c>
    </row>
    <row r="51" spans="1:6">
      <c r="A51" s="1286" t="s">
        <v>42</v>
      </c>
      <c r="B51" s="1286" t="s">
        <v>43</v>
      </c>
      <c r="C51" s="335">
        <v>4</v>
      </c>
      <c r="D51" s="335">
        <v>60471.7997615239</v>
      </c>
      <c r="E51" s="335">
        <v>31</v>
      </c>
      <c r="F51" s="335">
        <v>317767.32703149499</v>
      </c>
    </row>
    <row r="52" spans="1:6">
      <c r="A52" s="1286" t="s">
        <v>42</v>
      </c>
      <c r="B52" s="1286" t="s">
        <v>29</v>
      </c>
      <c r="C52" s="335">
        <v>5</v>
      </c>
      <c r="D52" s="335">
        <v>2809166.5176761001</v>
      </c>
      <c r="E52" s="335">
        <v>14</v>
      </c>
      <c r="F52" s="335">
        <v>417190.74690909398</v>
      </c>
    </row>
    <row r="53" spans="1:6">
      <c r="A53" s="1286" t="s">
        <v>44</v>
      </c>
      <c r="B53" s="1286" t="s">
        <v>45</v>
      </c>
      <c r="C53" s="335">
        <v>337</v>
      </c>
      <c r="D53" s="335">
        <v>10492278.151430201</v>
      </c>
      <c r="E53" s="335">
        <v>512</v>
      </c>
      <c r="F53" s="335">
        <v>2473150.5599765</v>
      </c>
    </row>
    <row r="54" spans="1:6">
      <c r="A54" s="1286" t="s">
        <v>46</v>
      </c>
      <c r="B54" s="1286" t="s">
        <v>47</v>
      </c>
      <c r="C54" s="335">
        <v>0</v>
      </c>
      <c r="D54" s="335">
        <v>0</v>
      </c>
      <c r="E54" s="335">
        <v>1</v>
      </c>
      <c r="F54" s="335">
        <v>2984706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67</v>
      </c>
      <c r="D57" s="335">
        <v>3749684.63173914</v>
      </c>
      <c r="E57" s="335">
        <v>128</v>
      </c>
      <c r="F57" s="335">
        <v>2296796.1631153198</v>
      </c>
    </row>
    <row r="58" spans="1:6">
      <c r="A58" s="1286" t="s">
        <v>49</v>
      </c>
      <c r="B58" s="1286" t="s">
        <v>51</v>
      </c>
      <c r="C58" s="335">
        <v>43</v>
      </c>
      <c r="D58" s="335">
        <v>4657790.4941772502</v>
      </c>
      <c r="E58" s="335">
        <v>53</v>
      </c>
      <c r="F58" s="335">
        <v>1841622.1946814</v>
      </c>
    </row>
    <row r="59" spans="1:6">
      <c r="A59" s="1286" t="s">
        <v>49</v>
      </c>
      <c r="B59" s="1286" t="s">
        <v>52</v>
      </c>
      <c r="C59" s="335">
        <v>219</v>
      </c>
      <c r="D59" s="335">
        <v>48392104.908264503</v>
      </c>
      <c r="E59" s="335">
        <v>403</v>
      </c>
      <c r="F59" s="335">
        <v>12371356.549107</v>
      </c>
    </row>
    <row r="60" spans="1:6">
      <c r="A60" s="1286" t="s">
        <v>49</v>
      </c>
      <c r="B60" s="1286" t="s">
        <v>53</v>
      </c>
      <c r="C60" s="335">
        <v>157</v>
      </c>
      <c r="D60" s="335">
        <v>10574434.500922499</v>
      </c>
      <c r="E60" s="335">
        <v>268</v>
      </c>
      <c r="F60" s="335">
        <v>5428104.3567014597</v>
      </c>
    </row>
    <row r="61" spans="1:6">
      <c r="A61" s="1286" t="s">
        <v>49</v>
      </c>
      <c r="B61" s="1286" t="s">
        <v>54</v>
      </c>
      <c r="C61" s="335">
        <v>241</v>
      </c>
      <c r="D61" s="335">
        <v>9032884.9318807591</v>
      </c>
      <c r="E61" s="335">
        <v>527</v>
      </c>
      <c r="F61" s="335">
        <v>6872820.4906905601</v>
      </c>
    </row>
    <row r="62" spans="1:6">
      <c r="A62" s="1286" t="s">
        <v>49</v>
      </c>
      <c r="B62" s="1286" t="s">
        <v>55</v>
      </c>
      <c r="C62" s="335">
        <v>23</v>
      </c>
      <c r="D62" s="335">
        <v>5249448.1285910001</v>
      </c>
      <c r="E62" s="335">
        <v>27</v>
      </c>
      <c r="F62" s="335">
        <v>2211048.0868425202</v>
      </c>
    </row>
    <row r="63" spans="1:6">
      <c r="A63" s="1286" t="s">
        <v>49</v>
      </c>
      <c r="B63" s="1286" t="s">
        <v>29</v>
      </c>
      <c r="C63" s="335">
        <v>191</v>
      </c>
      <c r="D63" s="335">
        <v>20593651.067532599</v>
      </c>
      <c r="E63" s="335">
        <v>237</v>
      </c>
      <c r="F63" s="335">
        <v>72445449.944546893</v>
      </c>
    </row>
    <row r="64" spans="1:6">
      <c r="A64" s="1286" t="s">
        <v>56</v>
      </c>
      <c r="B64" s="1286" t="s">
        <v>57</v>
      </c>
      <c r="C64" s="335">
        <v>0</v>
      </c>
      <c r="D64" s="335">
        <v>0</v>
      </c>
      <c r="E64" s="335">
        <v>0</v>
      </c>
      <c r="F64" s="335">
        <v>0</v>
      </c>
    </row>
    <row r="65" spans="1:6">
      <c r="A65" s="1286" t="s">
        <v>56</v>
      </c>
      <c r="B65" s="1286" t="s">
        <v>29</v>
      </c>
      <c r="C65" s="335">
        <v>5</v>
      </c>
      <c r="D65" s="335">
        <v>185868.18129534301</v>
      </c>
      <c r="E65" s="335">
        <v>5</v>
      </c>
      <c r="F65" s="335">
        <v>49819.653617689903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224645.993014935</v>
      </c>
      <c r="E68" s="335">
        <v>15</v>
      </c>
      <c r="F68" s="335">
        <v>377690.63917404198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241783404</v>
      </c>
      <c r="E73" s="335">
        <v>232748625.0396001</v>
      </c>
    </row>
    <row r="74" spans="1:6">
      <c r="A74" s="1286" t="s">
        <v>64</v>
      </c>
      <c r="B74" s="1286" t="s">
        <v>772</v>
      </c>
      <c r="C74" s="1297" t="s">
        <v>766</v>
      </c>
      <c r="D74" s="335">
        <v>19753558.118236616</v>
      </c>
      <c r="E74" s="335">
        <v>15998052.522750031</v>
      </c>
    </row>
    <row r="75" spans="1:6">
      <c r="A75" s="1286" t="s">
        <v>65</v>
      </c>
      <c r="B75" s="1286" t="s">
        <v>771</v>
      </c>
      <c r="C75" s="1297" t="s">
        <v>767</v>
      </c>
      <c r="D75" s="335">
        <v>154492263</v>
      </c>
      <c r="E75" s="335">
        <v>145198749.90150455</v>
      </c>
    </row>
    <row r="76" spans="1:6">
      <c r="A76" s="1286" t="s">
        <v>65</v>
      </c>
      <c r="B76" s="1286" t="s">
        <v>772</v>
      </c>
      <c r="C76" s="1297" t="s">
        <v>768</v>
      </c>
      <c r="D76" s="335">
        <v>7656304.1182366172</v>
      </c>
      <c r="E76" s="335">
        <v>5758174.3751059445</v>
      </c>
    </row>
    <row r="77" spans="1:6">
      <c r="A77" s="1286" t="s">
        <v>66</v>
      </c>
      <c r="B77" s="1286" t="s">
        <v>771</v>
      </c>
      <c r="C77" s="1297" t="s">
        <v>769</v>
      </c>
      <c r="D77" s="335">
        <v>226375875</v>
      </c>
      <c r="E77" s="335">
        <v>238598959.35756874</v>
      </c>
    </row>
    <row r="78" spans="1:6">
      <c r="A78" s="1282" t="s">
        <v>66</v>
      </c>
      <c r="B78" s="1282" t="s">
        <v>772</v>
      </c>
      <c r="C78" s="1282" t="s">
        <v>770</v>
      </c>
      <c r="D78" s="1282">
        <v>20365377</v>
      </c>
      <c r="E78" s="1282">
        <v>20558724.43028523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1114415.7635267661</v>
      </c>
      <c r="C83" s="335">
        <v>1080132.0690746997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2648.7481688010957</v>
      </c>
    </row>
    <row r="91" spans="1:6">
      <c r="A91" s="1286" t="s">
        <v>68</v>
      </c>
      <c r="B91" s="335">
        <v>2570.7622617795814</v>
      </c>
    </row>
    <row r="92" spans="1:6">
      <c r="A92" s="1282" t="s">
        <v>69</v>
      </c>
      <c r="B92" s="338">
        <v>1922.8625668739476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8417</v>
      </c>
    </row>
    <row r="98" spans="1:6">
      <c r="A98" s="1286" t="s">
        <v>72</v>
      </c>
      <c r="B98" s="335">
        <v>12</v>
      </c>
    </row>
    <row r="99" spans="1:6">
      <c r="A99" s="1286" t="s">
        <v>73</v>
      </c>
      <c r="B99" s="335">
        <v>88</v>
      </c>
    </row>
    <row r="100" spans="1:6">
      <c r="A100" s="1286" t="s">
        <v>74</v>
      </c>
      <c r="B100" s="335">
        <v>1444</v>
      </c>
    </row>
    <row r="101" spans="1:6">
      <c r="A101" s="1286" t="s">
        <v>75</v>
      </c>
      <c r="B101" s="335">
        <v>114</v>
      </c>
    </row>
    <row r="102" spans="1:6">
      <c r="A102" s="1286" t="s">
        <v>76</v>
      </c>
      <c r="B102" s="335">
        <v>218</v>
      </c>
    </row>
    <row r="103" spans="1:6">
      <c r="A103" s="1286" t="s">
        <v>77</v>
      </c>
      <c r="B103" s="335">
        <v>298</v>
      </c>
    </row>
    <row r="104" spans="1:6">
      <c r="A104" s="1286" t="s">
        <v>78</v>
      </c>
      <c r="B104" s="335">
        <v>3161</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8</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230861.2230675575</v>
      </c>
      <c r="C3" s="44" t="s">
        <v>170</v>
      </c>
      <c r="D3" s="44"/>
      <c r="E3" s="157"/>
      <c r="F3" s="44"/>
      <c r="G3" s="44"/>
      <c r="H3" s="44"/>
      <c r="I3" s="44"/>
      <c r="J3" s="44"/>
      <c r="K3" s="97"/>
    </row>
    <row r="4" spans="1:11">
      <c r="A4" s="365" t="s">
        <v>171</v>
      </c>
      <c r="B4" s="50">
        <f>IF(ISERROR('SEAP template'!B78),0,'SEAP template'!B78)</f>
        <v>12231.872997454626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0.20929061071184563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7270.7142857142862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2984.7060000000001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2984.7060000000001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0.20929061071184563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624.67094153530991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60416.047859481405</v>
      </c>
      <c r="C5" s="18">
        <f>IF(ISERROR('Eigen informatie GS &amp; warmtenet'!B57),0,'Eigen informatie GS &amp; warmtenet'!B57)</f>
        <v>0</v>
      </c>
      <c r="D5" s="31">
        <f>(SUM(HH_hh_gas_kWh,HH_rest_gas_kWh)/1000)*0.902</f>
        <v>181220.19593368215</v>
      </c>
      <c r="E5" s="18">
        <f>B46*B57</f>
        <v>4167.9966115662592</v>
      </c>
      <c r="F5" s="18">
        <f>B51*B62</f>
        <v>7287.9652797340068</v>
      </c>
      <c r="G5" s="19"/>
      <c r="H5" s="18"/>
      <c r="I5" s="18"/>
      <c r="J5" s="18">
        <f>B50*B61+C50*C61</f>
        <v>0</v>
      </c>
      <c r="K5" s="18"/>
      <c r="L5" s="18"/>
      <c r="M5" s="18"/>
      <c r="N5" s="18">
        <f>B48*B59+C48*C59</f>
        <v>17534.943502084036</v>
      </c>
      <c r="O5" s="18">
        <f>B69*B70*B71</f>
        <v>110.99666666666667</v>
      </c>
      <c r="P5" s="18">
        <f>B77*B78*B79/1000-B77*B78*B79/1000/B80</f>
        <v>343.2</v>
      </c>
    </row>
    <row r="6" spans="1:16">
      <c r="A6" s="17" t="s">
        <v>639</v>
      </c>
      <c r="B6" s="780">
        <f>kWh_PV_kleiner_dan_10kW</f>
        <v>2570.7622617795814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62986.810121260984</v>
      </c>
      <c r="C8" s="22">
        <f>C5</f>
        <v>0</v>
      </c>
      <c r="D8" s="22">
        <f>D5</f>
        <v>181220.19593368215</v>
      </c>
      <c r="E8" s="22">
        <f>E5</f>
        <v>4167.9966115662592</v>
      </c>
      <c r="F8" s="22">
        <f>F5</f>
        <v>7287.9652797340068</v>
      </c>
      <c r="G8" s="22"/>
      <c r="H8" s="22"/>
      <c r="I8" s="22"/>
      <c r="J8" s="22">
        <f>J5</f>
        <v>0</v>
      </c>
      <c r="K8" s="22"/>
      <c r="L8" s="22">
        <f>L5</f>
        <v>0</v>
      </c>
      <c r="M8" s="22">
        <f>M5</f>
        <v>0</v>
      </c>
      <c r="N8" s="22">
        <f>N5</f>
        <v>17534.943502084036</v>
      </c>
      <c r="O8" s="22">
        <f>O5</f>
        <v>110.99666666666667</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0.20929061071184563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13182.54795706977</v>
      </c>
      <c r="C12" s="24">
        <f ca="1">C10*C8</f>
        <v>0</v>
      </c>
      <c r="D12" s="24">
        <f>D8*D10</f>
        <v>36606.479578603794</v>
      </c>
      <c r="E12" s="24">
        <f>E10*E8</f>
        <v>946.13523082554082</v>
      </c>
      <c r="F12" s="24">
        <f>F10*F8</f>
        <v>1945.8867296889798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8417</v>
      </c>
      <c r="C18" s="169" t="s">
        <v>111</v>
      </c>
      <c r="D18" s="231"/>
      <c r="E18" s="16"/>
    </row>
    <row r="19" spans="1:7">
      <c r="A19" s="174" t="s">
        <v>72</v>
      </c>
      <c r="B19" s="38">
        <f>aantalw2001_ander</f>
        <v>12</v>
      </c>
      <c r="C19" s="169" t="s">
        <v>111</v>
      </c>
      <c r="D19" s="232"/>
      <c r="E19" s="16"/>
    </row>
    <row r="20" spans="1:7">
      <c r="A20" s="174" t="s">
        <v>73</v>
      </c>
      <c r="B20" s="38">
        <f>aantalw2001_propaan</f>
        <v>88</v>
      </c>
      <c r="C20" s="170">
        <f>IF(ISERROR(B20/SUM($B$20,$B$21,$B$22)*100),0,B20/SUM($B$20,$B$21,$B$22)*100)</f>
        <v>5.3462940461725399</v>
      </c>
      <c r="D20" s="232"/>
      <c r="E20" s="16"/>
    </row>
    <row r="21" spans="1:7">
      <c r="A21" s="174" t="s">
        <v>74</v>
      </c>
      <c r="B21" s="38">
        <f>aantalw2001_elektriciteit</f>
        <v>1444</v>
      </c>
      <c r="C21" s="170">
        <f>IF(ISERROR(B21/SUM($B$20,$B$21,$B$22)*100),0,B21/SUM($B$20,$B$21,$B$22)*100)</f>
        <v>87.727825030376678</v>
      </c>
      <c r="D21" s="232"/>
      <c r="E21" s="16"/>
    </row>
    <row r="22" spans="1:7">
      <c r="A22" s="174" t="s">
        <v>75</v>
      </c>
      <c r="B22" s="38">
        <f>aantalw2001_hout</f>
        <v>114</v>
      </c>
      <c r="C22" s="170">
        <f>IF(ISERROR(B22/SUM($B$20,$B$21,$B$22)*100),0,B22/SUM($B$20,$B$21,$B$22)*100)</f>
        <v>6.9258809234507908</v>
      </c>
      <c r="D22" s="232"/>
      <c r="E22" s="16"/>
    </row>
    <row r="23" spans="1:7">
      <c r="A23" s="174" t="s">
        <v>76</v>
      </c>
      <c r="B23" s="38">
        <f>aantalw2001_niet_gespec</f>
        <v>218</v>
      </c>
      <c r="C23" s="169" t="s">
        <v>111</v>
      </c>
      <c r="D23" s="231"/>
      <c r="E23" s="16"/>
    </row>
    <row r="24" spans="1:7">
      <c r="A24" s="174" t="s">
        <v>77</v>
      </c>
      <c r="B24" s="38">
        <f>aantalw2001_steenkool</f>
        <v>298</v>
      </c>
      <c r="C24" s="169" t="s">
        <v>111</v>
      </c>
      <c r="D24" s="232"/>
      <c r="E24" s="16"/>
    </row>
    <row r="25" spans="1:7">
      <c r="A25" s="174" t="s">
        <v>78</v>
      </c>
      <c r="B25" s="38">
        <f>aantalw2001_stookolie</f>
        <v>3161</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15444</v>
      </c>
      <c r="C28" s="37"/>
      <c r="D28" s="231"/>
    </row>
    <row r="29" spans="1:7" s="16" customFormat="1">
      <c r="A29" s="233" t="s">
        <v>666</v>
      </c>
      <c r="B29" s="38">
        <f>SUM(HH_hh_gas_aantal,HH_rest_gas_aantal)</f>
        <v>11519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11519</v>
      </c>
      <c r="C32" s="170">
        <f>IF(ISERROR(B32/SUM($B$32,$B$34,$B$35,$B$36,$B$38,$B$39)*100),0,B32/SUM($B$32,$B$34,$B$35,$B$36,$B$38,$B$39)*100)</f>
        <v>74.672630623622467</v>
      </c>
      <c r="D32" s="236"/>
      <c r="G32" s="16"/>
    </row>
    <row r="33" spans="1:7">
      <c r="A33" s="174" t="s">
        <v>72</v>
      </c>
      <c r="B33" s="35" t="s">
        <v>111</v>
      </c>
      <c r="C33" s="170"/>
      <c r="D33" s="236"/>
      <c r="G33" s="16"/>
    </row>
    <row r="34" spans="1:7">
      <c r="A34" s="174" t="s">
        <v>73</v>
      </c>
      <c r="B34" s="34">
        <f>IF((($B$28-$B$32-$B$39-$B$77-$B$38)*C20/100)&lt;0,0,($B$28-$B$32-$B$39-$B$77-$B$38)*C20/100)</f>
        <v>189.14119076549213</v>
      </c>
      <c r="C34" s="170">
        <f>IF(ISERROR(B34/SUM($B$32,$B$34,$B$35,$B$36,$B$38,$B$39)*100),0,B34/SUM($B$32,$B$34,$B$35,$B$36,$B$38,$B$39)*100)</f>
        <v>1.2261194785783232</v>
      </c>
      <c r="D34" s="236"/>
      <c r="G34" s="16"/>
    </row>
    <row r="35" spans="1:7">
      <c r="A35" s="174" t="s">
        <v>74</v>
      </c>
      <c r="B35" s="34">
        <f>IF((($B$28-$B$32-$B$39-$B$77-$B$38)*C21/100)&lt;0,0,($B$28-$B$32-$B$39-$B$77-$B$38)*C21/100)</f>
        <v>3103.6349939246661</v>
      </c>
      <c r="C35" s="170">
        <f>IF(ISERROR(B35/SUM($B$32,$B$34,$B$35,$B$36,$B$38,$B$39)*100),0,B35/SUM($B$32,$B$34,$B$35,$B$36,$B$38,$B$39)*100)</f>
        <v>20.119505989398849</v>
      </c>
      <c r="D35" s="236"/>
      <c r="G35" s="16"/>
    </row>
    <row r="36" spans="1:7">
      <c r="A36" s="174" t="s">
        <v>75</v>
      </c>
      <c r="B36" s="34">
        <f>IF((($B$28-$B$32-$B$39-$B$77-$B$38)*C22/100)&lt;0,0,($B$28-$B$32-$B$39-$B$77-$B$38)*C22/100)</f>
        <v>245.02381530984209</v>
      </c>
      <c r="C36" s="170">
        <f>IF(ISERROR(B36/SUM($B$32,$B$34,$B$35,$B$36,$B$38,$B$39)*100),0,B36/SUM($B$32,$B$34,$B$35,$B$36,$B$38,$B$39)*100)</f>
        <v>1.5883820517946461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369.19999999999982</v>
      </c>
      <c r="C39" s="170">
        <f>IF(ISERROR(B39/SUM($B$32,$B$34,$B$35,$B$36,$B$38,$B$39)*100),0,B39/SUM($B$32,$B$34,$B$35,$B$36,$B$38,$B$39)*100)</f>
        <v>2.3933618566057295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11519</v>
      </c>
      <c r="C44" s="35" t="s">
        <v>111</v>
      </c>
      <c r="D44" s="177"/>
    </row>
    <row r="45" spans="1:7">
      <c r="A45" s="174" t="s">
        <v>72</v>
      </c>
      <c r="B45" s="34" t="str">
        <f t="shared" si="0"/>
        <v>-</v>
      </c>
      <c r="C45" s="35" t="s">
        <v>111</v>
      </c>
      <c r="D45" s="177"/>
    </row>
    <row r="46" spans="1:7">
      <c r="A46" s="174" t="s">
        <v>73</v>
      </c>
      <c r="B46" s="34">
        <f t="shared" si="0"/>
        <v>189.14119076549213</v>
      </c>
      <c r="C46" s="35" t="s">
        <v>111</v>
      </c>
      <c r="D46" s="177"/>
    </row>
    <row r="47" spans="1:7">
      <c r="A47" s="174" t="s">
        <v>74</v>
      </c>
      <c r="B47" s="34">
        <f t="shared" si="0"/>
        <v>3103.6349939246661</v>
      </c>
      <c r="C47" s="35" t="s">
        <v>111</v>
      </c>
      <c r="D47" s="177"/>
    </row>
    <row r="48" spans="1:7">
      <c r="A48" s="174" t="s">
        <v>75</v>
      </c>
      <c r="B48" s="34">
        <f t="shared" si="0"/>
        <v>245.02381530984209</v>
      </c>
      <c r="C48" s="34">
        <f>B48*10</f>
        <v>2450.2381530984208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369.19999999999982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103467.19778568516</v>
      </c>
      <c r="C5" s="18">
        <f>IF(ISERROR('Eigen informatie GS &amp; warmtenet'!B58),0,'Eigen informatie GS &amp; warmtenet'!B58)</f>
        <v>0</v>
      </c>
      <c r="D5" s="31">
        <f>SUM(D6:D12)</f>
        <v>92229.498794123181</v>
      </c>
      <c r="E5" s="18">
        <f>SUM(E6:E12)</f>
        <v>1007.5116266103909</v>
      </c>
      <c r="F5" s="18">
        <f>SUM(F6:F12)</f>
        <v>21167.253254805481</v>
      </c>
      <c r="G5" s="19"/>
      <c r="H5" s="18"/>
      <c r="I5" s="18"/>
      <c r="J5" s="18">
        <f>SUM(J6:J12)</f>
        <v>0</v>
      </c>
      <c r="K5" s="18"/>
      <c r="L5" s="18"/>
      <c r="M5" s="18"/>
      <c r="N5" s="18">
        <f>SUM(N6:N12)</f>
        <v>6176.4362701449609</v>
      </c>
      <c r="O5" s="18">
        <f>B38*B39*B40</f>
        <v>0</v>
      </c>
      <c r="P5" s="18">
        <f>B46*B47*B48/1000-B46*B47*B48/1000/B49</f>
        <v>0</v>
      </c>
      <c r="R5" s="33"/>
    </row>
    <row r="6" spans="1:18">
      <c r="A6" s="33" t="s">
        <v>54</v>
      </c>
      <c r="B6" s="38">
        <f>B26</f>
        <v>6872.8204906905603</v>
      </c>
      <c r="C6" s="34"/>
      <c r="D6" s="38">
        <f>IF(ISERROR(TER_kantoor_gas_kWh/1000),0,TER_kantoor_gas_kWh/1000)*0.902</f>
        <v>8147.662208556445</v>
      </c>
      <c r="E6" s="34">
        <f>$C$26*'E Balans VL '!I12/100/3.6*1000000</f>
        <v>11.279691379951043</v>
      </c>
      <c r="F6" s="34">
        <f>$C$26*('E Balans VL '!L12+'E Balans VL '!N12)/100/3.6*1000000</f>
        <v>810.14382716778755</v>
      </c>
      <c r="G6" s="35"/>
      <c r="H6" s="34"/>
      <c r="I6" s="34"/>
      <c r="J6" s="34">
        <f>$C$26*('E Balans VL '!D12+'E Balans VL '!E12)/100/3.6*1000000</f>
        <v>0</v>
      </c>
      <c r="K6" s="34"/>
      <c r="L6" s="34"/>
      <c r="M6" s="34"/>
      <c r="N6" s="34">
        <f>$C$26*'E Balans VL '!Y12/100/3.6*1000000</f>
        <v>1.3886208346745916</v>
      </c>
      <c r="O6" s="34"/>
      <c r="P6" s="34"/>
      <c r="R6" s="33"/>
    </row>
    <row r="7" spans="1:18">
      <c r="A7" s="33" t="s">
        <v>53</v>
      </c>
      <c r="B7" s="38">
        <f t="shared" ref="B7:B12" si="0">B27</f>
        <v>5428.1043567014594</v>
      </c>
      <c r="C7" s="34"/>
      <c r="D7" s="38">
        <f>IF(ISERROR(TER_horeca_gas_kWh/1000),0,TER_horeca_gas_kWh/1000)*0.902</f>
        <v>9538.139919832096</v>
      </c>
      <c r="E7" s="34">
        <f>$C$27*'E Balans VL '!I9/100/3.6*1000000</f>
        <v>281.67933750914983</v>
      </c>
      <c r="F7" s="34">
        <f>$C$27*('E Balans VL '!L9+'E Balans VL '!N9)/100/3.6*1000000</f>
        <v>1238.6973528513151</v>
      </c>
      <c r="G7" s="35"/>
      <c r="H7" s="34"/>
      <c r="I7" s="34"/>
      <c r="J7" s="34">
        <f>$C$27*('E Balans VL '!D9+'E Balans VL '!E9)/100/3.6*1000000</f>
        <v>0</v>
      </c>
      <c r="K7" s="34"/>
      <c r="L7" s="34"/>
      <c r="M7" s="34"/>
      <c r="N7" s="34">
        <f>$C$27*'E Balans VL '!Y9/100/3.6*1000000</f>
        <v>0.5732053325303279</v>
      </c>
      <c r="O7" s="34"/>
      <c r="P7" s="34"/>
      <c r="R7" s="33"/>
    </row>
    <row r="8" spans="1:18">
      <c r="A8" s="6" t="s">
        <v>52</v>
      </c>
      <c r="B8" s="38">
        <f t="shared" si="0"/>
        <v>12371.356549107</v>
      </c>
      <c r="C8" s="34"/>
      <c r="D8" s="38">
        <f>IF(ISERROR(TER_handel_gas_kWh/1000),0,TER_handel_gas_kWh/1000)*0.902</f>
        <v>43649.678627254587</v>
      </c>
      <c r="E8" s="34">
        <f>$C$28*'E Balans VL '!I13/100/3.6*1000000</f>
        <v>66.621275254605152</v>
      </c>
      <c r="F8" s="34">
        <f>$C$28*('E Balans VL '!L13+'E Balans VL '!N13)/100/3.6*1000000</f>
        <v>2522.8872439670877</v>
      </c>
      <c r="G8" s="35"/>
      <c r="H8" s="34"/>
      <c r="I8" s="34"/>
      <c r="J8" s="34">
        <f>$C$28*('E Balans VL '!D13+'E Balans VL '!E13)/100/3.6*1000000</f>
        <v>0</v>
      </c>
      <c r="K8" s="34"/>
      <c r="L8" s="34"/>
      <c r="M8" s="34"/>
      <c r="N8" s="34">
        <f>$C$28*'E Balans VL '!Y13/100/3.6*1000000</f>
        <v>61.51622299249339</v>
      </c>
      <c r="O8" s="34"/>
      <c r="P8" s="34"/>
      <c r="R8" s="33"/>
    </row>
    <row r="9" spans="1:18">
      <c r="A9" s="33" t="s">
        <v>51</v>
      </c>
      <c r="B9" s="38">
        <f t="shared" si="0"/>
        <v>1841.6221946814001</v>
      </c>
      <c r="C9" s="34"/>
      <c r="D9" s="38">
        <f>IF(ISERROR(TER_gezond_gas_kWh/1000),0,TER_gezond_gas_kWh/1000)*0.902</f>
        <v>4201.3270257478798</v>
      </c>
      <c r="E9" s="34">
        <f>$C$29*'E Balans VL '!I10/100/3.6*1000000</f>
        <v>1.8250685377701912</v>
      </c>
      <c r="F9" s="34">
        <f>$C$29*('E Balans VL '!L10+'E Balans VL '!N10)/100/3.6*1000000</f>
        <v>638.98981883116858</v>
      </c>
      <c r="G9" s="35"/>
      <c r="H9" s="34"/>
      <c r="I9" s="34"/>
      <c r="J9" s="34">
        <f>$C$29*('E Balans VL '!D10+'E Balans VL '!E10)/100/3.6*1000000</f>
        <v>0</v>
      </c>
      <c r="K9" s="34"/>
      <c r="L9" s="34"/>
      <c r="M9" s="34"/>
      <c r="N9" s="34">
        <f>$C$29*'E Balans VL '!Y10/100/3.6*1000000</f>
        <v>15.869098912603778</v>
      </c>
      <c r="O9" s="34"/>
      <c r="P9" s="34"/>
      <c r="R9" s="33"/>
    </row>
    <row r="10" spans="1:18">
      <c r="A10" s="33" t="s">
        <v>50</v>
      </c>
      <c r="B10" s="38">
        <f t="shared" si="0"/>
        <v>2296.7961631153198</v>
      </c>
      <c r="C10" s="34"/>
      <c r="D10" s="38">
        <f>IF(ISERROR(TER_ander_gas_kWh/1000),0,TER_ander_gas_kWh/1000)*0.902</f>
        <v>3382.2155378287043</v>
      </c>
      <c r="E10" s="34">
        <f>$C$30*'E Balans VL '!I14/100/3.6*1000000</f>
        <v>18.790088098568926</v>
      </c>
      <c r="F10" s="34">
        <f>$C$30*('E Balans VL '!L14+'E Balans VL '!N14)/100/3.6*1000000</f>
        <v>671.48969165040955</v>
      </c>
      <c r="G10" s="35"/>
      <c r="H10" s="34"/>
      <c r="I10" s="34"/>
      <c r="J10" s="34">
        <f>$C$30*('E Balans VL '!D14+'E Balans VL '!E14)/100/3.6*1000000</f>
        <v>0</v>
      </c>
      <c r="K10" s="34"/>
      <c r="L10" s="34"/>
      <c r="M10" s="34"/>
      <c r="N10" s="34">
        <f>$C$30*'E Balans VL '!Y14/100/3.6*1000000</f>
        <v>1324.950020997265</v>
      </c>
      <c r="O10" s="34"/>
      <c r="P10" s="34"/>
      <c r="R10" s="33"/>
    </row>
    <row r="11" spans="1:18">
      <c r="A11" s="33" t="s">
        <v>55</v>
      </c>
      <c r="B11" s="38">
        <f t="shared" si="0"/>
        <v>2211.0480868425202</v>
      </c>
      <c r="C11" s="34"/>
      <c r="D11" s="38">
        <f>IF(ISERROR(TER_onderwijs_gas_kWh/1000),0,TER_onderwijs_gas_kWh/1000)*0.902</f>
        <v>4735.0022119890818</v>
      </c>
      <c r="E11" s="34">
        <f>$C$31*'E Balans VL '!I11/100/3.6*1000000</f>
        <v>1.3627967473486089</v>
      </c>
      <c r="F11" s="34">
        <f>$C$31*('E Balans VL '!L11+'E Balans VL '!N11)/100/3.6*1000000</f>
        <v>854.82699756592365</v>
      </c>
      <c r="G11" s="35"/>
      <c r="H11" s="34"/>
      <c r="I11" s="34"/>
      <c r="J11" s="34">
        <f>$C$31*('E Balans VL '!D11+'E Balans VL '!E11)/100/3.6*1000000</f>
        <v>0</v>
      </c>
      <c r="K11" s="34"/>
      <c r="L11" s="34"/>
      <c r="M11" s="34"/>
      <c r="N11" s="34">
        <f>$C$31*'E Balans VL '!Y11/100/3.6*1000000</f>
        <v>7.1920656090103936</v>
      </c>
      <c r="O11" s="34"/>
      <c r="P11" s="34"/>
      <c r="R11" s="33"/>
    </row>
    <row r="12" spans="1:18">
      <c r="A12" s="33" t="s">
        <v>260</v>
      </c>
      <c r="B12" s="38">
        <f t="shared" si="0"/>
        <v>72445.449944546897</v>
      </c>
      <c r="C12" s="34"/>
      <c r="D12" s="38">
        <f>IF(ISERROR(TER_rest_gas_kWh/1000),0,TER_rest_gas_kWh/1000)*0.902</f>
        <v>18575.473262914405</v>
      </c>
      <c r="E12" s="34">
        <f>$C$32*'E Balans VL '!I8/100/3.6*1000000</f>
        <v>625.95336908299714</v>
      </c>
      <c r="F12" s="34">
        <f>$C$32*('E Balans VL '!L8+'E Balans VL '!N8)/100/3.6*1000000</f>
        <v>14430.218322771787</v>
      </c>
      <c r="G12" s="35"/>
      <c r="H12" s="34"/>
      <c r="I12" s="34"/>
      <c r="J12" s="34">
        <f>$C$32*('E Balans VL '!D8+'E Balans VL '!E8)/100/3.6*1000000</f>
        <v>0</v>
      </c>
      <c r="K12" s="34"/>
      <c r="L12" s="34"/>
      <c r="M12" s="34"/>
      <c r="N12" s="34">
        <f>$C$32*'E Balans VL '!Y8/100/3.6*1000000</f>
        <v>4764.9470354663836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103467.19778568516</v>
      </c>
      <c r="C16" s="22">
        <f t="shared" ca="1" si="1"/>
        <v>0</v>
      </c>
      <c r="D16" s="22">
        <f t="shared" ca="1" si="1"/>
        <v>92229.498794123181</v>
      </c>
      <c r="E16" s="22">
        <f t="shared" si="1"/>
        <v>1007.5116266103909</v>
      </c>
      <c r="F16" s="22">
        <f t="shared" ca="1" si="1"/>
        <v>21167.253254805481</v>
      </c>
      <c r="G16" s="22">
        <f t="shared" si="1"/>
        <v>0</v>
      </c>
      <c r="H16" s="22">
        <f t="shared" si="1"/>
        <v>0</v>
      </c>
      <c r="I16" s="22">
        <f t="shared" si="1"/>
        <v>0</v>
      </c>
      <c r="J16" s="22">
        <f t="shared" si="1"/>
        <v>0</v>
      </c>
      <c r="K16" s="22">
        <f t="shared" si="1"/>
        <v>0</v>
      </c>
      <c r="L16" s="22">
        <f t="shared" ca="1" si="1"/>
        <v>0</v>
      </c>
      <c r="M16" s="22">
        <f t="shared" si="1"/>
        <v>0</v>
      </c>
      <c r="N16" s="22">
        <f t="shared" ca="1" si="1"/>
        <v>6176.4362701449609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0.20929061071184563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21654.71301320937</v>
      </c>
      <c r="C20" s="24">
        <f t="shared" ref="C20:P20" ca="1" si="2">C16*C18</f>
        <v>0</v>
      </c>
      <c r="D20" s="24">
        <f t="shared" ca="1" si="2"/>
        <v>18630.358756412883</v>
      </c>
      <c r="E20" s="24">
        <f t="shared" si="2"/>
        <v>228.70513924055874</v>
      </c>
      <c r="F20" s="24">
        <f t="shared" ca="1" si="2"/>
        <v>5651.6566190330632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6872.8204906905603</v>
      </c>
      <c r="C26" s="40">
        <f>IF(ISERROR(B26*3.6/1000000/'E Balans VL '!Z12*100),0,B26*3.6/1000000/'E Balans VL '!Z12*100)</f>
        <v>0.14604250671424276</v>
      </c>
      <c r="D26" s="240" t="s">
        <v>707</v>
      </c>
      <c r="F26" s="6"/>
    </row>
    <row r="27" spans="1:18">
      <c r="A27" s="234" t="s">
        <v>53</v>
      </c>
      <c r="B27" s="34">
        <f>IF(ISERROR(TER_horeca_ele_kWh/1000),0,TER_horeca_ele_kWh/1000)</f>
        <v>5428.1043567014594</v>
      </c>
      <c r="C27" s="40">
        <f>IF(ISERROR(B27*3.6/1000000/'E Balans VL '!Z9*100),0,B27*3.6/1000000/'E Balans VL '!Z9*100)</f>
        <v>0.42723378822136243</v>
      </c>
      <c r="D27" s="240" t="s">
        <v>707</v>
      </c>
      <c r="F27" s="6"/>
    </row>
    <row r="28" spans="1:18">
      <c r="A28" s="174" t="s">
        <v>52</v>
      </c>
      <c r="B28" s="34">
        <f>IF(ISERROR(TER_handel_ele_kWh/1000),0,TER_handel_ele_kWh/1000)</f>
        <v>12371.356549107</v>
      </c>
      <c r="C28" s="40">
        <f>IF(ISERROR(B28*3.6/1000000/'E Balans VL '!Z13*100),0,B28*3.6/1000000/'E Balans VL '!Z13*100)</f>
        <v>0.34652831782912141</v>
      </c>
      <c r="D28" s="240" t="s">
        <v>707</v>
      </c>
      <c r="F28" s="6"/>
    </row>
    <row r="29" spans="1:18">
      <c r="A29" s="234" t="s">
        <v>51</v>
      </c>
      <c r="B29" s="34">
        <f>IF(ISERROR(TER_gezond_ele_kWh/1000),0,TER_gezond_ele_kWh/1000)</f>
        <v>1841.6221946814001</v>
      </c>
      <c r="C29" s="40">
        <f>IF(ISERROR(B29*3.6/1000000/'E Balans VL '!Z10*100),0,B29*3.6/1000000/'E Balans VL '!Z10*100)</f>
        <v>0.23559916711210133</v>
      </c>
      <c r="D29" s="240" t="s">
        <v>707</v>
      </c>
      <c r="F29" s="6"/>
    </row>
    <row r="30" spans="1:18">
      <c r="A30" s="234" t="s">
        <v>50</v>
      </c>
      <c r="B30" s="34">
        <f>IF(ISERROR(TER_ander_ele_kWh/1000),0,TER_ander_ele_kWh/1000)</f>
        <v>2296.7961631153198</v>
      </c>
      <c r="C30" s="40">
        <f>IF(ISERROR(B30*3.6/1000000/'E Balans VL '!Z14*100),0,B30*3.6/1000000/'E Balans VL '!Z14*100)</f>
        <v>0.17178099985847739</v>
      </c>
      <c r="D30" s="240" t="s">
        <v>707</v>
      </c>
      <c r="F30" s="6"/>
    </row>
    <row r="31" spans="1:18">
      <c r="A31" s="234" t="s">
        <v>55</v>
      </c>
      <c r="B31" s="34">
        <f>IF(ISERROR(TER_onderwijs_ele_kWh/1000),0,TER_onderwijs_ele_kWh/1000)</f>
        <v>2211.0480868425202</v>
      </c>
      <c r="C31" s="40">
        <f>IF(ISERROR(B31*3.6/1000000/'E Balans VL '!Z11*100),0,B31*3.6/1000000/'E Balans VL '!Z11*100)</f>
        <v>0.46686566757613723</v>
      </c>
      <c r="D31" s="240" t="s">
        <v>707</v>
      </c>
    </row>
    <row r="32" spans="1:18">
      <c r="A32" s="234" t="s">
        <v>260</v>
      </c>
      <c r="B32" s="34">
        <f>IF(ISERROR(TER_rest_ele_kWh/1000),0,TER_rest_ele_kWh/1000)</f>
        <v>72445.449944546897</v>
      </c>
      <c r="C32" s="40">
        <f>IF(ISERROR(B32*3.6/1000000/'E Balans VL '!Z8*100),0,B32*3.6/1000000/'E Balans VL '!Z8*100)</f>
        <v>0.59680069509338718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58201.299920400284</v>
      </c>
      <c r="C5" s="18">
        <f>IF(ISERROR('Eigen informatie GS &amp; warmtenet'!B59),0,'Eigen informatie GS &amp; warmtenet'!B59)</f>
        <v>0</v>
      </c>
      <c r="D5" s="31">
        <f>SUM(D6:D15)</f>
        <v>32815.300350221434</v>
      </c>
      <c r="E5" s="18">
        <f>SUM(E6:E15)</f>
        <v>457.00233711371823</v>
      </c>
      <c r="F5" s="18">
        <f>SUM(F6:F15)</f>
        <v>23872.84489479191</v>
      </c>
      <c r="G5" s="19"/>
      <c r="H5" s="18"/>
      <c r="I5" s="18"/>
      <c r="J5" s="18">
        <f>SUM(J6:J15)</f>
        <v>194.16338670072994</v>
      </c>
      <c r="K5" s="18"/>
      <c r="L5" s="18"/>
      <c r="M5" s="18"/>
      <c r="N5" s="18">
        <f>SUM(N6:N15)</f>
        <v>2712.5849178270018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554.26419081984602</v>
      </c>
      <c r="C8" s="34"/>
      <c r="D8" s="38">
        <f>IF( ISERROR(IND_metaal_Gas_kWH/1000),0,IND_metaal_Gas_kWH/1000)*0.902</f>
        <v>646.08265625739568</v>
      </c>
      <c r="E8" s="34">
        <f>C30*'E Balans VL '!I18/100/3.6*1000000</f>
        <v>5.0475841005415321</v>
      </c>
      <c r="F8" s="34">
        <f>C30*'E Balans VL '!L18/100/3.6*1000000+C30*'E Balans VL '!N18/100/3.6*1000000</f>
        <v>73.10323761457812</v>
      </c>
      <c r="G8" s="35"/>
      <c r="H8" s="34"/>
      <c r="I8" s="34"/>
      <c r="J8" s="41">
        <f>C30*'E Balans VL '!D18/100/3.6*1000000+C30*'E Balans VL '!E18/100/3.6*1000000</f>
        <v>9.0891279668190403</v>
      </c>
      <c r="K8" s="34"/>
      <c r="L8" s="34"/>
      <c r="M8" s="34"/>
      <c r="N8" s="34">
        <f>C30*'E Balans VL '!Y18/100/3.6*1000000</f>
        <v>1.9047858429628139</v>
      </c>
      <c r="O8" s="34"/>
      <c r="P8" s="34"/>
      <c r="R8" s="33"/>
    </row>
    <row r="9" spans="1:18">
      <c r="A9" s="6" t="s">
        <v>33</v>
      </c>
      <c r="B9" s="38">
        <f t="shared" si="0"/>
        <v>20848.726357189302</v>
      </c>
      <c r="C9" s="34"/>
      <c r="D9" s="38">
        <f>IF( ISERROR(IND_andere_gas_kWh/1000),0,IND_andere_gas_kWh/1000)*0.902</f>
        <v>1303.1098062131214</v>
      </c>
      <c r="E9" s="34">
        <f>C31*'E Balans VL '!I19/100/3.6*1000000</f>
        <v>120.508753929009</v>
      </c>
      <c r="F9" s="34">
        <f>C31*'E Balans VL '!L19/100/3.6*1000000+C31*'E Balans VL '!N19/100/3.6*1000000</f>
        <v>16586.165018158277</v>
      </c>
      <c r="G9" s="35"/>
      <c r="H9" s="34"/>
      <c r="I9" s="34"/>
      <c r="J9" s="41">
        <f>C31*'E Balans VL '!D19/100/3.6*1000000+C31*'E Balans VL '!E19/100/3.6*1000000</f>
        <v>1.9720579322969889</v>
      </c>
      <c r="K9" s="34"/>
      <c r="L9" s="34"/>
      <c r="M9" s="34"/>
      <c r="N9" s="34">
        <f>C31*'E Balans VL '!Y19/100/3.6*1000000</f>
        <v>1579.6065317388345</v>
      </c>
      <c r="O9" s="34"/>
      <c r="P9" s="34"/>
      <c r="R9" s="33"/>
    </row>
    <row r="10" spans="1:18">
      <c r="A10" s="6" t="s">
        <v>41</v>
      </c>
      <c r="B10" s="38">
        <f t="shared" si="0"/>
        <v>357.599629698466</v>
      </c>
      <c r="C10" s="34"/>
      <c r="D10" s="38">
        <f>IF( ISERROR(IND_voed_gas_kWh/1000),0,IND_voed_gas_kWh/1000)*0.902</f>
        <v>428.93398012917032</v>
      </c>
      <c r="E10" s="34">
        <f>C32*'E Balans VL '!I20/100/3.6*1000000</f>
        <v>3.5161398946772957</v>
      </c>
      <c r="F10" s="34">
        <f>C32*'E Balans VL '!L20/100/3.6*1000000+C32*'E Balans VL '!N20/100/3.6*1000000</f>
        <v>39.716106498815662</v>
      </c>
      <c r="G10" s="35"/>
      <c r="H10" s="34"/>
      <c r="I10" s="34"/>
      <c r="J10" s="41">
        <f>C32*'E Balans VL '!D20/100/3.6*1000000+C32*'E Balans VL '!E20/100/3.6*1000000</f>
        <v>1.4094624811051377E-3</v>
      </c>
      <c r="K10" s="34"/>
      <c r="L10" s="34"/>
      <c r="M10" s="34"/>
      <c r="N10" s="34">
        <f>C32*'E Balans VL '!Y20/100/3.6*1000000</f>
        <v>5.2952093528401516</v>
      </c>
      <c r="O10" s="34"/>
      <c r="P10" s="34"/>
      <c r="R10" s="33"/>
    </row>
    <row r="11" spans="1:18">
      <c r="A11" s="6" t="s">
        <v>40</v>
      </c>
      <c r="B11" s="38">
        <f t="shared" si="0"/>
        <v>8.3734206492877998</v>
      </c>
      <c r="C11" s="34"/>
      <c r="D11" s="38">
        <f>IF( ISERROR(IND_textiel_gas_kWh/1000),0,IND_textiel_gas_kWh/1000)*0.902</f>
        <v>0</v>
      </c>
      <c r="E11" s="34">
        <f>C33*'E Balans VL '!I21/100/3.6*1000000</f>
        <v>1.6304994369762845E-2</v>
      </c>
      <c r="F11" s="34">
        <f>C33*'E Balans VL '!L21/100/3.6*1000000+C33*'E Balans VL '!N21/100/3.6*1000000</f>
        <v>0.27618289042336852</v>
      </c>
      <c r="G11" s="35"/>
      <c r="H11" s="34"/>
      <c r="I11" s="34"/>
      <c r="J11" s="41">
        <f>C33*'E Balans VL '!D21/100/3.6*1000000+C33*'E Balans VL '!E21/100/3.6*1000000</f>
        <v>0</v>
      </c>
      <c r="K11" s="34"/>
      <c r="L11" s="34"/>
      <c r="M11" s="34"/>
      <c r="N11" s="34">
        <f>C33*'E Balans VL '!Y21/100/3.6*1000000</f>
        <v>8.685439571397717E-2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21.6878609365796</v>
      </c>
      <c r="C13" s="34"/>
      <c r="D13" s="38">
        <f>IF( ISERROR(IND_papier_gas_kWh/1000),0,IND_papier_gas_kWh/1000)*0.902</f>
        <v>18.681779049074301</v>
      </c>
      <c r="E13" s="34">
        <f>C35*'E Balans VL '!I23/100/3.6*1000000</f>
        <v>0.7387199888652376</v>
      </c>
      <c r="F13" s="34">
        <f>C35*'E Balans VL '!L23/100/3.6*1000000+C35*'E Balans VL '!N23/100/3.6*1000000</f>
        <v>3.5823256235833507</v>
      </c>
      <c r="G13" s="35"/>
      <c r="H13" s="34"/>
      <c r="I13" s="34"/>
      <c r="J13" s="41">
        <f>C35*'E Balans VL '!D23/100/3.6*1000000+C35*'E Balans VL '!E23/100/3.6*1000000</f>
        <v>0</v>
      </c>
      <c r="K13" s="34"/>
      <c r="L13" s="34"/>
      <c r="M13" s="34"/>
      <c r="N13" s="34">
        <f>C35*'E Balans VL '!Y23/100/3.6*1000000</f>
        <v>7.9805512013184448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36410.648461106801</v>
      </c>
      <c r="C15" s="34"/>
      <c r="D15" s="38">
        <f>IF( ISERROR(IND_rest_gas_kWh/1000),0,IND_rest_gas_kWh/1000)*0.902</f>
        <v>30418.49212857267</v>
      </c>
      <c r="E15" s="34">
        <f>C37*'E Balans VL '!I15/100/3.6*1000000</f>
        <v>327.17483420625541</v>
      </c>
      <c r="F15" s="34">
        <f>C37*'E Balans VL '!L15/100/3.6*1000000+C37*'E Balans VL '!N15/100/3.6*1000000</f>
        <v>7170.0020240062386</v>
      </c>
      <c r="G15" s="35"/>
      <c r="H15" s="34"/>
      <c r="I15" s="34"/>
      <c r="J15" s="41">
        <f>C37*'E Balans VL '!D15/100/3.6*1000000+C37*'E Balans VL '!E15/100/3.6*1000000</f>
        <v>183.1007913391328</v>
      </c>
      <c r="K15" s="34"/>
      <c r="L15" s="34"/>
      <c r="M15" s="34"/>
      <c r="N15" s="34">
        <f>C37*'E Balans VL '!Y15/100/3.6*1000000</f>
        <v>1117.710985295332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58201.299920400284</v>
      </c>
      <c r="C18" s="22">
        <f>C5+C16</f>
        <v>0</v>
      </c>
      <c r="D18" s="22">
        <f>MAX((D5+D16),0)</f>
        <v>32815.300350221434</v>
      </c>
      <c r="E18" s="22">
        <f>MAX((E5+E16),0)</f>
        <v>457.00233711371823</v>
      </c>
      <c r="F18" s="22">
        <f>MAX((F5+F16),0)</f>
        <v>23872.84489479191</v>
      </c>
      <c r="G18" s="22"/>
      <c r="H18" s="22"/>
      <c r="I18" s="22"/>
      <c r="J18" s="22">
        <f>MAX((J5+J16),0)</f>
        <v>194.16338670072994</v>
      </c>
      <c r="K18" s="22"/>
      <c r="L18" s="22">
        <f>MAX((L5+L16),0)</f>
        <v>0</v>
      </c>
      <c r="M18" s="22"/>
      <c r="N18" s="22">
        <f>MAX((N5+N16),0)</f>
        <v>2712.5849178270018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0.20929061071184563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12180.985604563868</v>
      </c>
      <c r="C22" s="24">
        <f ca="1">C18*C20</f>
        <v>0</v>
      </c>
      <c r="D22" s="24">
        <f>D18*D20</f>
        <v>6628.6906707447297</v>
      </c>
      <c r="E22" s="24">
        <f>E18*E20</f>
        <v>103.73953052481404</v>
      </c>
      <c r="F22" s="24">
        <f>F18*F20</f>
        <v>6374.0495869094402</v>
      </c>
      <c r="G22" s="24"/>
      <c r="H22" s="24"/>
      <c r="I22" s="24"/>
      <c r="J22" s="24">
        <f>J18*J20</f>
        <v>68.733838892058401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554.26419081984602</v>
      </c>
      <c r="C30" s="40">
        <f>IF(ISERROR(B30*3.6/1000000/'E Balans VL '!Z18*100),0,B30*3.6/1000000/'E Balans VL '!Z18*100)</f>
        <v>3.0841095886279792E-2</v>
      </c>
      <c r="D30" s="240" t="s">
        <v>707</v>
      </c>
    </row>
    <row r="31" spans="1:18">
      <c r="A31" s="6" t="s">
        <v>33</v>
      </c>
      <c r="B31" s="38">
        <f>IF( ISERROR(IND_ander_ele_kWh/1000),0,IND_ander_ele_kWh/1000)</f>
        <v>20848.726357189302</v>
      </c>
      <c r="C31" s="40">
        <f>IF(ISERROR(B31*3.6/1000000/'E Balans VL '!Z19*100),0,B31*3.6/1000000/'E Balans VL '!Z19*100)</f>
        <v>0.96920253327906614</v>
      </c>
      <c r="D31" s="240" t="s">
        <v>707</v>
      </c>
    </row>
    <row r="32" spans="1:18">
      <c r="A32" s="174" t="s">
        <v>41</v>
      </c>
      <c r="B32" s="38">
        <f>IF( ISERROR(IND_voed_ele_kWh/1000),0,IND_voed_ele_kWh/1000)</f>
        <v>357.599629698466</v>
      </c>
      <c r="C32" s="40">
        <f>IF(ISERROR(B32*3.6/1000000/'E Balans VL '!Z20*100),0,B32*3.6/1000000/'E Balans VL '!Z20*100)</f>
        <v>1.2640424706802982E-2</v>
      </c>
      <c r="D32" s="240" t="s">
        <v>707</v>
      </c>
    </row>
    <row r="33" spans="1:5">
      <c r="A33" s="174" t="s">
        <v>40</v>
      </c>
      <c r="B33" s="38">
        <f>IF( ISERROR(IND_textiel_ele_kWh/1000),0,IND_textiel_ele_kWh/1000)</f>
        <v>8.3734206492877998</v>
      </c>
      <c r="C33" s="40">
        <f>IF(ISERROR(B33*3.6/1000000/'E Balans VL '!Z21*100),0,B33*3.6/1000000/'E Balans VL '!Z21*100)</f>
        <v>1.1309575164405461E-3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21.6878609365796</v>
      </c>
      <c r="C35" s="40">
        <f>IF(ISERROR(B35*3.6/1000000/'E Balans VL '!Z22*100),0,B35*3.6/1000000/'E Balans VL '!Z22*100)</f>
        <v>4.3586484712356674E-3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36410.648461106801</v>
      </c>
      <c r="C37" s="40">
        <f>IF(ISERROR(B37*3.6/1000000/'E Balans VL '!Z15*100),0,B37*3.6/1000000/'E Balans VL '!Z15*100)</f>
        <v>0.27495418254248172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734.95807394058897</v>
      </c>
      <c r="C5" s="18">
        <f>'Eigen informatie GS &amp; warmtenet'!B60</f>
        <v>0</v>
      </c>
      <c r="D5" s="31">
        <f>IF(ISERROR(SUM(LB_lb_gas_kWh,LB_rest_gas_kWh)/1000),0,SUM(LB_lb_gas_kWh,LB_rest_gas_kWh)/1000)*0.902</f>
        <v>2588.413762328737</v>
      </c>
      <c r="E5" s="18">
        <f>B17*'E Balans VL '!I25/3.6*1000000/100</f>
        <v>6.9237974945833818</v>
      </c>
      <c r="F5" s="18">
        <f>B17*('E Balans VL '!L25/3.6*1000000+'E Balans VL '!N25/3.6*1000000)/100</f>
        <v>2398.4121064318083</v>
      </c>
      <c r="G5" s="19"/>
      <c r="H5" s="18"/>
      <c r="I5" s="18"/>
      <c r="J5" s="18">
        <f>('E Balans VL '!D25+'E Balans VL '!E25)/3.6*1000000*landbouw!B17/100</f>
        <v>90.917888581835811</v>
      </c>
      <c r="K5" s="18"/>
      <c r="L5" s="18">
        <f>L6*(-1)</f>
        <v>0</v>
      </c>
      <c r="M5" s="18"/>
      <c r="N5" s="18">
        <f>N6*(-1)</f>
        <v>14541.428571428572</v>
      </c>
      <c r="O5" s="18"/>
      <c r="P5" s="18"/>
      <c r="R5" s="33"/>
    </row>
    <row r="6" spans="1:18">
      <c r="A6" s="17" t="s">
        <v>502</v>
      </c>
      <c r="B6" s="18" t="s">
        <v>211</v>
      </c>
      <c r="C6" s="18">
        <f>'lokale energieproductie'!O92+'lokale energieproductie'!O61</f>
        <v>7270.7142857142862</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-14541.428571428572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734.95807394058897</v>
      </c>
      <c r="C8" s="22">
        <f>C5+C6</f>
        <v>7270.7142857142862</v>
      </c>
      <c r="D8" s="22">
        <f>MAX((D5+D6),0)</f>
        <v>2588.413762328737</v>
      </c>
      <c r="E8" s="22">
        <f>MAX((E5+E6),0)</f>
        <v>6.9237974945833818</v>
      </c>
      <c r="F8" s="22">
        <f>MAX((F5+F6),0)</f>
        <v>2398.4121064318083</v>
      </c>
      <c r="G8" s="22"/>
      <c r="H8" s="22"/>
      <c r="I8" s="22"/>
      <c r="J8" s="22">
        <f>MAX((J5+J6),0)</f>
        <v>90.917888581835811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0.20929061071184563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153.81982414262765</v>
      </c>
      <c r="C12" s="24">
        <f ca="1">C8*C10</f>
        <v>0</v>
      </c>
      <c r="D12" s="24">
        <f>D8*D10</f>
        <v>522.85957999040488</v>
      </c>
      <c r="E12" s="24">
        <f>E8*E10</f>
        <v>1.5717020312704277</v>
      </c>
      <c r="F12" s="24">
        <f>F8*F10</f>
        <v>640.37603241729289</v>
      </c>
      <c r="G12" s="24"/>
      <c r="H12" s="24"/>
      <c r="I12" s="24"/>
      <c r="J12" s="24">
        <f>J8*J10</f>
        <v>32.184932557969873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9.9501578956962405E-2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108.94237989224686</v>
      </c>
      <c r="C26" s="250">
        <f>B26*'GWP N2O_CH4'!B5</f>
        <v>2287.789977737184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28.562372486670291</v>
      </c>
      <c r="C27" s="250">
        <f>B27*'GWP N2O_CH4'!B5</f>
        <v>599.80982222007617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1.4267176626921523</v>
      </c>
      <c r="C28" s="250">
        <f>B28*'GWP N2O_CH4'!B4</f>
        <v>442.28247543456723</v>
      </c>
      <c r="D28" s="51"/>
    </row>
    <row r="29" spans="1:4">
      <c r="A29" s="42" t="s">
        <v>277</v>
      </c>
      <c r="B29" s="250">
        <f>B34*'ha_N2O bodem landbouw'!B4</f>
        <v>8.8852527800202914</v>
      </c>
      <c r="C29" s="250">
        <f>B29*'GWP N2O_CH4'!B4</f>
        <v>2754.4283618062905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2.3987385404770378E-3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4.7162182658343468E-5</v>
      </c>
      <c r="C5" s="447" t="s">
        <v>211</v>
      </c>
      <c r="D5" s="432">
        <f>SUM(D6:D11)</f>
        <v>1.3932789215540767E-4</v>
      </c>
      <c r="E5" s="432">
        <f>SUM(E6:E11)</f>
        <v>8.6530247932460943E-3</v>
      </c>
      <c r="F5" s="445" t="s">
        <v>211</v>
      </c>
      <c r="G5" s="432">
        <f>SUM(G6:G11)</f>
        <v>1.653433763138056</v>
      </c>
      <c r="H5" s="432">
        <f>SUM(H6:H11)</f>
        <v>0.3136796997543852</v>
      </c>
      <c r="I5" s="447" t="s">
        <v>211</v>
      </c>
      <c r="J5" s="447" t="s">
        <v>211</v>
      </c>
      <c r="K5" s="447" t="s">
        <v>211</v>
      </c>
      <c r="L5" s="447" t="s">
        <v>211</v>
      </c>
      <c r="M5" s="432">
        <f>SUM(M6:M11)</f>
        <v>8.7976560401021017E-2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1.8313667105965431E-5</v>
      </c>
      <c r="C6" s="433"/>
      <c r="D6" s="433">
        <f>vkm_2011_GW_PW*SUMIFS(TableVerdeelsleutelVkm[CNG],TableVerdeelsleutelVkm[Voertuigtype],"Lichte voertuigen")*SUMIFS(TableECFTransport[EnergieConsumptieFactor (PJ per km)],TableECFTransport[Index],CONCATENATE($A6,"_CNG_CNG"))</f>
        <v>4.4722281773700065E-5</v>
      </c>
      <c r="E6" s="435">
        <f>vkm_2011_GW_PW*SUMIFS(TableVerdeelsleutelVkm[LPG],TableVerdeelsleutelVkm[Voertuigtype],"Lichte voertuigen")*SUMIFS(TableECFTransport[EnergieConsumptieFactor (PJ per km)],TableECFTransport[Index],CONCATENATE($A6,"_LPG_LPG"))</f>
        <v>2.6509057450081405E-3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0.3832196093080637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0.10043084990421122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2.1658758260476339E-2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0.18365950572205753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7.409945027657351E-5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8.181974156064472E-3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1.1701877913131127E-5</v>
      </c>
      <c r="C8" s="433"/>
      <c r="D8" s="435">
        <f>vkm_2011_NGW_PW*SUMIFS(TableVerdeelsleutelVkm[CNG],TableVerdeelsleutelVkm[Voertuigtype],"Lichte voertuigen")*SUMIFS(TableECFTransport[EnergieConsumptieFactor (PJ per km)],TableECFTransport[Index],CONCATENATE($A8,"_CNG_CNG"))</f>
        <v>5.127052533918701E-5</v>
      </c>
      <c r="E8" s="435">
        <f>vkm_2011_NGW_PW*SUMIFS(TableVerdeelsleutelVkm[LPG],TableVerdeelsleutelVkm[Voertuigtype],"Lichte voertuigen")*SUMIFS(TableECFTransport[EnergieConsumptieFactor (PJ per km)],TableECFTransport[Index],CONCATENATE($A8,"_LPG_LPG"))</f>
        <v>2.7880252537980962E-3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0.38074757063513631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0.11025385959928553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2.1997960996164564E-2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9.8689722835827831E-2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3.4668883274458729E-5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4.3963611320998507E-3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1.7146637639246909E-5</v>
      </c>
      <c r="C10" s="433"/>
      <c r="D10" s="435">
        <f>vkm_2011_SW_PW*SUMIFS(TableVerdeelsleutelVkm[CNG],TableVerdeelsleutelVkm[Voertuigtype],"Lichte voertuigen")*SUMIFS(TableECFTransport[EnergieConsumptieFactor (PJ per km)],TableECFTransport[Index],CONCATENATE($A10,"_CNG_CNG"))</f>
        <v>4.333508504252061E-5</v>
      </c>
      <c r="E10" s="435">
        <f>vkm_2011_SW_PW*SUMIFS(TableVerdeelsleutelVkm[LPG],TableVerdeelsleutelVkm[Voertuigtype],"Lichte voertuigen")*SUMIFS(TableECFTransport[EnergieConsumptieFactor (PJ per km)],TableECFTransport[Index],CONCATENATE($A10,"_LPG_LPG"))</f>
        <v>3.2140937944398567E-3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0.42343888088351822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0.10280759809047994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2.355848009391712E-2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0.18367847375345242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7.8623826857497669E-5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8.18302576229866E-3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13.100606293984296</v>
      </c>
      <c r="C14" s="22"/>
      <c r="D14" s="22">
        <f t="shared" ref="D14:M14" si="0">((D5)*10^9/3600)+D12</f>
        <v>38.70219226539102</v>
      </c>
      <c r="E14" s="22">
        <f t="shared" si="0"/>
        <v>2403.6179981239152</v>
      </c>
      <c r="F14" s="22"/>
      <c r="G14" s="22">
        <f t="shared" si="0"/>
        <v>459287.15642723779</v>
      </c>
      <c r="H14" s="22">
        <f t="shared" si="0"/>
        <v>87133.249931773666</v>
      </c>
      <c r="I14" s="22"/>
      <c r="J14" s="22"/>
      <c r="K14" s="22"/>
      <c r="L14" s="22"/>
      <c r="M14" s="22">
        <f t="shared" si="0"/>
        <v>24437.93344472806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0.20929061071184563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2.741833891963422</v>
      </c>
      <c r="C18" s="24"/>
      <c r="D18" s="24">
        <f t="shared" ref="D18:M18" si="1">D14*D16</f>
        <v>7.8178428376089864</v>
      </c>
      <c r="E18" s="24">
        <f t="shared" si="1"/>
        <v>545.62128557412882</v>
      </c>
      <c r="F18" s="24"/>
      <c r="G18" s="24">
        <f t="shared" si="1"/>
        <v>122629.67076607249</v>
      </c>
      <c r="H18" s="24">
        <f t="shared" si="1"/>
        <v>21696.179233011644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1.4606946511084285E-2</v>
      </c>
      <c r="H50" s="323">
        <f t="shared" si="2"/>
        <v>0</v>
      </c>
      <c r="I50" s="323">
        <f t="shared" si="2"/>
        <v>0</v>
      </c>
      <c r="J50" s="323">
        <f t="shared" si="2"/>
        <v>0</v>
      </c>
      <c r="K50" s="323">
        <f t="shared" si="2"/>
        <v>0</v>
      </c>
      <c r="L50" s="323">
        <f t="shared" si="2"/>
        <v>0</v>
      </c>
      <c r="M50" s="323">
        <f t="shared" si="2"/>
        <v>6.4141511696719114E-4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1.4606946511084285E-2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6.4141511696719114E-4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4057.4851419678566</v>
      </c>
      <c r="H54" s="22">
        <f t="shared" si="3"/>
        <v>0</v>
      </c>
      <c r="I54" s="22">
        <f t="shared" si="3"/>
        <v>0</v>
      </c>
      <c r="J54" s="22">
        <f t="shared" si="3"/>
        <v>0</v>
      </c>
      <c r="K54" s="22">
        <f t="shared" si="3"/>
        <v>0</v>
      </c>
      <c r="L54" s="22">
        <f t="shared" si="3"/>
        <v>0</v>
      </c>
      <c r="M54" s="22">
        <f t="shared" si="3"/>
        <v>178.17086582421976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0.20929061071184563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1083.3485329054179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106451.90378568516</v>
      </c>
      <c r="D10" s="688">
        <f ca="1">tertiair!C16</f>
        <v>0</v>
      </c>
      <c r="E10" s="688">
        <f ca="1">tertiair!D16</f>
        <v>92229.498794123181</v>
      </c>
      <c r="F10" s="688">
        <f>tertiair!E16</f>
        <v>1007.5116266103909</v>
      </c>
      <c r="G10" s="688">
        <f ca="1">tertiair!F16</f>
        <v>21167.253254805481</v>
      </c>
      <c r="H10" s="688">
        <f>tertiair!G16</f>
        <v>0</v>
      </c>
      <c r="I10" s="688">
        <f>tertiair!H16</f>
        <v>0</v>
      </c>
      <c r="J10" s="688">
        <f>tertiair!I16</f>
        <v>0</v>
      </c>
      <c r="K10" s="688">
        <f>tertiair!J16</f>
        <v>0</v>
      </c>
      <c r="L10" s="688">
        <f>tertiair!K16</f>
        <v>0</v>
      </c>
      <c r="M10" s="688">
        <f ca="1">tertiair!L16</f>
        <v>0</v>
      </c>
      <c r="N10" s="688">
        <f>tertiair!M16</f>
        <v>0</v>
      </c>
      <c r="O10" s="688">
        <f ca="1">tertiair!N16</f>
        <v>6176.4362701449609</v>
      </c>
      <c r="P10" s="688">
        <f>tertiair!O16</f>
        <v>0</v>
      </c>
      <c r="Q10" s="689">
        <f>tertiair!P16</f>
        <v>0</v>
      </c>
      <c r="R10" s="691">
        <f ca="1">SUM(C10:Q10)</f>
        <v>227032.60373136919</v>
      </c>
      <c r="S10" s="68"/>
    </row>
    <row r="11" spans="1:19" s="457" customFormat="1">
      <c r="A11" s="803" t="s">
        <v>225</v>
      </c>
      <c r="B11" s="808"/>
      <c r="C11" s="688">
        <f>huishoudens!B8</f>
        <v>62986.810121260984</v>
      </c>
      <c r="D11" s="688">
        <f>huishoudens!C8</f>
        <v>0</v>
      </c>
      <c r="E11" s="688">
        <f>huishoudens!D8</f>
        <v>181220.19593368215</v>
      </c>
      <c r="F11" s="688">
        <f>huishoudens!E8</f>
        <v>4167.9966115662592</v>
      </c>
      <c r="G11" s="688">
        <f>huishoudens!F8</f>
        <v>7287.9652797340068</v>
      </c>
      <c r="H11" s="688">
        <f>huishoudens!G8</f>
        <v>0</v>
      </c>
      <c r="I11" s="688">
        <f>huishoudens!H8</f>
        <v>0</v>
      </c>
      <c r="J11" s="688">
        <f>huishoudens!I8</f>
        <v>0</v>
      </c>
      <c r="K11" s="688">
        <f>huishoudens!J8</f>
        <v>0</v>
      </c>
      <c r="L11" s="688">
        <f>huishoudens!K8</f>
        <v>0</v>
      </c>
      <c r="M11" s="688">
        <f>huishoudens!L8</f>
        <v>0</v>
      </c>
      <c r="N11" s="688">
        <f>huishoudens!M8</f>
        <v>0</v>
      </c>
      <c r="O11" s="688">
        <f>huishoudens!N8</f>
        <v>17534.943502084036</v>
      </c>
      <c r="P11" s="688">
        <f>huishoudens!O8</f>
        <v>110.99666666666667</v>
      </c>
      <c r="Q11" s="689">
        <f>huishoudens!P8</f>
        <v>343.2</v>
      </c>
      <c r="R11" s="691">
        <f>SUM(C11:Q11)</f>
        <v>273652.10811499407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58201.299920400284</v>
      </c>
      <c r="D13" s="688">
        <f>industrie!C18</f>
        <v>0</v>
      </c>
      <c r="E13" s="688">
        <f>industrie!D18</f>
        <v>32815.300350221434</v>
      </c>
      <c r="F13" s="688">
        <f>industrie!E18</f>
        <v>457.00233711371823</v>
      </c>
      <c r="G13" s="688">
        <f>industrie!F18</f>
        <v>23872.84489479191</v>
      </c>
      <c r="H13" s="688">
        <f>industrie!G18</f>
        <v>0</v>
      </c>
      <c r="I13" s="688">
        <f>industrie!H18</f>
        <v>0</v>
      </c>
      <c r="J13" s="688">
        <f>industrie!I18</f>
        <v>0</v>
      </c>
      <c r="K13" s="688">
        <f>industrie!J18</f>
        <v>194.16338670072994</v>
      </c>
      <c r="L13" s="688">
        <f>industrie!K18</f>
        <v>0</v>
      </c>
      <c r="M13" s="688">
        <f>industrie!L18</f>
        <v>0</v>
      </c>
      <c r="N13" s="688">
        <f>industrie!M18</f>
        <v>0</v>
      </c>
      <c r="O13" s="688">
        <f>industrie!N18</f>
        <v>2712.5849178270018</v>
      </c>
      <c r="P13" s="688">
        <f>industrie!O18</f>
        <v>0</v>
      </c>
      <c r="Q13" s="689">
        <f>industrie!P18</f>
        <v>0</v>
      </c>
      <c r="R13" s="691">
        <f>SUM(C13:Q13)</f>
        <v>118253.19580705508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227640.01382734644</v>
      </c>
      <c r="D16" s="721">
        <f t="shared" ref="D16:R16" ca="1" si="0">SUM(D9:D15)</f>
        <v>0</v>
      </c>
      <c r="E16" s="721">
        <f t="shared" ca="1" si="0"/>
        <v>306264.99507802678</v>
      </c>
      <c r="F16" s="721">
        <f t="shared" si="0"/>
        <v>5632.5105752903683</v>
      </c>
      <c r="G16" s="721">
        <f t="shared" ca="1" si="0"/>
        <v>52328.063429331392</v>
      </c>
      <c r="H16" s="721">
        <f t="shared" si="0"/>
        <v>0</v>
      </c>
      <c r="I16" s="721">
        <f t="shared" si="0"/>
        <v>0</v>
      </c>
      <c r="J16" s="721">
        <f t="shared" si="0"/>
        <v>0</v>
      </c>
      <c r="K16" s="721">
        <f t="shared" si="0"/>
        <v>194.16338670072994</v>
      </c>
      <c r="L16" s="721">
        <f t="shared" si="0"/>
        <v>0</v>
      </c>
      <c r="M16" s="721">
        <f t="shared" ca="1" si="0"/>
        <v>0</v>
      </c>
      <c r="N16" s="721">
        <f t="shared" si="0"/>
        <v>0</v>
      </c>
      <c r="O16" s="721">
        <f t="shared" ca="1" si="0"/>
        <v>26423.964690055996</v>
      </c>
      <c r="P16" s="721">
        <f t="shared" si="0"/>
        <v>110.99666666666667</v>
      </c>
      <c r="Q16" s="721">
        <f t="shared" si="0"/>
        <v>343.2</v>
      </c>
      <c r="R16" s="721">
        <f t="shared" ca="1" si="0"/>
        <v>618937.90765341837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4057.4851419678566</v>
      </c>
      <c r="I19" s="688">
        <f>transport!H54</f>
        <v>0</v>
      </c>
      <c r="J19" s="688">
        <f>transport!I54</f>
        <v>0</v>
      </c>
      <c r="K19" s="688">
        <f>transport!J54</f>
        <v>0</v>
      </c>
      <c r="L19" s="688">
        <f>transport!K54</f>
        <v>0</v>
      </c>
      <c r="M19" s="688">
        <f>transport!L54</f>
        <v>0</v>
      </c>
      <c r="N19" s="688">
        <f>transport!M54</f>
        <v>178.17086582421976</v>
      </c>
      <c r="O19" s="688">
        <f>transport!N54</f>
        <v>0</v>
      </c>
      <c r="P19" s="688">
        <f>transport!O54</f>
        <v>0</v>
      </c>
      <c r="Q19" s="689">
        <f>transport!P54</f>
        <v>0</v>
      </c>
      <c r="R19" s="691">
        <f>SUM(C19:Q19)</f>
        <v>4235.6560077920767</v>
      </c>
      <c r="S19" s="68"/>
    </row>
    <row r="20" spans="1:19" s="457" customFormat="1">
      <c r="A20" s="803" t="s">
        <v>307</v>
      </c>
      <c r="B20" s="808"/>
      <c r="C20" s="688">
        <f>transport!B14</f>
        <v>13.100606293984296</v>
      </c>
      <c r="D20" s="688">
        <f>transport!C14</f>
        <v>0</v>
      </c>
      <c r="E20" s="688">
        <f>transport!D14</f>
        <v>38.70219226539102</v>
      </c>
      <c r="F20" s="688">
        <f>transport!E14</f>
        <v>2403.6179981239152</v>
      </c>
      <c r="G20" s="688">
        <f>transport!F14</f>
        <v>0</v>
      </c>
      <c r="H20" s="688">
        <f>transport!G14</f>
        <v>459287.15642723779</v>
      </c>
      <c r="I20" s="688">
        <f>transport!H14</f>
        <v>87133.249931773666</v>
      </c>
      <c r="J20" s="688">
        <f>transport!I14</f>
        <v>0</v>
      </c>
      <c r="K20" s="688">
        <f>transport!J14</f>
        <v>0</v>
      </c>
      <c r="L20" s="688">
        <f>transport!K14</f>
        <v>0</v>
      </c>
      <c r="M20" s="688">
        <f>transport!L14</f>
        <v>0</v>
      </c>
      <c r="N20" s="688">
        <f>transport!M14</f>
        <v>24437.93344472806</v>
      </c>
      <c r="O20" s="688">
        <f>transport!N14</f>
        <v>0</v>
      </c>
      <c r="P20" s="688">
        <f>transport!O14</f>
        <v>0</v>
      </c>
      <c r="Q20" s="689">
        <f>transport!P14</f>
        <v>0</v>
      </c>
      <c r="R20" s="691">
        <f>SUM(C20:Q20)</f>
        <v>573313.76060042274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13.100606293984296</v>
      </c>
      <c r="D22" s="806">
        <f t="shared" ref="D22:R22" si="1">SUM(D18:D21)</f>
        <v>0</v>
      </c>
      <c r="E22" s="806">
        <f t="shared" si="1"/>
        <v>38.70219226539102</v>
      </c>
      <c r="F22" s="806">
        <f t="shared" si="1"/>
        <v>2403.6179981239152</v>
      </c>
      <c r="G22" s="806">
        <f t="shared" si="1"/>
        <v>0</v>
      </c>
      <c r="H22" s="806">
        <f t="shared" si="1"/>
        <v>463344.64156920562</v>
      </c>
      <c r="I22" s="806">
        <f t="shared" si="1"/>
        <v>87133.249931773666</v>
      </c>
      <c r="J22" s="806">
        <f t="shared" si="1"/>
        <v>0</v>
      </c>
      <c r="K22" s="806">
        <f t="shared" si="1"/>
        <v>0</v>
      </c>
      <c r="L22" s="806">
        <f t="shared" si="1"/>
        <v>0</v>
      </c>
      <c r="M22" s="806">
        <f t="shared" si="1"/>
        <v>0</v>
      </c>
      <c r="N22" s="806">
        <f t="shared" si="1"/>
        <v>24616.10431055228</v>
      </c>
      <c r="O22" s="806">
        <f t="shared" si="1"/>
        <v>0</v>
      </c>
      <c r="P22" s="806">
        <f t="shared" si="1"/>
        <v>0</v>
      </c>
      <c r="Q22" s="806">
        <f t="shared" si="1"/>
        <v>0</v>
      </c>
      <c r="R22" s="806">
        <f t="shared" si="1"/>
        <v>577549.41660821484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734.95807394058897</v>
      </c>
      <c r="D24" s="688">
        <f>+landbouw!C8</f>
        <v>7270.7142857142862</v>
      </c>
      <c r="E24" s="688">
        <f>+landbouw!D8</f>
        <v>2588.413762328737</v>
      </c>
      <c r="F24" s="688">
        <f>+landbouw!E8</f>
        <v>6.9237974945833818</v>
      </c>
      <c r="G24" s="688">
        <f>+landbouw!F8</f>
        <v>2398.4121064318083</v>
      </c>
      <c r="H24" s="688">
        <f>+landbouw!G8</f>
        <v>0</v>
      </c>
      <c r="I24" s="688">
        <f>+landbouw!H8</f>
        <v>0</v>
      </c>
      <c r="J24" s="688">
        <f>+landbouw!I8</f>
        <v>0</v>
      </c>
      <c r="K24" s="688">
        <f>+landbouw!J8</f>
        <v>90.917888581835811</v>
      </c>
      <c r="L24" s="688">
        <f>+landbouw!K8</f>
        <v>0</v>
      </c>
      <c r="M24" s="688">
        <f>+landbouw!L8</f>
        <v>0</v>
      </c>
      <c r="N24" s="688">
        <f>+landbouw!M8</f>
        <v>0</v>
      </c>
      <c r="O24" s="688">
        <f>+landbouw!N8</f>
        <v>0</v>
      </c>
      <c r="P24" s="688">
        <f>+landbouw!O8</f>
        <v>0</v>
      </c>
      <c r="Q24" s="689">
        <f>+landbouw!P8</f>
        <v>0</v>
      </c>
      <c r="R24" s="691">
        <f>SUM(C24:Q24)</f>
        <v>13090.339914491838</v>
      </c>
      <c r="S24" s="68"/>
    </row>
    <row r="25" spans="1:19" s="457" customFormat="1" ht="15" thickBot="1">
      <c r="A25" s="825" t="s">
        <v>912</v>
      </c>
      <c r="B25" s="1001"/>
      <c r="C25" s="1002">
        <f>IF(Onbekend_ele_kWh="---",0,Onbekend_ele_kWh)/1000+IF(REST_rest_ele_kWh="---",0,REST_rest_ele_kWh)/1000</f>
        <v>2473.1505599765001</v>
      </c>
      <c r="D25" s="1002"/>
      <c r="E25" s="1002">
        <f>IF(onbekend_gas_kWh="---",0,onbekend_gas_kWh)/1000+IF(REST_rest_gas_kWh="---",0,REST_rest_gas_kWh)/1000</f>
        <v>10492.278151430201</v>
      </c>
      <c r="F25" s="1002"/>
      <c r="G25" s="1002"/>
      <c r="H25" s="1002"/>
      <c r="I25" s="1002"/>
      <c r="J25" s="1002"/>
      <c r="K25" s="1002"/>
      <c r="L25" s="1002"/>
      <c r="M25" s="1002"/>
      <c r="N25" s="1002"/>
      <c r="O25" s="1002"/>
      <c r="P25" s="1002"/>
      <c r="Q25" s="1003"/>
      <c r="R25" s="691">
        <f>SUM(C25:Q25)</f>
        <v>12965.428711406701</v>
      </c>
      <c r="S25" s="68"/>
    </row>
    <row r="26" spans="1:19" s="457" customFormat="1" ht="15.75" thickBot="1">
      <c r="A26" s="694" t="s">
        <v>913</v>
      </c>
      <c r="B26" s="811"/>
      <c r="C26" s="806">
        <f>SUM(C24:C25)</f>
        <v>3208.1086339170888</v>
      </c>
      <c r="D26" s="806">
        <f t="shared" ref="D26:R26" si="2">SUM(D24:D25)</f>
        <v>7270.7142857142862</v>
      </c>
      <c r="E26" s="806">
        <f t="shared" si="2"/>
        <v>13080.691913758938</v>
      </c>
      <c r="F26" s="806">
        <f t="shared" si="2"/>
        <v>6.9237974945833818</v>
      </c>
      <c r="G26" s="806">
        <f t="shared" si="2"/>
        <v>2398.4121064318083</v>
      </c>
      <c r="H26" s="806">
        <f t="shared" si="2"/>
        <v>0</v>
      </c>
      <c r="I26" s="806">
        <f t="shared" si="2"/>
        <v>0</v>
      </c>
      <c r="J26" s="806">
        <f t="shared" si="2"/>
        <v>0</v>
      </c>
      <c r="K26" s="806">
        <f t="shared" si="2"/>
        <v>90.917888581835811</v>
      </c>
      <c r="L26" s="806">
        <f t="shared" si="2"/>
        <v>0</v>
      </c>
      <c r="M26" s="806">
        <f t="shared" si="2"/>
        <v>0</v>
      </c>
      <c r="N26" s="806">
        <f t="shared" si="2"/>
        <v>0</v>
      </c>
      <c r="O26" s="806">
        <f t="shared" si="2"/>
        <v>0</v>
      </c>
      <c r="P26" s="806">
        <f t="shared" si="2"/>
        <v>0</v>
      </c>
      <c r="Q26" s="806">
        <f t="shared" si="2"/>
        <v>0</v>
      </c>
      <c r="R26" s="806">
        <f t="shared" si="2"/>
        <v>26055.768625898541</v>
      </c>
      <c r="S26" s="68"/>
    </row>
    <row r="27" spans="1:19" s="457" customFormat="1" ht="17.25" thickTop="1" thickBot="1">
      <c r="A27" s="695" t="s">
        <v>116</v>
      </c>
      <c r="B27" s="798"/>
      <c r="C27" s="696">
        <f ca="1">C22+C16+C26</f>
        <v>230861.2230675575</v>
      </c>
      <c r="D27" s="696">
        <f t="shared" ref="D27:R27" ca="1" si="3">D22+D16+D26</f>
        <v>7270.7142857142862</v>
      </c>
      <c r="E27" s="696">
        <f t="shared" ca="1" si="3"/>
        <v>319384.38918405108</v>
      </c>
      <c r="F27" s="696">
        <f t="shared" si="3"/>
        <v>8043.0523709088675</v>
      </c>
      <c r="G27" s="696">
        <f t="shared" ca="1" si="3"/>
        <v>54726.475535763202</v>
      </c>
      <c r="H27" s="696">
        <f t="shared" si="3"/>
        <v>463344.64156920562</v>
      </c>
      <c r="I27" s="696">
        <f t="shared" si="3"/>
        <v>87133.249931773666</v>
      </c>
      <c r="J27" s="696">
        <f t="shared" si="3"/>
        <v>0</v>
      </c>
      <c r="K27" s="696">
        <f t="shared" si="3"/>
        <v>285.08127528256574</v>
      </c>
      <c r="L27" s="696">
        <f t="shared" si="3"/>
        <v>0</v>
      </c>
      <c r="M27" s="696">
        <f t="shared" ca="1" si="3"/>
        <v>0</v>
      </c>
      <c r="N27" s="696">
        <f t="shared" si="3"/>
        <v>24616.10431055228</v>
      </c>
      <c r="O27" s="696">
        <f t="shared" ca="1" si="3"/>
        <v>26423.964690055996</v>
      </c>
      <c r="P27" s="696">
        <f t="shared" si="3"/>
        <v>110.99666666666667</v>
      </c>
      <c r="Q27" s="696">
        <f t="shared" si="3"/>
        <v>343.2</v>
      </c>
      <c r="R27" s="696">
        <f t="shared" ca="1" si="3"/>
        <v>1222543.0928875317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22279.383954744681</v>
      </c>
      <c r="D40" s="688">
        <f ca="1">tertiair!C20</f>
        <v>0</v>
      </c>
      <c r="E40" s="688">
        <f ca="1">tertiair!D20</f>
        <v>18630.358756412883</v>
      </c>
      <c r="F40" s="688">
        <f>tertiair!E20</f>
        <v>228.70513924055874</v>
      </c>
      <c r="G40" s="688">
        <f ca="1">tertiair!F20</f>
        <v>5651.6566190330632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46790.104469431186</v>
      </c>
    </row>
    <row r="41" spans="1:18">
      <c r="A41" s="816" t="s">
        <v>225</v>
      </c>
      <c r="B41" s="823"/>
      <c r="C41" s="688">
        <f ca="1">huishoudens!B12</f>
        <v>13182.54795706977</v>
      </c>
      <c r="D41" s="688">
        <f ca="1">huishoudens!C12</f>
        <v>0</v>
      </c>
      <c r="E41" s="688">
        <f>huishoudens!D12</f>
        <v>36606.479578603794</v>
      </c>
      <c r="F41" s="688">
        <f>huishoudens!E12</f>
        <v>946.13523082554082</v>
      </c>
      <c r="G41" s="688">
        <f>huishoudens!F12</f>
        <v>1945.8867296889798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52681.049496188083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12180.985604563868</v>
      </c>
      <c r="D43" s="688">
        <f ca="1">industrie!C22</f>
        <v>0</v>
      </c>
      <c r="E43" s="688">
        <f>industrie!D22</f>
        <v>6628.6906707447297</v>
      </c>
      <c r="F43" s="688">
        <f>industrie!E22</f>
        <v>103.73953052481404</v>
      </c>
      <c r="G43" s="688">
        <f>industrie!F22</f>
        <v>6374.0495869094402</v>
      </c>
      <c r="H43" s="688">
        <f>industrie!G22</f>
        <v>0</v>
      </c>
      <c r="I43" s="688">
        <f>industrie!H22</f>
        <v>0</v>
      </c>
      <c r="J43" s="688">
        <f>industrie!I22</f>
        <v>0</v>
      </c>
      <c r="K43" s="688">
        <f>industrie!J22</f>
        <v>68.733838892058401</v>
      </c>
      <c r="L43" s="688">
        <f>industrie!K22</f>
        <v>0</v>
      </c>
      <c r="M43" s="688">
        <f>industrie!L22</f>
        <v>0</v>
      </c>
      <c r="N43" s="688">
        <f>industrie!M22</f>
        <v>0</v>
      </c>
      <c r="O43" s="688">
        <f>industrie!N22</f>
        <v>0</v>
      </c>
      <c r="P43" s="688">
        <f>industrie!O22</f>
        <v>0</v>
      </c>
      <c r="Q43" s="763">
        <f>industrie!P22</f>
        <v>0</v>
      </c>
      <c r="R43" s="843">
        <f t="shared" ca="1" si="4"/>
        <v>25356.19923163491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47642.917516378315</v>
      </c>
      <c r="D46" s="721">
        <f t="shared" ref="D46:Q46" ca="1" si="5">SUM(D39:D45)</f>
        <v>0</v>
      </c>
      <c r="E46" s="721">
        <f t="shared" ca="1" si="5"/>
        <v>61865.529005761404</v>
      </c>
      <c r="F46" s="721">
        <f t="shared" si="5"/>
        <v>1278.5799005909134</v>
      </c>
      <c r="G46" s="721">
        <f t="shared" ca="1" si="5"/>
        <v>13971.592935631485</v>
      </c>
      <c r="H46" s="721">
        <f t="shared" si="5"/>
        <v>0</v>
      </c>
      <c r="I46" s="721">
        <f t="shared" si="5"/>
        <v>0</v>
      </c>
      <c r="J46" s="721">
        <f t="shared" si="5"/>
        <v>0</v>
      </c>
      <c r="K46" s="721">
        <f t="shared" si="5"/>
        <v>68.733838892058401</v>
      </c>
      <c r="L46" s="721">
        <f t="shared" si="5"/>
        <v>0</v>
      </c>
      <c r="M46" s="721">
        <f t="shared" ca="1" si="5"/>
        <v>0</v>
      </c>
      <c r="N46" s="721">
        <f t="shared" si="5"/>
        <v>0</v>
      </c>
      <c r="O46" s="721">
        <f t="shared" ca="1" si="5"/>
        <v>0</v>
      </c>
      <c r="P46" s="721">
        <f t="shared" si="5"/>
        <v>0</v>
      </c>
      <c r="Q46" s="721">
        <f t="shared" si="5"/>
        <v>0</v>
      </c>
      <c r="R46" s="721">
        <f ca="1">SUM(R39:R45)</f>
        <v>124827.35319725418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1083.3485329054179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1083.3485329054179</v>
      </c>
    </row>
    <row r="50" spans="1:18">
      <c r="A50" s="819" t="s">
        <v>307</v>
      </c>
      <c r="B50" s="829"/>
      <c r="C50" s="1008">
        <f ca="1">transport!B18</f>
        <v>2.741833891963422</v>
      </c>
      <c r="D50" s="1008">
        <f>transport!C18</f>
        <v>0</v>
      </c>
      <c r="E50" s="1008">
        <f>transport!D18</f>
        <v>7.8178428376089864</v>
      </c>
      <c r="F50" s="1008">
        <f>transport!E18</f>
        <v>545.62128557412882</v>
      </c>
      <c r="G50" s="1008">
        <f>transport!F18</f>
        <v>0</v>
      </c>
      <c r="H50" s="1008">
        <f>transport!G18</f>
        <v>122629.67076607249</v>
      </c>
      <c r="I50" s="1008">
        <f>transport!H18</f>
        <v>21696.179233011644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144882.03096138785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2.741833891963422</v>
      </c>
      <c r="D52" s="721">
        <f t="shared" ref="D52:Q52" ca="1" si="6">SUM(D48:D51)</f>
        <v>0</v>
      </c>
      <c r="E52" s="721">
        <f t="shared" si="6"/>
        <v>7.8178428376089864</v>
      </c>
      <c r="F52" s="721">
        <f t="shared" si="6"/>
        <v>545.62128557412882</v>
      </c>
      <c r="G52" s="721">
        <f t="shared" si="6"/>
        <v>0</v>
      </c>
      <c r="H52" s="721">
        <f t="shared" si="6"/>
        <v>123713.01929897792</v>
      </c>
      <c r="I52" s="721">
        <f t="shared" si="6"/>
        <v>21696.179233011644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145965.37949429327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153.81982414262765</v>
      </c>
      <c r="D54" s="1008">
        <f ca="1">+landbouw!C12</f>
        <v>0</v>
      </c>
      <c r="E54" s="1008">
        <f>+landbouw!D12</f>
        <v>522.85957999040488</v>
      </c>
      <c r="F54" s="1008">
        <f>+landbouw!E12</f>
        <v>1.5717020312704277</v>
      </c>
      <c r="G54" s="1008">
        <f>+landbouw!F12</f>
        <v>640.37603241729289</v>
      </c>
      <c r="H54" s="1008">
        <f>+landbouw!G12</f>
        <v>0</v>
      </c>
      <c r="I54" s="1008">
        <f>+landbouw!H12</f>
        <v>0</v>
      </c>
      <c r="J54" s="1008">
        <f>+landbouw!I12</f>
        <v>0</v>
      </c>
      <c r="K54" s="1008">
        <f>+landbouw!J12</f>
        <v>32.184932557969873</v>
      </c>
      <c r="L54" s="1008">
        <f>+landbouw!K12</f>
        <v>0</v>
      </c>
      <c r="M54" s="1008">
        <f>+landbouw!L12</f>
        <v>0</v>
      </c>
      <c r="N54" s="1008">
        <f>+landbouw!M12</f>
        <v>0</v>
      </c>
      <c r="O54" s="1008">
        <f>+landbouw!N12</f>
        <v>0</v>
      </c>
      <c r="P54" s="1008">
        <f>+landbouw!O12</f>
        <v>0</v>
      </c>
      <c r="Q54" s="1009">
        <f>+landbouw!P12</f>
        <v>0</v>
      </c>
      <c r="R54" s="720">
        <f ca="1">SUM(C54:Q54)</f>
        <v>1350.8120711395657</v>
      </c>
    </row>
    <row r="55" spans="1:18" ht="15" thickBot="1">
      <c r="A55" s="819" t="s">
        <v>912</v>
      </c>
      <c r="B55" s="829"/>
      <c r="C55" s="1008">
        <f ca="1">C25*'EF ele_warmte'!B12</f>
        <v>517.6071910798247</v>
      </c>
      <c r="D55" s="1008"/>
      <c r="E55" s="1008">
        <f>E25*EF_CO2_aardgas</f>
        <v>2119.4401865889008</v>
      </c>
      <c r="F55" s="1008"/>
      <c r="G55" s="1008"/>
      <c r="H55" s="1008"/>
      <c r="I55" s="1008"/>
      <c r="J55" s="1008"/>
      <c r="K55" s="1008"/>
      <c r="L55" s="1008"/>
      <c r="M55" s="1008"/>
      <c r="N55" s="1008"/>
      <c r="O55" s="1008"/>
      <c r="P55" s="1008"/>
      <c r="Q55" s="1009"/>
      <c r="R55" s="720">
        <f ca="1">SUM(C55:Q55)</f>
        <v>2637.0473776687254</v>
      </c>
    </row>
    <row r="56" spans="1:18" ht="15.75" thickBot="1">
      <c r="A56" s="817" t="s">
        <v>913</v>
      </c>
      <c r="B56" s="830"/>
      <c r="C56" s="721">
        <f ca="1">SUM(C54:C55)</f>
        <v>671.42701522245238</v>
      </c>
      <c r="D56" s="721">
        <f t="shared" ref="D56:Q56" ca="1" si="7">SUM(D54:D55)</f>
        <v>0</v>
      </c>
      <c r="E56" s="721">
        <f t="shared" si="7"/>
        <v>2642.2997665793055</v>
      </c>
      <c r="F56" s="721">
        <f t="shared" si="7"/>
        <v>1.5717020312704277</v>
      </c>
      <c r="G56" s="721">
        <f t="shared" si="7"/>
        <v>640.37603241729289</v>
      </c>
      <c r="H56" s="721">
        <f t="shared" si="7"/>
        <v>0</v>
      </c>
      <c r="I56" s="721">
        <f t="shared" si="7"/>
        <v>0</v>
      </c>
      <c r="J56" s="721">
        <f t="shared" si="7"/>
        <v>0</v>
      </c>
      <c r="K56" s="721">
        <f t="shared" si="7"/>
        <v>32.184932557969873</v>
      </c>
      <c r="L56" s="721">
        <f t="shared" si="7"/>
        <v>0</v>
      </c>
      <c r="M56" s="721">
        <f t="shared" si="7"/>
        <v>0</v>
      </c>
      <c r="N56" s="721">
        <f t="shared" si="7"/>
        <v>0</v>
      </c>
      <c r="O56" s="721">
        <f t="shared" si="7"/>
        <v>0</v>
      </c>
      <c r="P56" s="721">
        <f t="shared" si="7"/>
        <v>0</v>
      </c>
      <c r="Q56" s="722">
        <f t="shared" si="7"/>
        <v>0</v>
      </c>
      <c r="R56" s="723">
        <f ca="1">SUM(R54:R55)</f>
        <v>3987.8594488082908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48317.086365492731</v>
      </c>
      <c r="D61" s="729">
        <f t="shared" ref="D61:Q61" ca="1" si="8">D46+D52+D56</f>
        <v>0</v>
      </c>
      <c r="E61" s="729">
        <f t="shared" ca="1" si="8"/>
        <v>64515.646615178324</v>
      </c>
      <c r="F61" s="729">
        <f t="shared" si="8"/>
        <v>1825.7728881963126</v>
      </c>
      <c r="G61" s="729">
        <f t="shared" ca="1" si="8"/>
        <v>14611.968968048777</v>
      </c>
      <c r="H61" s="729">
        <f t="shared" si="8"/>
        <v>123713.01929897792</v>
      </c>
      <c r="I61" s="729">
        <f t="shared" si="8"/>
        <v>21696.179233011644</v>
      </c>
      <c r="J61" s="729">
        <f t="shared" si="8"/>
        <v>0</v>
      </c>
      <c r="K61" s="729">
        <f t="shared" si="8"/>
        <v>100.91877145002827</v>
      </c>
      <c r="L61" s="729">
        <f t="shared" si="8"/>
        <v>0</v>
      </c>
      <c r="M61" s="729">
        <f t="shared" ca="1" si="8"/>
        <v>0</v>
      </c>
      <c r="N61" s="729">
        <f t="shared" si="8"/>
        <v>0</v>
      </c>
      <c r="O61" s="729">
        <f t="shared" ca="1" si="8"/>
        <v>0</v>
      </c>
      <c r="P61" s="729">
        <f t="shared" si="8"/>
        <v>0</v>
      </c>
      <c r="Q61" s="729">
        <f t="shared" si="8"/>
        <v>0</v>
      </c>
      <c r="R61" s="729">
        <f ca="1">R46+R52+R56</f>
        <v>274780.59214035579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0.20929061071184563</v>
      </c>
      <c r="D63" s="773">
        <f t="shared" ca="1" si="9"/>
        <v>0</v>
      </c>
      <c r="E63" s="1010">
        <f t="shared" ca="1" si="9"/>
        <v>0.20200000000000001</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2648.7481688010957</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4493.6248286535292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5089.5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5987.6470588235297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12231.872997454626</v>
      </c>
      <c r="C78" s="744">
        <f>SUM(C72:C77)</f>
        <v>0</v>
      </c>
      <c r="D78" s="745">
        <f t="shared" ref="D78:H78" si="10">SUM(D76:D77)</f>
        <v>0</v>
      </c>
      <c r="E78" s="745">
        <f t="shared" si="10"/>
        <v>0</v>
      </c>
      <c r="F78" s="745">
        <f t="shared" si="10"/>
        <v>0</v>
      </c>
      <c r="G78" s="745">
        <f t="shared" si="10"/>
        <v>0</v>
      </c>
      <c r="H78" s="745">
        <f t="shared" si="10"/>
        <v>0</v>
      </c>
      <c r="I78" s="745">
        <f>SUM(I76:I77)</f>
        <v>0</v>
      </c>
      <c r="J78" s="745">
        <f>SUM(J76:J77)</f>
        <v>5987.6470588235297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7270.7142857142862</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8553.7815126050427</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7270.7142857142862</v>
      </c>
      <c r="C90" s="744">
        <f>SUM(C87:C89)</f>
        <v>0</v>
      </c>
      <c r="D90" s="744">
        <f t="shared" ref="D90:H90" si="12">SUM(D87:D89)</f>
        <v>0</v>
      </c>
      <c r="E90" s="744">
        <f t="shared" si="12"/>
        <v>0</v>
      </c>
      <c r="F90" s="744">
        <f t="shared" si="12"/>
        <v>0</v>
      </c>
      <c r="G90" s="744">
        <f t="shared" si="12"/>
        <v>0</v>
      </c>
      <c r="H90" s="744">
        <f t="shared" si="12"/>
        <v>0</v>
      </c>
      <c r="I90" s="744">
        <f>SUM(I87:I89)</f>
        <v>0</v>
      </c>
      <c r="J90" s="744">
        <f>SUM(J87:J89)</f>
        <v>8553.7815126050427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2648.7481688010957</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4493.6248286535292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5089.5</v>
      </c>
      <c r="C8" s="558">
        <f>B101</f>
        <v>0</v>
      </c>
      <c r="D8" s="991"/>
      <c r="E8" s="991">
        <f>E101</f>
        <v>0</v>
      </c>
      <c r="F8" s="992"/>
      <c r="G8" s="559"/>
      <c r="H8" s="991">
        <f>I101</f>
        <v>0</v>
      </c>
      <c r="I8" s="991">
        <f>G101+F101</f>
        <v>0</v>
      </c>
      <c r="J8" s="991">
        <f>H101+D101+C101</f>
        <v>5987.6470588235297</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12231.872997454626</v>
      </c>
      <c r="C10" s="570">
        <f t="shared" ref="C10:L10" si="0">SUM(C8:C9)</f>
        <v>0</v>
      </c>
      <c r="D10" s="570">
        <f t="shared" si="0"/>
        <v>0</v>
      </c>
      <c r="E10" s="570">
        <f t="shared" si="0"/>
        <v>0</v>
      </c>
      <c r="F10" s="570">
        <f t="shared" si="0"/>
        <v>0</v>
      </c>
      <c r="G10" s="570">
        <f t="shared" si="0"/>
        <v>0</v>
      </c>
      <c r="H10" s="570">
        <f t="shared" si="0"/>
        <v>0</v>
      </c>
      <c r="I10" s="570">
        <f t="shared" si="0"/>
        <v>0</v>
      </c>
      <c r="J10" s="570">
        <f t="shared" si="0"/>
        <v>5987.6470588235297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7270.7142857142862</v>
      </c>
      <c r="C17" s="582">
        <f>B102</f>
        <v>0</v>
      </c>
      <c r="D17" s="583"/>
      <c r="E17" s="583">
        <f>E102</f>
        <v>0</v>
      </c>
      <c r="F17" s="584"/>
      <c r="G17" s="585"/>
      <c r="H17" s="582">
        <f>I102</f>
        <v>0</v>
      </c>
      <c r="I17" s="583">
        <f>G102+F102</f>
        <v>0</v>
      </c>
      <c r="J17" s="583">
        <f>H102+D102+C102</f>
        <v>8553.7815126050427</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7270.7142857142862</v>
      </c>
      <c r="C20" s="569">
        <f>SUM(C17:C19)</f>
        <v>0</v>
      </c>
      <c r="D20" s="569">
        <f t="shared" ref="D20:L20" si="1">SUM(D17:D19)</f>
        <v>0</v>
      </c>
      <c r="E20" s="569">
        <f t="shared" si="1"/>
        <v>0</v>
      </c>
      <c r="F20" s="569">
        <f t="shared" si="1"/>
        <v>0</v>
      </c>
      <c r="G20" s="569">
        <f t="shared" si="1"/>
        <v>0</v>
      </c>
      <c r="H20" s="569">
        <f t="shared" si="1"/>
        <v>0</v>
      </c>
      <c r="I20" s="569">
        <f t="shared" si="1"/>
        <v>0</v>
      </c>
      <c r="J20" s="569">
        <f t="shared" si="1"/>
        <v>8553.7815126050427</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23027</v>
      </c>
      <c r="C28" s="789">
        <v>1500</v>
      </c>
      <c r="D28" s="642" t="s">
        <v>946</v>
      </c>
      <c r="E28" s="641" t="s">
        <v>947</v>
      </c>
      <c r="F28" s="641" t="s">
        <v>948</v>
      </c>
      <c r="G28" s="641" t="s">
        <v>949</v>
      </c>
      <c r="H28" s="641" t="s">
        <v>950</v>
      </c>
      <c r="I28" s="641" t="s">
        <v>947</v>
      </c>
      <c r="J28" s="788">
        <v>40101</v>
      </c>
      <c r="K28" s="788">
        <v>40101</v>
      </c>
      <c r="L28" s="641" t="s">
        <v>951</v>
      </c>
      <c r="M28" s="641">
        <v>1131</v>
      </c>
      <c r="N28" s="641">
        <v>5089.5</v>
      </c>
      <c r="O28" s="641">
        <v>7270.7142857142862</v>
      </c>
      <c r="P28" s="641">
        <v>0</v>
      </c>
      <c r="Q28" s="641">
        <v>14541.428571428572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1131</v>
      </c>
      <c r="N58" s="599">
        <f>SUM(N28:N57)</f>
        <v>5089.5</v>
      </c>
      <c r="O58" s="599">
        <f t="shared" ref="O58:W58" si="2">SUM(O28:O57)</f>
        <v>7270.7142857142862</v>
      </c>
      <c r="P58" s="599">
        <f t="shared" si="2"/>
        <v>0</v>
      </c>
      <c r="Q58" s="599">
        <f t="shared" si="2"/>
        <v>14541.428571428572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1131</v>
      </c>
      <c r="N61" s="604">
        <f t="shared" si="4"/>
        <v>5089.5</v>
      </c>
      <c r="O61" s="604">
        <f t="shared" si="4"/>
        <v>7270.7142857142862</v>
      </c>
      <c r="P61" s="604">
        <f t="shared" si="4"/>
        <v>0</v>
      </c>
      <c r="Q61" s="604">
        <f t="shared" si="4"/>
        <v>14541.428571428572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5987.6470588235297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8553.7815126050427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62986.810121260984</v>
      </c>
      <c r="C4" s="461">
        <f>huishoudens!C8</f>
        <v>0</v>
      </c>
      <c r="D4" s="461">
        <f>huishoudens!D8</f>
        <v>181220.19593368215</v>
      </c>
      <c r="E4" s="461">
        <f>huishoudens!E8</f>
        <v>4167.9966115662592</v>
      </c>
      <c r="F4" s="461">
        <f>huishoudens!F8</f>
        <v>7287.9652797340068</v>
      </c>
      <c r="G4" s="461">
        <f>huishoudens!G8</f>
        <v>0</v>
      </c>
      <c r="H4" s="461">
        <f>huishoudens!H8</f>
        <v>0</v>
      </c>
      <c r="I4" s="461">
        <f>huishoudens!I8</f>
        <v>0</v>
      </c>
      <c r="J4" s="461">
        <f>huishoudens!J8</f>
        <v>0</v>
      </c>
      <c r="K4" s="461">
        <f>huishoudens!K8</f>
        <v>0</v>
      </c>
      <c r="L4" s="461">
        <f>huishoudens!L8</f>
        <v>0</v>
      </c>
      <c r="M4" s="461">
        <f>huishoudens!M8</f>
        <v>0</v>
      </c>
      <c r="N4" s="461">
        <f>huishoudens!N8</f>
        <v>17534.943502084036</v>
      </c>
      <c r="O4" s="461">
        <f>huishoudens!O8</f>
        <v>110.99666666666667</v>
      </c>
      <c r="P4" s="462">
        <f>huishoudens!P8</f>
        <v>343.2</v>
      </c>
      <c r="Q4" s="463">
        <f>SUM(B4:P4)</f>
        <v>273652.10811499407</v>
      </c>
    </row>
    <row r="5" spans="1:17">
      <c r="A5" s="460" t="s">
        <v>156</v>
      </c>
      <c r="B5" s="461">
        <f ca="1">tertiair!B16</f>
        <v>103467.19778568516</v>
      </c>
      <c r="C5" s="461">
        <f ca="1">tertiair!C16</f>
        <v>0</v>
      </c>
      <c r="D5" s="461">
        <f ca="1">tertiair!D16</f>
        <v>92229.498794123181</v>
      </c>
      <c r="E5" s="461">
        <f>tertiair!E16</f>
        <v>1007.5116266103909</v>
      </c>
      <c r="F5" s="461">
        <f ca="1">tertiair!F16</f>
        <v>21167.253254805481</v>
      </c>
      <c r="G5" s="461">
        <f>tertiair!G16</f>
        <v>0</v>
      </c>
      <c r="H5" s="461">
        <f>tertiair!H16</f>
        <v>0</v>
      </c>
      <c r="I5" s="461">
        <f>tertiair!I16</f>
        <v>0</v>
      </c>
      <c r="J5" s="461">
        <f>tertiair!J16</f>
        <v>0</v>
      </c>
      <c r="K5" s="461">
        <f>tertiair!K16</f>
        <v>0</v>
      </c>
      <c r="L5" s="461">
        <f ca="1">tertiair!L16</f>
        <v>0</v>
      </c>
      <c r="M5" s="461">
        <f>tertiair!M16</f>
        <v>0</v>
      </c>
      <c r="N5" s="461">
        <f ca="1">tertiair!N16</f>
        <v>6176.4362701449609</v>
      </c>
      <c r="O5" s="461">
        <f>tertiair!O16</f>
        <v>0</v>
      </c>
      <c r="P5" s="462">
        <f>tertiair!P16</f>
        <v>0</v>
      </c>
      <c r="Q5" s="460">
        <f t="shared" ref="Q5:Q14" ca="1" si="0">SUM(B5:P5)</f>
        <v>224047.89773136919</v>
      </c>
    </row>
    <row r="6" spans="1:17">
      <c r="A6" s="460" t="s">
        <v>194</v>
      </c>
      <c r="B6" s="461">
        <f>'openbare verlichting'!B8</f>
        <v>2984.7060000000001</v>
      </c>
      <c r="C6" s="461"/>
      <c r="D6" s="461"/>
      <c r="E6" s="461"/>
      <c r="F6" s="461"/>
      <c r="G6" s="461"/>
      <c r="H6" s="461"/>
      <c r="I6" s="461"/>
      <c r="J6" s="461"/>
      <c r="K6" s="461"/>
      <c r="L6" s="461"/>
      <c r="M6" s="461"/>
      <c r="N6" s="461"/>
      <c r="O6" s="461"/>
      <c r="P6" s="462"/>
      <c r="Q6" s="460">
        <f t="shared" si="0"/>
        <v>2984.7060000000001</v>
      </c>
    </row>
    <row r="7" spans="1:17">
      <c r="A7" s="460" t="s">
        <v>112</v>
      </c>
      <c r="B7" s="461">
        <f>landbouw!B8</f>
        <v>734.95807394058897</v>
      </c>
      <c r="C7" s="461">
        <f>landbouw!C8</f>
        <v>7270.7142857142862</v>
      </c>
      <c r="D7" s="461">
        <f>landbouw!D8</f>
        <v>2588.413762328737</v>
      </c>
      <c r="E7" s="461">
        <f>landbouw!E8</f>
        <v>6.9237974945833818</v>
      </c>
      <c r="F7" s="461">
        <f>landbouw!F8</f>
        <v>2398.4121064318083</v>
      </c>
      <c r="G7" s="461">
        <f>landbouw!G8</f>
        <v>0</v>
      </c>
      <c r="H7" s="461">
        <f>landbouw!H8</f>
        <v>0</v>
      </c>
      <c r="I7" s="461">
        <f>landbouw!I8</f>
        <v>0</v>
      </c>
      <c r="J7" s="461">
        <f>landbouw!J8</f>
        <v>90.917888581835811</v>
      </c>
      <c r="K7" s="461">
        <f>landbouw!K8</f>
        <v>0</v>
      </c>
      <c r="L7" s="461">
        <f>landbouw!L8</f>
        <v>0</v>
      </c>
      <c r="M7" s="461">
        <f>landbouw!M8</f>
        <v>0</v>
      </c>
      <c r="N7" s="461">
        <f>landbouw!N8</f>
        <v>0</v>
      </c>
      <c r="O7" s="461">
        <f>landbouw!O8</f>
        <v>0</v>
      </c>
      <c r="P7" s="462">
        <f>landbouw!P8</f>
        <v>0</v>
      </c>
      <c r="Q7" s="460">
        <f t="shared" si="0"/>
        <v>13090.339914491838</v>
      </c>
    </row>
    <row r="8" spans="1:17">
      <c r="A8" s="460" t="s">
        <v>685</v>
      </c>
      <c r="B8" s="461">
        <f>industrie!B18</f>
        <v>58201.299920400284</v>
      </c>
      <c r="C8" s="461">
        <f>industrie!C18</f>
        <v>0</v>
      </c>
      <c r="D8" s="461">
        <f>industrie!D18</f>
        <v>32815.300350221434</v>
      </c>
      <c r="E8" s="461">
        <f>industrie!E18</f>
        <v>457.00233711371823</v>
      </c>
      <c r="F8" s="461">
        <f>industrie!F18</f>
        <v>23872.84489479191</v>
      </c>
      <c r="G8" s="461">
        <f>industrie!G18</f>
        <v>0</v>
      </c>
      <c r="H8" s="461">
        <f>industrie!H18</f>
        <v>0</v>
      </c>
      <c r="I8" s="461">
        <f>industrie!I18</f>
        <v>0</v>
      </c>
      <c r="J8" s="461">
        <f>industrie!J18</f>
        <v>194.16338670072994</v>
      </c>
      <c r="K8" s="461">
        <f>industrie!K18</f>
        <v>0</v>
      </c>
      <c r="L8" s="461">
        <f>industrie!L18</f>
        <v>0</v>
      </c>
      <c r="M8" s="461">
        <f>industrie!M18</f>
        <v>0</v>
      </c>
      <c r="N8" s="461">
        <f>industrie!N18</f>
        <v>2712.5849178270018</v>
      </c>
      <c r="O8" s="461">
        <f>industrie!O18</f>
        <v>0</v>
      </c>
      <c r="P8" s="462">
        <f>industrie!P18</f>
        <v>0</v>
      </c>
      <c r="Q8" s="460">
        <f t="shared" si="0"/>
        <v>118253.19580705508</v>
      </c>
    </row>
    <row r="9" spans="1:17" s="466" customFormat="1">
      <c r="A9" s="464" t="s">
        <v>579</v>
      </c>
      <c r="B9" s="465">
        <f>transport!B14</f>
        <v>13.100606293984296</v>
      </c>
      <c r="C9" s="465">
        <f>transport!C14</f>
        <v>0</v>
      </c>
      <c r="D9" s="465">
        <f>transport!D14</f>
        <v>38.70219226539102</v>
      </c>
      <c r="E9" s="465">
        <f>transport!E14</f>
        <v>2403.6179981239152</v>
      </c>
      <c r="F9" s="465">
        <f>transport!F14</f>
        <v>0</v>
      </c>
      <c r="G9" s="465">
        <f>transport!G14</f>
        <v>459287.15642723779</v>
      </c>
      <c r="H9" s="465">
        <f>transport!H14</f>
        <v>87133.249931773666</v>
      </c>
      <c r="I9" s="465">
        <f>transport!I14</f>
        <v>0</v>
      </c>
      <c r="J9" s="465">
        <f>transport!J14</f>
        <v>0</v>
      </c>
      <c r="K9" s="465">
        <f>transport!K14</f>
        <v>0</v>
      </c>
      <c r="L9" s="465">
        <f>transport!L14</f>
        <v>0</v>
      </c>
      <c r="M9" s="465">
        <f>transport!M14</f>
        <v>24437.93344472806</v>
      </c>
      <c r="N9" s="465">
        <f>transport!N14</f>
        <v>0</v>
      </c>
      <c r="O9" s="465">
        <f>transport!O14</f>
        <v>0</v>
      </c>
      <c r="P9" s="465">
        <f>transport!P14</f>
        <v>0</v>
      </c>
      <c r="Q9" s="464">
        <f>SUM(B9:P9)</f>
        <v>573313.76060042274</v>
      </c>
    </row>
    <row r="10" spans="1:17">
      <c r="A10" s="460" t="s">
        <v>569</v>
      </c>
      <c r="B10" s="461">
        <f>transport!B54</f>
        <v>0</v>
      </c>
      <c r="C10" s="461">
        <f>transport!C54</f>
        <v>0</v>
      </c>
      <c r="D10" s="461">
        <f>transport!D54</f>
        <v>0</v>
      </c>
      <c r="E10" s="461">
        <f>transport!E54</f>
        <v>0</v>
      </c>
      <c r="F10" s="461">
        <f>transport!F54</f>
        <v>0</v>
      </c>
      <c r="G10" s="461">
        <f>transport!G54</f>
        <v>4057.4851419678566</v>
      </c>
      <c r="H10" s="461">
        <f>transport!H54</f>
        <v>0</v>
      </c>
      <c r="I10" s="461">
        <f>transport!I54</f>
        <v>0</v>
      </c>
      <c r="J10" s="461">
        <f>transport!J54</f>
        <v>0</v>
      </c>
      <c r="K10" s="461">
        <f>transport!K54</f>
        <v>0</v>
      </c>
      <c r="L10" s="461">
        <f>transport!L54</f>
        <v>0</v>
      </c>
      <c r="M10" s="461">
        <f>transport!M54</f>
        <v>178.17086582421976</v>
      </c>
      <c r="N10" s="461">
        <f>transport!N54</f>
        <v>0</v>
      </c>
      <c r="O10" s="461">
        <f>transport!O54</f>
        <v>0</v>
      </c>
      <c r="P10" s="462">
        <f>transport!P54</f>
        <v>0</v>
      </c>
      <c r="Q10" s="460">
        <f t="shared" si="0"/>
        <v>4235.6560077920767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2473.1505599765001</v>
      </c>
      <c r="C14" s="468"/>
      <c r="D14" s="468">
        <f>'SEAP template'!E25</f>
        <v>10492.278151430201</v>
      </c>
      <c r="E14" s="468"/>
      <c r="F14" s="468"/>
      <c r="G14" s="468"/>
      <c r="H14" s="468"/>
      <c r="I14" s="468"/>
      <c r="J14" s="468"/>
      <c r="K14" s="468"/>
      <c r="L14" s="468"/>
      <c r="M14" s="468"/>
      <c r="N14" s="468"/>
      <c r="O14" s="468"/>
      <c r="P14" s="469"/>
      <c r="Q14" s="460">
        <f t="shared" si="0"/>
        <v>12965.428711406701</v>
      </c>
    </row>
    <row r="15" spans="1:17" s="473" customFormat="1">
      <c r="A15" s="470" t="s">
        <v>573</v>
      </c>
      <c r="B15" s="471">
        <f ca="1">SUM(B4:B14)</f>
        <v>230861.2230675575</v>
      </c>
      <c r="C15" s="471">
        <f t="shared" ref="C15:Q15" ca="1" si="1">SUM(C4:C14)</f>
        <v>7270.7142857142862</v>
      </c>
      <c r="D15" s="471">
        <f t="shared" ca="1" si="1"/>
        <v>319384.38918405108</v>
      </c>
      <c r="E15" s="471">
        <f t="shared" si="1"/>
        <v>8043.0523709088666</v>
      </c>
      <c r="F15" s="471">
        <f t="shared" ca="1" si="1"/>
        <v>54726.475535763209</v>
      </c>
      <c r="G15" s="471">
        <f t="shared" si="1"/>
        <v>463344.64156920562</v>
      </c>
      <c r="H15" s="471">
        <f t="shared" si="1"/>
        <v>87133.249931773666</v>
      </c>
      <c r="I15" s="471">
        <f t="shared" si="1"/>
        <v>0</v>
      </c>
      <c r="J15" s="471">
        <f t="shared" si="1"/>
        <v>285.08127528256574</v>
      </c>
      <c r="K15" s="471">
        <f t="shared" si="1"/>
        <v>0</v>
      </c>
      <c r="L15" s="471">
        <f t="shared" ca="1" si="1"/>
        <v>0</v>
      </c>
      <c r="M15" s="471">
        <f t="shared" si="1"/>
        <v>24616.10431055228</v>
      </c>
      <c r="N15" s="471">
        <f t="shared" ca="1" si="1"/>
        <v>26423.964690055996</v>
      </c>
      <c r="O15" s="471">
        <f t="shared" si="1"/>
        <v>110.99666666666667</v>
      </c>
      <c r="P15" s="471">
        <f t="shared" si="1"/>
        <v>343.2</v>
      </c>
      <c r="Q15" s="471">
        <f t="shared" ca="1" si="1"/>
        <v>1222543.0928875317</v>
      </c>
    </row>
    <row r="17" spans="1:17">
      <c r="A17" s="474" t="s">
        <v>574</v>
      </c>
      <c r="B17" s="778">
        <f ca="1">huishoudens!B10</f>
        <v>0.20929061071184563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13182.54795706977</v>
      </c>
      <c r="C22" s="461">
        <f t="shared" ref="C22:C32" ca="1" si="3">C4*$C$17</f>
        <v>0</v>
      </c>
      <c r="D22" s="461">
        <f t="shared" ref="D22:D32" si="4">D4*$D$17</f>
        <v>36606.479578603794</v>
      </c>
      <c r="E22" s="461">
        <f t="shared" ref="E22:E32" si="5">E4*$E$17</f>
        <v>946.13523082554082</v>
      </c>
      <c r="F22" s="461">
        <f t="shared" ref="F22:F32" si="6">F4*$F$17</f>
        <v>1945.8867296889798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52681.049496188083</v>
      </c>
    </row>
    <row r="23" spans="1:17">
      <c r="A23" s="460" t="s">
        <v>156</v>
      </c>
      <c r="B23" s="461">
        <f t="shared" ca="1" si="2"/>
        <v>21654.71301320937</v>
      </c>
      <c r="C23" s="461">
        <f t="shared" ca="1" si="3"/>
        <v>0</v>
      </c>
      <c r="D23" s="461">
        <f t="shared" ca="1" si="4"/>
        <v>18630.358756412883</v>
      </c>
      <c r="E23" s="461">
        <f t="shared" si="5"/>
        <v>228.70513924055874</v>
      </c>
      <c r="F23" s="461">
        <f t="shared" ca="1" si="6"/>
        <v>5651.6566190330632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46165.433527895875</v>
      </c>
    </row>
    <row r="24" spans="1:17">
      <c r="A24" s="460" t="s">
        <v>194</v>
      </c>
      <c r="B24" s="461">
        <f t="shared" ca="1" si="2"/>
        <v>624.67094153530991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624.67094153530991</v>
      </c>
    </row>
    <row r="25" spans="1:17">
      <c r="A25" s="460" t="s">
        <v>112</v>
      </c>
      <c r="B25" s="461">
        <f t="shared" ca="1" si="2"/>
        <v>153.81982414262765</v>
      </c>
      <c r="C25" s="461">
        <f t="shared" ca="1" si="3"/>
        <v>0</v>
      </c>
      <c r="D25" s="461">
        <f t="shared" si="4"/>
        <v>522.85957999040488</v>
      </c>
      <c r="E25" s="461">
        <f t="shared" si="5"/>
        <v>1.5717020312704277</v>
      </c>
      <c r="F25" s="461">
        <f t="shared" si="6"/>
        <v>640.37603241729289</v>
      </c>
      <c r="G25" s="461">
        <f t="shared" si="7"/>
        <v>0</v>
      </c>
      <c r="H25" s="461">
        <f t="shared" si="8"/>
        <v>0</v>
      </c>
      <c r="I25" s="461">
        <f t="shared" si="9"/>
        <v>0</v>
      </c>
      <c r="J25" s="461">
        <f t="shared" si="10"/>
        <v>32.184932557969873</v>
      </c>
      <c r="K25" s="461">
        <f t="shared" si="11"/>
        <v>0</v>
      </c>
      <c r="L25" s="461">
        <f t="shared" si="12"/>
        <v>0</v>
      </c>
      <c r="M25" s="461">
        <f t="shared" si="13"/>
        <v>0</v>
      </c>
      <c r="N25" s="461">
        <f t="shared" si="14"/>
        <v>0</v>
      </c>
      <c r="O25" s="461">
        <f t="shared" si="15"/>
        <v>0</v>
      </c>
      <c r="P25" s="462">
        <f t="shared" si="16"/>
        <v>0</v>
      </c>
      <c r="Q25" s="460">
        <f t="shared" ca="1" si="17"/>
        <v>1350.8120711395657</v>
      </c>
    </row>
    <row r="26" spans="1:17">
      <c r="A26" s="460" t="s">
        <v>685</v>
      </c>
      <c r="B26" s="461">
        <f t="shared" ca="1" si="2"/>
        <v>12180.985604563868</v>
      </c>
      <c r="C26" s="461">
        <f t="shared" ca="1" si="3"/>
        <v>0</v>
      </c>
      <c r="D26" s="461">
        <f t="shared" si="4"/>
        <v>6628.6906707447297</v>
      </c>
      <c r="E26" s="461">
        <f t="shared" si="5"/>
        <v>103.73953052481404</v>
      </c>
      <c r="F26" s="461">
        <f t="shared" si="6"/>
        <v>6374.0495869094402</v>
      </c>
      <c r="G26" s="461">
        <f t="shared" si="7"/>
        <v>0</v>
      </c>
      <c r="H26" s="461">
        <f t="shared" si="8"/>
        <v>0</v>
      </c>
      <c r="I26" s="461">
        <f t="shared" si="9"/>
        <v>0</v>
      </c>
      <c r="J26" s="461">
        <f t="shared" si="10"/>
        <v>68.733838892058401</v>
      </c>
      <c r="K26" s="461">
        <f t="shared" si="11"/>
        <v>0</v>
      </c>
      <c r="L26" s="461">
        <f t="shared" si="12"/>
        <v>0</v>
      </c>
      <c r="M26" s="461">
        <f t="shared" si="13"/>
        <v>0</v>
      </c>
      <c r="N26" s="461">
        <f t="shared" si="14"/>
        <v>0</v>
      </c>
      <c r="O26" s="461">
        <f t="shared" si="15"/>
        <v>0</v>
      </c>
      <c r="P26" s="462">
        <f t="shared" si="16"/>
        <v>0</v>
      </c>
      <c r="Q26" s="460">
        <f t="shared" ca="1" si="17"/>
        <v>25356.19923163491</v>
      </c>
    </row>
    <row r="27" spans="1:17" s="466" customFormat="1">
      <c r="A27" s="464" t="s">
        <v>579</v>
      </c>
      <c r="B27" s="772">
        <f t="shared" ca="1" si="2"/>
        <v>2.741833891963422</v>
      </c>
      <c r="C27" s="465">
        <f t="shared" ca="1" si="3"/>
        <v>0</v>
      </c>
      <c r="D27" s="465">
        <f t="shared" si="4"/>
        <v>7.8178428376089864</v>
      </c>
      <c r="E27" s="465">
        <f t="shared" si="5"/>
        <v>545.62128557412882</v>
      </c>
      <c r="F27" s="465">
        <f t="shared" si="6"/>
        <v>0</v>
      </c>
      <c r="G27" s="465">
        <f t="shared" si="7"/>
        <v>122629.67076607249</v>
      </c>
      <c r="H27" s="465">
        <f t="shared" si="8"/>
        <v>21696.179233011644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144882.03096138785</v>
      </c>
    </row>
    <row r="28" spans="1:17">
      <c r="A28" s="460" t="s">
        <v>569</v>
      </c>
      <c r="B28" s="461">
        <f t="shared" ca="1" si="2"/>
        <v>0</v>
      </c>
      <c r="C28" s="461">
        <f t="shared" ca="1" si="3"/>
        <v>0</v>
      </c>
      <c r="D28" s="461">
        <f t="shared" si="4"/>
        <v>0</v>
      </c>
      <c r="E28" s="461">
        <f t="shared" si="5"/>
        <v>0</v>
      </c>
      <c r="F28" s="461">
        <f t="shared" si="6"/>
        <v>0</v>
      </c>
      <c r="G28" s="461">
        <f t="shared" si="7"/>
        <v>1083.3485329054179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1083.3485329054179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517.6071910798247</v>
      </c>
      <c r="C32" s="461">
        <f t="shared" ca="1" si="3"/>
        <v>0</v>
      </c>
      <c r="D32" s="461">
        <f t="shared" si="4"/>
        <v>2119.4401865889008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2637.0473776687254</v>
      </c>
    </row>
    <row r="33" spans="1:17" s="473" customFormat="1">
      <c r="A33" s="470" t="s">
        <v>573</v>
      </c>
      <c r="B33" s="471">
        <f ca="1">SUM(B22:B32)</f>
        <v>48317.086365492738</v>
      </c>
      <c r="C33" s="471">
        <f t="shared" ref="C33:Q33" ca="1" si="18">SUM(C22:C32)</f>
        <v>0</v>
      </c>
      <c r="D33" s="471">
        <f t="shared" ca="1" si="18"/>
        <v>64515.646615178324</v>
      </c>
      <c r="E33" s="471">
        <f t="shared" si="18"/>
        <v>1825.7728881963126</v>
      </c>
      <c r="F33" s="471">
        <f t="shared" ca="1" si="18"/>
        <v>14611.968968048775</v>
      </c>
      <c r="G33" s="471">
        <f t="shared" si="18"/>
        <v>123713.01929897792</v>
      </c>
      <c r="H33" s="471">
        <f t="shared" si="18"/>
        <v>21696.179233011644</v>
      </c>
      <c r="I33" s="471">
        <f t="shared" si="18"/>
        <v>0</v>
      </c>
      <c r="J33" s="471">
        <f t="shared" si="18"/>
        <v>100.91877145002827</v>
      </c>
      <c r="K33" s="471">
        <f t="shared" si="18"/>
        <v>0</v>
      </c>
      <c r="L33" s="471">
        <f t="shared" ca="1" si="18"/>
        <v>0</v>
      </c>
      <c r="M33" s="471">
        <f t="shared" si="18"/>
        <v>0</v>
      </c>
      <c r="N33" s="471">
        <f t="shared" ca="1" si="18"/>
        <v>0</v>
      </c>
      <c r="O33" s="471">
        <f t="shared" si="18"/>
        <v>0</v>
      </c>
      <c r="P33" s="471">
        <f t="shared" si="18"/>
        <v>0</v>
      </c>
      <c r="Q33" s="471">
        <f t="shared" ca="1" si="18"/>
        <v>274780.59214035573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2648.7481688010957</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4493.6248286535292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5089.5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5987.6470588235297</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12231.872997454626</v>
      </c>
      <c r="C10" s="1041">
        <f>SUM(C4:C9)</f>
        <v>0</v>
      </c>
      <c r="D10" s="1041">
        <f t="shared" ref="D10:H10" si="0">SUM(D8:D9)</f>
        <v>0</v>
      </c>
      <c r="E10" s="1041">
        <f t="shared" si="0"/>
        <v>0</v>
      </c>
      <c r="F10" s="1041">
        <f t="shared" si="0"/>
        <v>0</v>
      </c>
      <c r="G10" s="1041">
        <f t="shared" si="0"/>
        <v>0</v>
      </c>
      <c r="H10" s="1041">
        <f t="shared" si="0"/>
        <v>0</v>
      </c>
      <c r="I10" s="1041">
        <f>SUM(I8:I9)</f>
        <v>0</v>
      </c>
      <c r="J10" s="1041">
        <f>SUM(J8:J9)</f>
        <v>5987.6470588235297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0.20929061071184563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7270.7142857142862</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8553.7815126050427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7270.7142857142862</v>
      </c>
      <c r="C20" s="1041">
        <f>SUM(C17:C19)</f>
        <v>0</v>
      </c>
      <c r="D20" s="1041">
        <f t="shared" ref="D20:H20" si="2">SUM(D17:D19)</f>
        <v>0</v>
      </c>
      <c r="E20" s="1041">
        <f t="shared" si="2"/>
        <v>0</v>
      </c>
      <c r="F20" s="1041">
        <f t="shared" si="2"/>
        <v>0</v>
      </c>
      <c r="G20" s="1041">
        <f t="shared" si="2"/>
        <v>0</v>
      </c>
      <c r="H20" s="1041">
        <f t="shared" si="2"/>
        <v>0</v>
      </c>
      <c r="I20" s="1041">
        <f>SUM(I17:I19)</f>
        <v>0</v>
      </c>
      <c r="J20" s="1041">
        <f>SUM(J17:J19)</f>
        <v>8553.7815126050427</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0.20929061071184563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2019-06-29T16:11:49Z</dcterms:modified>
</cp:coreProperties>
</file>