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<sst xmlns="http://schemas.openxmlformats.org/spreadsheetml/2006/main" count="2483" uniqueCount="946">
  <si>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</si>
  <si>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</si>
  <si>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</si>
  <si>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</si>
  <si>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</si>
  <si>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</si>
  <si>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</si>
  <si>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</si>
  <si>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</si>
  <si>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</si>
  <si>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</si>
  <si>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</si>
  <si>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</si>
  <si>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</si>
  <si>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</si>
  <si>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</si>
  <si>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</si>
  <si>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</si>
  <si>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</si>
  <si>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</si>
  <si>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</si>
  <si>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</si>
  <si>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</si>
  <si>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</si>
  <si>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</si>
  <si>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</si>
  <si>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</si>
  <si>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</si>
  <si>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</si>
  <si>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</si>
  <si>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</si>
  <si>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</si>
  <si>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</si>
  <si>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</si>
  <si>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</si>
  <si>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</si>
  <si>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</si>
  <si>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</si>
  <si>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</si>
  <si>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</si>
  <si>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</si>
  <si>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</si>
  <si>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</si>
  <si>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</si>
  <si>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</si>
  <si>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</si>
  <si>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</si>
  <si>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</si>
  <si>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</si>
  <si>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</si>
  <si>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</si>
  <si>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</si>
  <si>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</si>
  <si>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</si>
  <si>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</si>
  <si>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</si>
  <si>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</si>
  <si>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</si>
  <si>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</si>
  <si>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</si>
  <si>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</si>
  <si>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</si>
  <si>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</si>
  <si>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</si>
  <si>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</si>
  <si>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</si>
  <si>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</si>
  <si>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</si>
  <si>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</si>
  <si>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</si>
  <si>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</si>
  <si>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</si>
  <si>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</si>
  <si>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</si>
  <si>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</si>
  <si>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</si>
  <si>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</si>
  <si>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</si>
  <si>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</si>
  <si>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</si>
  <si>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</si>
  <si>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</si>
  <si>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</si>
  <si>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</si>
  <si>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</si>
  <si>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</si>
  <si>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</si>
  <si>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</si>
  <si>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</si>
  <si>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</si>
  <si>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</si>
  <si>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</si>
  <si>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</si>
  <si>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</si>
  <si>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</si>
  <si>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</si>
  <si>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</si>
  <si>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</si>
  <si>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</si>
  <si>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</si>
  <si>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</si>
  <si>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</si>
  <si>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</si>
  <si>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</si>
  <si>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</si>
  <si>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</si>
  <si>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</si>
  <si>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</si>
  <si>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</si>
  <si>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</si>
  <si>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</si>
  <si>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</si>
  <si>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</si>
  <si>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</si>
  <si>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</si>
  <si>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</si>
  <si>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</si>
  <si>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</si>
  <si>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</si>
  <si>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</si>
  <si>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</si>
  <si>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</si>
  <si>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</si>
  <si>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</si>
  <si>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</si>
  <si>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</si>
  <si>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</si>
  <si>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</si>
  <si>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</si>
  <si>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</si>
  <si>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</si>
  <si>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</si>
  <si>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</si>
  <si>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</si>
  <si>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</si>
  <si>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</si>
  <si>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</si>
  <si>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</si>
  <si>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</si>
  <si>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</si>
  <si>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</si>
  <si>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</si>
  <si>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</si>
  <si>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</si>
  <si>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</si>
  <si>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</si>
  <si>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</si>
  <si>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</si>
  <si>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</si>
  <si>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</si>
  <si>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</si>
  <si>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</si>
  <si>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</si>
  <si>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</si>
  <si>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</si>
  <si>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</si>
  <si>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</si>
  <si>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</si>
  <si>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</si>
  <si>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</si>
  <si>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</si>
  <si>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</si>
  <si>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</si>
  <si>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</si>
  <si>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</si>
  <si>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</si>
  <si>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</si>
  <si>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</si>
  <si>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</si>
  <si>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</si>
  <si>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</si>
  <si>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</si>
  <si>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</si>
  <si>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</si>
  <si>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</si>
  <si>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</si>
  <si>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</si>
  <si>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</si>
  <si>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</si>
  <si>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</si>
  <si>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</si>
  <si>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</si>
  <si>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</si>
  <si>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</si>
  <si>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</si>
  <si>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</si>
  <si>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</si>
  <si>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</si>
  <si>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</si>
  <si>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</si>
  <si>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</si>
  <si>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</si>
  <si>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</si>
  <si>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</si>
  <si>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</si>
  <si>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</si>
  <si>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</si>
  <si>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</si>
  <si>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</si>
  <si>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</si>
  <si>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</si>
  <si>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</si>
  <si>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</si>
  <si>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</si>
  <si>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</si>
  <si>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</si>
  <si>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</si>
  <si>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</si>
  <si>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</si>
  <si>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</si>
  <si>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</si>
  <si>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</si>
  <si>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</si>
  <si>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</si>
  <si>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</si>
  <si>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</si>
  <si>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</si>
  <si>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</si>
  <si>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</si>
  <si>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</si>
  <si>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</si>
  <si>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</si>
  <si>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</si>
  <si>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</si>
  <si>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</si>
  <si>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</si>
  <si>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</si>
  <si>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</si>
  <si>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</si>
  <si>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</si>
  <si>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</si>
  <si>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</si>
  <si>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</si>
  <si>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</si>
  <si>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</si>
  <si>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</si>
  <si>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</si>
  <si>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</si>
  <si>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</si>
  <si>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</si>
  <si>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</si>
  <si>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</si>
  <si>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</si>
  <si>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</si>
  <si>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</si>
  <si>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</si>
  <si>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</si>
  <si>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</si>
  <si>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</si>
  <si>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</si>
  <si>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</si>
  <si>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</si>
  <si>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</si>
  <si>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</si>
  <si>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</si>
  <si>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</si>
  <si>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</si>
  <si>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</si>
  <si>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</si>
  <si>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</si>
  <si>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</si>
  <si>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</si>
  <si>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</si>
  <si>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</si>
  <si>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</si>
  <si>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</si>
  <si>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</si>
  <si>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</si>
  <si>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</si>
  <si>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</si>
  <si>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</si>
  <si>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</si>
  <si>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</si>
  <si>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</si>
  <si>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</si>
  <si>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</si>
  <si>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</si>
  <si>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</si>
  <si>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</si>
  <si>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</si>
  <si>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</si>
  <si>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</si>
  <si>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</si>
  <si>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</si>
  <si>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</si>
  <si>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</si>
  <si>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</si>
  <si>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</si>
  <si>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</si>
  <si>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</si>
  <si>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</si>
  <si>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</si>
  <si>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</si>
  <si>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</si>
  <si>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</si>
  <si>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</si>
  <si>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</si>
  <si>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</si>
  <si>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</si>
  <si>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</si>
  <si>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</si>
  <si>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</si>
  <si>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</si>
  <si>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</si>
  <si>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</si>
  <si>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</si>
  <si>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</si>
  <si>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</si>
  <si>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</si>
  <si>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</si>
  <si>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</si>
  <si>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</si>
  <si>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</si>
  <si>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</si>
  <si>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</si>
  <si>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</si>
  <si>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</si>
  <si>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</si>
  <si>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</si>
  <si>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</si>
  <si>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</si>
  <si>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</si>
  <si>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</si>
  <si>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</si>
  <si>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</si>
  <si>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</si>
  <si>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</si>
  <si>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</si>
  <si>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</si>
  <si>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</si>
  <si>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</si>
  <si>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</si>
  <si>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</si>
  <si>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</si>
  <si>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</si>
  <si>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</si>
  <si>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</si>
  <si>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</si>
  <si>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</si>
  <si>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</si>
  <si>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</si>
  <si>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</si>
  <si>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</si>
  <si>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</si>
  <si>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</si>
  <si>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</si>
  <si>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</si>
  <si>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</si>
  <si>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</si>
  <si>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</si>
  <si>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</si>
  <si>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</si>
  <si>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</si>
  <si>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</si>
  <si>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</si>
  <si>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</si>
  <si>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</si>
  <si>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</si>
  <si>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</si>
  <si>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</si>
  <si>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</si>
  <si>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</si>
  <si>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</si>
  <si>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</si>
  <si>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</si>
  <si>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</si>
  <si>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</si>
  <si>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</si>
  <si>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</si>
  <si>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</si>
  <si>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</si>
  <si>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</si>
  <si>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</si>
  <si>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</si>
  <si>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</si>
  <si>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</si>
  <si>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</si>
  <si>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</si>
  <si>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</si>
  <si>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</si>
  <si>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</si>
  <si>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</si>
  <si>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</si>
  <si>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</si>
  <si>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</si>
  <si>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</si>
  <si>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</si>
  <si>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</si>
  <si>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</si>
  <si>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</si>
  <si>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</si>
  <si>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</si>
  <si>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</si>
  <si>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</si>
  <si>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</si>
  <si>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</si>
  <si>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</si>
  <si>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</si>
  <si>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</si>
  <si>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</si>
  <si>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</si>
  <si>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</si>
  <si>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</si>
  <si>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</si>
  <si>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</si>
  <si>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</si>
  <si>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</si>
  <si>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</si>
  <si>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</si>
  <si>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</si>
  <si>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</si>
  <si>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</si>
  <si>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</si>
  <si>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</si>
  <si>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</si>
  <si>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</si>
  <si>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</si>
  <si>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</si>
  <si>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</si>
  <si>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</si>
  <si>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</si>
  <si>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</si>
  <si>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</si>
  <si>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</si>
  <si>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</si>
  <si>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</si>
  <si>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</si>
  <si>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</si>
  <si>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</si>
  <si>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</si>
  <si>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</si>
  <si>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</si>
  <si>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</si>
  <si>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</si>
  <si>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</si>
  <si>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</si>
  <si>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</si>
  <si>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</si>
  <si>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</si>
  <si>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</si>
  <si>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</si>
  <si>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</si>
  <si>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</si>
  <si>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</si>
  <si>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</si>
  <si>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</si>
  <si>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</si>
  <si>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</si>
  <si>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</si>
  <si>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</si>
  <si>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</si>
  <si>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</si>
  <si>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</si>
  <si>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</si>
  <si>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</si>
  <si>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</si>
  <si>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</si>
  <si>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</si>
  <si>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</si>
  <si>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</si>
  <si>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</si>
  <si>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</si>
  <si>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</si>
  <si>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</si>
  <si>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</si>
  <si>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</si>
  <si>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</si>
  <si>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</si>
  <si>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</si>
  <si>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</si>
  <si>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</si>
  <si>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</si>
  <si>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</si>
  <si>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</si>
  <si>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</si>
  <si>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</si>
  <si>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</si>
  <si>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</si>
  <si>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</si>
  <si>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</si>
  <si>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</si>
  <si>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</si>
  <si>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</si>
  <si>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</si>
  <si>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</si>
  <si>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</si>
  <si>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</si>
  <si>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</si>
  <si>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</si>
  <si>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</si>
  <si>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</si>
  <si>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</si>
  <si>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</si>
  <si>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</si>
  <si>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</si>
  <si>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</si>
  <si>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</si>
  <si>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</si>
  <si>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</si>
  <si>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</si>
  <si>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</si>
  <si>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</si>
  <si>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</si>
  <si>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</si>
  <si>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</si>
  <si>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</si>
  <si>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</si>
  <si>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</si>
  <si>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</si>
  <si>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</si>
  <si>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</si>
  <si>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</si>
  <si>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</si>
  <si>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</si>
  <si>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</si>
  <si>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</si>
  <si>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</si>
  <si>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</si>
  <si>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</si>
  <si>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</si>
  <si>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</si>
  <si>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</si>
  <si>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</si>
  <si>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</si>
  <si>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</si>
  <si>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</si>
  <si>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</si>
  <si>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</si>
  <si>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</si>
  <si>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</si>
  <si>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</si>
  <si>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</si>
  <si>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</si>
  <si>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</si>
  <si>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</si>
  <si>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</si>
  <si>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</si>
  <si>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</si>
  <si>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</si>
  <si>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</si>
  <si>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</si>
  <si>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</si>
  <si>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</si>
  <si>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</si>
  <si>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</si>
  <si>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</si>
  <si>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</si>
  <si>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</si>
  <si>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</si>
  <si>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</si>
  <si>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</si>
  <si>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</si>
  <si>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</si>
  <si>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</si>
  <si>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</si>
  <si>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</si>
  <si>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</si>
  <si>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</si>
  <si>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</si>
  <si>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</si>
  <si>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</si>
  <si>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</si>
  <si>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</si>
  <si>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</si>
  <si>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</si>
  <si>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</si>
  <si>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</si>
  <si>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</si>
  <si>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</si>
  <si>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</si>
  <si>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</si>
  <si>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</si>
  <si>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</si>
  <si>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</si>
  <si>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</si>
  <si>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</si>
  <si>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</si>
  <si>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</si>
  <si>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</si>
  <si>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</si>
  <si>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</si>
  <si>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</si>
  <si>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</si>
  <si>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</si>
  <si>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</si>
  <si>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</si>
  <si>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</si>
  <si>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</si>
  <si>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</si>
  <si>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</si>
  <si>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</si>
  <si>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</si>
  <si>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</si>
  <si>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</si>
  <si>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</si>
  <si>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</si>
  <si>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</si>
  <si>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</si>
  <si>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</si>
  <si>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</si>
  <si>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</si>
  <si>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</si>
  <si>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</si>
  <si>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</si>
  <si>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</si>
  <si>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</si>
  <si>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</si>
  <si>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</si>
  <si>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</si>
  <si>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</si>
  <si>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</si>
  <si>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</si>
  <si>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</si>
  <si>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</si>
  <si>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</si>
  <si>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</si>
  <si>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</si>
  <si>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</si>
  <si>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</si>
  <si>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</si>
  <si>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</si>
  <si>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</si>
  <si>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</si>
  <si>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</si>
  <si>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</si>
  <si>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</si>
  <si>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</si>
  <si>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</si>
  <si>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</si>
  <si>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</si>
  <si>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</si>
  <si>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</si>
  <si>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</si>
  <si>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</si>
  <si>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</si>
  <si>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</si>
  <si>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</si>
  <si>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</si>
  <si>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</si>
  <si>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</si>
  <si>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</si>
  <si>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</si>
  <si>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</si>
  <si>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</si>
  <si>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</si>
  <si>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</si>
  <si>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</si>
  <si>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</si>
  <si>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</si>
  <si>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</si>
  <si>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</si>
  <si>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</si>
  <si>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</si>
  <si>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</si>
  <si>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</si>
  <si>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</si>
  <si>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</si>
  <si>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</si>
  <si>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</si>
  <si>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</si>
  <si>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</si>
  <si>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</si>
  <si>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</si>
  <si>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</si>
  <si>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</si>
  <si>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</si>
  <si>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</si>
  <si>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</si>
  <si>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</si>
  <si>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</si>
  <si>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</si>
  <si>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</si>
  <si>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</si>
  <si>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</si>
  <si>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</si>
  <si>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</si>
  <si>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</si>
  <si>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</si>
  <si>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</si>
  <si>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</si>
  <si>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</si>
  <si>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</si>
  <si>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</si>
  <si>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</si>
  <si>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</si>
  <si>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</si>
  <si>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</si>
  <si>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</si>
  <si>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</si>
  <si>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</si>
  <si>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</si>
  <si>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</si>
  <si>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</si>
  <si>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</si>
  <si>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</si>
  <si>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</si>
  <si>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</si>
  <si>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</si>
  <si>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</si>
  <si>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</si>
  <si>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</si>
  <si>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</si>
  <si>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</si>
  <si>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</si>
  <si>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</si>
  <si>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</si>
  <si>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</si>
  <si>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</si>
  <si>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</si>
  <si>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</si>
  <si>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</si>
  <si>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</si>
  <si>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</si>
  <si>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</si>
  <si>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</si>
  <si>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</si>
  <si>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</si>
  <si>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</si>
  <si>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</si>
  <si>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</si>
  <si>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</si>
  <si>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</si>
  <si>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</si>
  <si>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</si>
  <si>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</si>
  <si>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</si>
  <si>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</si>
  <si>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</si>
  <si>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</si>
  <si>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</si>
  <si>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</si>
  <si>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</si>
  <si>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</si>
  <si>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</si>
  <si>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</si>
  <si>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</si>
  <si>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</si>
  <si>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</si>
  <si>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</si>
  <si>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</si>
  <si>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</si>
  <si>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</si>
  <si>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</si>
  <si>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</si>
  <si>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</si>
  <si>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</si>
  <si>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</si>
  <si>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</si>
  <si>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</si>
  <si>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</si>
  <si>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</si>
  <si>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</si>
  <si>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</si>
  <si>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</si>
  <si>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</si>
  <si>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</si>
  <si>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</si>
  <si>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</si>
  <si>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</si>
  <si>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</si>
  <si>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</si>
  <si>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</si>
  <si>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</si>
  <si>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</si>
  <si>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</si>
  <si>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</si>
  <si>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</si>
  <si>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</si>
  <si>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</si>
  <si>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</si>
  <si>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</si>
  <si>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</si>
  <si>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</si>
  <si>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</si>
  <si>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</si>
  <si>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</si>
  <si>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</si>
  <si>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</si>
  <si>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</si>
  <si>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</si>
  <si>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</si>
  <si>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</si>
  <si>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</si>
  <si>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</si>
  <si>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</si>
  <si>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</si>
  <si>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</si>
  <si>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</si>
  <si>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</si>
  <si>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</si>
  <si>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</si>
  <si>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</si>
  <si>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</si>
  <si>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</si>
  <si>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</si>
  <si>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</si>
  <si>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</si>
  <si>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</si>
  <si>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</si>
  <si>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</si>
  <si>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</si>
  <si>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</si>
  <si>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</si>
  <si>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</si>
  <si>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</si>
  <si>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</si>
  <si>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</si>
  <si>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</si>
  <si>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</si>
  <si>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</si>
  <si>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</si>
  <si>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</si>
  <si>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</si>
  <si>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</si>
  <si>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</si>
  <si>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</si>
  <si>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</si>
  <si>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</si>
  <si>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</si>
  <si>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</si>
  <si>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</si>
  <si>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</si>
  <si>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</si>
  <si>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</si>
  <si>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</si>
  <si>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</si>
  <si>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</si>
  <si>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</si>
  <si>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</si>
  <si>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</si>
  <si>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</si>
  <si>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</si>
  <si>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</si>
  <si>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</si>
  <si>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</si>
  <si>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</si>
  <si>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</si>
  <si>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</si>
  <si>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</si>
  <si>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</si>
  <si>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</si>
  <si>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</si>
  <si>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</si>
  <si>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</si>
  <si>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</si>
  <si>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</si>
  <si>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</si>
  <si>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</si>
  <si>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</si>
  <si>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</si>
  <si>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</si>
  <si>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</si>
  <si>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</si>
  <si>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</si>
  <si>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</si>
  <si>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</si>
  <si>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</si>
  <si>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</si>
  <si>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</si>
  <si>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</si>
  <si>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</si>
  <si>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</si>
  <si>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</si>
  <si>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</si>
  <si>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</si>
  <si>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</si>
  <si>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</si>
  <si>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</si>
  <si>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</si>
  <si>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</si>
  <si>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</si>
  <si>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</si>
  <si>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</si>
  <si>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</si>
  <si>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</si>
  <si>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</si>
  <si>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</si>
  <si>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</si>
  <si>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</si>
  <si>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</si>
  <si>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</si>
  <si>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</si>
  <si>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</si>
  <si>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</si>
  <si>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</si>
  <si>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</si>
  <si>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</si>
  <si>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</si>
  <si>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</si>
  <si>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</si>
  <si>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</si>
  <si>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</si>
  <si>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</si>
  <si>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</si>
  <si>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</si>
  <si>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</si>
  <si>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</si>
  <si>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</si>
  <si>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</si>
  <si>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</si>
  <si>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</si>
  <si>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</si>
  <si>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</si>
  <si>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</si>
  <si>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</si>
  <si>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</si>
  <si>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</si>
  <si>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</si>
  <si>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</si>
  <si>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</si>
  <si>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</si>
  <si>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</si>
  <si>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</si>
  <si>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</si>
  <si>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</si>
  <si>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</si>
  <si>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</si>
  <si>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</si>
  <si>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</si>
  <si>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</si>
  <si>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</si>
  <si>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</si>
  <si>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</si>
  <si>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</si>
  <si>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</si>
  <si>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</si>
  <si>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</si>
  <si>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</si>
  <si>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</si>
  <si>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</si>
  <si>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</si>
  <si>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</si>
  <si>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</si>
  <si>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</si>
  <si>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</si>
  <si>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</si>
  <si>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</si>
  <si>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</si>
  <si>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</si>
  <si>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</si>
  <si>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23003</t>
  </si>
  <si>
    <t>BEERSEL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</si>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</sst>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23003</v>
      </c>
      <c r="B6" s="397"/>
      <c r="C6" s="398"/>
    </row>
    <row r="7" spans="1:7" s="395" customFormat="1" ht="15.75" customHeight="1">
      <c r="A7" s="399" t="str">
        <f>txtMunicipality</f>
        <v>BEERSEL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0.20960000745821269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0.20960000745821269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23003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9386</v>
      </c>
      <c r="C9" s="338">
        <v>9794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859</v>
      </c>
    </row>
    <row r="15" spans="1:6">
      <c r="A15" s="1286" t="s">
        <v>184</v>
      </c>
      <c r="B15" s="335">
        <v>5</v>
      </c>
    </row>
    <row r="16" spans="1:6">
      <c r="A16" s="1286" t="s">
        <v>6</v>
      </c>
      <c r="B16" s="335">
        <v>103</v>
      </c>
    </row>
    <row r="17" spans="1:6">
      <c r="A17" s="1286" t="s">
        <v>7</v>
      </c>
      <c r="B17" s="335">
        <v>289</v>
      </c>
    </row>
    <row r="18" spans="1:6">
      <c r="A18" s="1286" t="s">
        <v>8</v>
      </c>
      <c r="B18" s="335">
        <v>304</v>
      </c>
    </row>
    <row r="19" spans="1:6">
      <c r="A19" s="1286" t="s">
        <v>9</v>
      </c>
      <c r="B19" s="335">
        <v>266</v>
      </c>
    </row>
    <row r="20" spans="1:6">
      <c r="A20" s="1286" t="s">
        <v>10</v>
      </c>
      <c r="B20" s="335">
        <v>298</v>
      </c>
    </row>
    <row r="21" spans="1:6">
      <c r="A21" s="1286" t="s">
        <v>11</v>
      </c>
      <c r="B21" s="335">
        <v>105</v>
      </c>
    </row>
    <row r="22" spans="1:6">
      <c r="A22" s="1286" t="s">
        <v>12</v>
      </c>
      <c r="B22" s="335">
        <v>305</v>
      </c>
    </row>
    <row r="23" spans="1:6">
      <c r="A23" s="1286" t="s">
        <v>13</v>
      </c>
      <c r="B23" s="335">
        <v>6</v>
      </c>
    </row>
    <row r="24" spans="1:6">
      <c r="A24" s="1286" t="s">
        <v>14</v>
      </c>
      <c r="B24" s="335">
        <v>0</v>
      </c>
    </row>
    <row r="25" spans="1:6">
      <c r="A25" s="1286" t="s">
        <v>15</v>
      </c>
      <c r="B25" s="335">
        <v>67</v>
      </c>
    </row>
    <row r="26" spans="1:6">
      <c r="A26" s="1286" t="s">
        <v>16</v>
      </c>
      <c r="B26" s="335">
        <v>29</v>
      </c>
    </row>
    <row r="27" spans="1:6">
      <c r="A27" s="1286" t="s">
        <v>17</v>
      </c>
      <c r="B27" s="335">
        <v>0</v>
      </c>
    </row>
    <row r="28" spans="1:6" s="341" customFormat="1">
      <c r="A28" s="1287" t="s">
        <v>18</v>
      </c>
      <c r="B28" s="1287">
        <v>15</v>
      </c>
    </row>
    <row r="29" spans="1:6">
      <c r="A29" s="1287" t="s">
        <v>942</v>
      </c>
      <c r="B29" s="1287">
        <v>41</v>
      </c>
      <c r="C29" s="341"/>
      <c r="D29" s="341"/>
      <c r="E29" s="341"/>
      <c r="F29" s="341"/>
    </row>
    <row r="30" spans="1:6">
      <c r="A30" s="1282" t="s">
        <v>943</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7</v>
      </c>
      <c r="F38" s="335">
        <v>32867.779352901998</v>
      </c>
    </row>
    <row r="39" spans="1:6">
      <c r="A39" s="1286" t="s">
        <v>30</v>
      </c>
      <c r="B39" s="1286" t="s">
        <v>31</v>
      </c>
      <c r="C39" s="335">
        <v>6335</v>
      </c>
      <c r="D39" s="335">
        <v>141838024.61397201</v>
      </c>
      <c r="E39" s="335">
        <v>9394</v>
      </c>
      <c r="F39" s="335">
        <v>42931360.315083198</v>
      </c>
    </row>
    <row r="40" spans="1:6">
      <c r="A40" s="1286" t="s">
        <v>30</v>
      </c>
      <c r="B40" s="1286" t="s">
        <v>29</v>
      </c>
      <c r="C40" s="335">
        <v>0</v>
      </c>
      <c r="D40" s="335">
        <v>0</v>
      </c>
      <c r="E40" s="335">
        <v>0</v>
      </c>
      <c r="F40" s="335">
        <v>0</v>
      </c>
    </row>
    <row r="41" spans="1:6">
      <c r="A41" s="1286" t="s">
        <v>32</v>
      </c>
      <c r="B41" s="1286" t="s">
        <v>33</v>
      </c>
      <c r="C41" s="335">
        <v>6</v>
      </c>
      <c r="D41" s="335">
        <v>126588.659353102</v>
      </c>
      <c r="E41" s="335">
        <v>57</v>
      </c>
      <c r="F41" s="335">
        <v>421741.62189543701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1701761.19504209</v>
      </c>
    </row>
    <row r="48" spans="1:6">
      <c r="A48" s="1286" t="s">
        <v>32</v>
      </c>
      <c r="B48" s="1286" t="s">
        <v>29</v>
      </c>
      <c r="C48" s="335">
        <v>81</v>
      </c>
      <c r="D48" s="335">
        <v>33552729.1081677</v>
      </c>
      <c r="E48" s="335">
        <v>115</v>
      </c>
      <c r="F48" s="335">
        <v>18349265.363970999</v>
      </c>
    </row>
    <row r="49" spans="1:6">
      <c r="A49" s="1286" t="s">
        <v>32</v>
      </c>
      <c r="B49" s="1286" t="s">
        <v>40</v>
      </c>
      <c r="C49" s="335">
        <v>0</v>
      </c>
      <c r="D49" s="335">
        <v>0</v>
      </c>
      <c r="E49" s="335">
        <v>0</v>
      </c>
      <c r="F49" s="335">
        <v>0</v>
      </c>
    </row>
    <row r="50" spans="1:6">
      <c r="A50" s="1286" t="s">
        <v>32</v>
      </c>
      <c r="B50" s="1286" t="s">
        <v>41</v>
      </c>
      <c r="C50" s="335">
        <v>5</v>
      </c>
      <c r="D50" s="335">
        <v>98885.499734322497</v>
      </c>
      <c r="E50" s="335">
        <v>8</v>
      </c>
      <c r="F50" s="335">
        <v>125655.455615425</v>
      </c>
    </row>
    <row r="51" spans="1:6">
      <c r="A51" s="1286" t="s">
        <v>42</v>
      </c>
      <c r="B51" s="1286" t="s">
        <v>43</v>
      </c>
      <c r="C51" s="335">
        <v>3</v>
      </c>
      <c r="D51" s="335">
        <v>40456.959094816899</v>
      </c>
      <c r="E51" s="335">
        <v>20</v>
      </c>
      <c r="F51" s="335">
        <v>176037.90425058399</v>
      </c>
    </row>
    <row r="52" spans="1:6">
      <c r="A52" s="1286" t="s">
        <v>42</v>
      </c>
      <c r="B52" s="1286" t="s">
        <v>29</v>
      </c>
      <c r="C52" s="335">
        <v>4</v>
      </c>
      <c r="D52" s="335">
        <v>46984.972826728597</v>
      </c>
      <c r="E52" s="335">
        <v>4</v>
      </c>
      <c r="F52" s="335">
        <v>12787.340769508</v>
      </c>
    </row>
    <row r="53" spans="1:6">
      <c r="A53" s="1286" t="s">
        <v>44</v>
      </c>
      <c r="B53" s="1286" t="s">
        <v>45</v>
      </c>
      <c r="C53" s="335">
        <v>133</v>
      </c>
      <c r="D53" s="335">
        <v>4279084.4039040999</v>
      </c>
      <c r="E53" s="335">
        <v>216</v>
      </c>
      <c r="F53" s="335">
        <v>1358886.6702078099</v>
      </c>
    </row>
    <row r="54" spans="1:6">
      <c r="A54" s="1286" t="s">
        <v>46</v>
      </c>
      <c r="B54" s="1286" t="s">
        <v>47</v>
      </c>
      <c r="C54" s="335">
        <v>0</v>
      </c>
      <c r="D54" s="335">
        <v>0</v>
      </c>
      <c r="E54" s="335">
        <v>1</v>
      </c>
      <c r="F54" s="335">
        <v>2201682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19</v>
      </c>
      <c r="D57" s="335">
        <v>431985.96994658798</v>
      </c>
      <c r="E57" s="335">
        <v>51</v>
      </c>
      <c r="F57" s="335">
        <v>855455.150653427</v>
      </c>
    </row>
    <row r="58" spans="1:6">
      <c r="A58" s="1286" t="s">
        <v>49</v>
      </c>
      <c r="B58" s="1286" t="s">
        <v>51</v>
      </c>
      <c r="C58" s="335">
        <v>19</v>
      </c>
      <c r="D58" s="335">
        <v>1609554.2134712799</v>
      </c>
      <c r="E58" s="335">
        <v>185</v>
      </c>
      <c r="F58" s="335">
        <v>2201714.9332977999</v>
      </c>
    </row>
    <row r="59" spans="1:6">
      <c r="A59" s="1286" t="s">
        <v>49</v>
      </c>
      <c r="B59" s="1286" t="s">
        <v>52</v>
      </c>
      <c r="C59" s="335">
        <v>23</v>
      </c>
      <c r="D59" s="335">
        <v>1611297.95287845</v>
      </c>
      <c r="E59" s="335">
        <v>87</v>
      </c>
      <c r="F59" s="335">
        <v>14650836.9581422</v>
      </c>
    </row>
    <row r="60" spans="1:6">
      <c r="A60" s="1286" t="s">
        <v>49</v>
      </c>
      <c r="B60" s="1286" t="s">
        <v>53</v>
      </c>
      <c r="C60" s="335">
        <v>57</v>
      </c>
      <c r="D60" s="335">
        <v>2807846.3254371602</v>
      </c>
      <c r="E60" s="335">
        <v>67</v>
      </c>
      <c r="F60" s="335">
        <v>2225376.92736449</v>
      </c>
    </row>
    <row r="61" spans="1:6">
      <c r="A61" s="1286" t="s">
        <v>49</v>
      </c>
      <c r="B61" s="1286" t="s">
        <v>54</v>
      </c>
      <c r="C61" s="335">
        <v>154</v>
      </c>
      <c r="D61" s="335">
        <v>15297711.376950501</v>
      </c>
      <c r="E61" s="335">
        <v>282</v>
      </c>
      <c r="F61" s="335">
        <v>5221205.48111411</v>
      </c>
    </row>
    <row r="62" spans="1:6">
      <c r="A62" s="1286" t="s">
        <v>49</v>
      </c>
      <c r="B62" s="1286" t="s">
        <v>55</v>
      </c>
      <c r="C62" s="335">
        <v>0</v>
      </c>
      <c r="D62" s="335">
        <v>0</v>
      </c>
      <c r="E62" s="335">
        <v>0</v>
      </c>
      <c r="F62" s="335">
        <v>0</v>
      </c>
    </row>
    <row r="63" spans="1:6">
      <c r="A63" s="1286" t="s">
        <v>49</v>
      </c>
      <c r="B63" s="1286" t="s">
        <v>29</v>
      </c>
      <c r="C63" s="335">
        <v>226</v>
      </c>
      <c r="D63" s="335">
        <v>20131646.949489102</v>
      </c>
      <c r="E63" s="335">
        <v>337</v>
      </c>
      <c r="F63" s="335">
        <v>12503619.360783</v>
      </c>
    </row>
    <row r="64" spans="1:6">
      <c r="A64" s="1286" t="s">
        <v>56</v>
      </c>
      <c r="B64" s="1286" t="s">
        <v>57</v>
      </c>
      <c r="C64" s="335">
        <v>0</v>
      </c>
      <c r="D64" s="335">
        <v>0</v>
      </c>
      <c r="E64" s="335">
        <v>0</v>
      </c>
      <c r="F64" s="335">
        <v>0</v>
      </c>
    </row>
    <row r="65" spans="1:6">
      <c r="A65" s="1286" t="s">
        <v>56</v>
      </c>
      <c r="B65" s="1286" t="s">
        <v>29</v>
      </c>
      <c r="C65" s="335">
        <v>4</v>
      </c>
      <c r="D65" s="335">
        <v>181200.73724404001</v>
      </c>
      <c r="E65" s="335">
        <v>5</v>
      </c>
      <c r="F65" s="335">
        <v>142094.71388350101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27817.868673971501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117542</v>
      </c>
      <c r="E73" s="335">
        <v>118416.21315705837</v>
      </c>
    </row>
    <row r="74" spans="1:6">
      <c r="A74" s="1286" t="s">
        <v>64</v>
      </c>
      <c r="B74" s="1286" t="s">
        <v>772</v>
      </c>
      <c r="C74" s="1297" t="s">
        <v>766</v>
      </c>
      <c r="D74" s="335">
        <v>3154</v>
      </c>
      <c r="E74" s="335">
        <v>3101.8343753963222</v>
      </c>
    </row>
    <row r="75" spans="1:6">
      <c r="A75" s="1286" t="s">
        <v>65</v>
      </c>
      <c r="B75" s="1286" t="s">
        <v>771</v>
      </c>
      <c r="C75" s="1297" t="s">
        <v>767</v>
      </c>
      <c r="D75" s="335">
        <v>115226566</v>
      </c>
      <c r="E75" s="335">
        <v>116088564.82258341</v>
      </c>
    </row>
    <row r="76" spans="1:6">
      <c r="A76" s="1286" t="s">
        <v>65</v>
      </c>
      <c r="B76" s="1286" t="s">
        <v>772</v>
      </c>
      <c r="C76" s="1297" t="s">
        <v>768</v>
      </c>
      <c r="D76" s="335">
        <v>3619710.6383236554</v>
      </c>
      <c r="E76" s="335">
        <v>3578291.7587102335</v>
      </c>
    </row>
    <row r="77" spans="1:6">
      <c r="A77" s="1286" t="s">
        <v>66</v>
      </c>
      <c r="B77" s="1286" t="s">
        <v>771</v>
      </c>
      <c r="C77" s="1297" t="s">
        <v>769</v>
      </c>
      <c r="D77" s="335">
        <v>179182882</v>
      </c>
      <c r="E77" s="335">
        <v>171623225.25651011</v>
      </c>
    </row>
    <row r="78" spans="1:6">
      <c r="A78" s="1282" t="s">
        <v>66</v>
      </c>
      <c r="B78" s="1282" t="s">
        <v>772</v>
      </c>
      <c r="C78" s="1282" t="s">
        <v>770</v>
      </c>
      <c r="D78" s="1282">
        <v>14631396</v>
      </c>
      <c r="E78" s="1282">
        <v>14276582.24247011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791528.72335268976</v>
      </c>
      <c r="C83" s="335">
        <v>767178.27014698542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2085.5991604466299</v>
      </c>
    </row>
    <row r="92" spans="1:6">
      <c r="A92" s="1282" t="s">
        <v>69</v>
      </c>
      <c r="B92" s="338">
        <v>3435.3595928385225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4478</v>
      </c>
    </row>
    <row r="98" spans="1:6">
      <c r="A98" s="1286" t="s">
        <v>72</v>
      </c>
      <c r="B98" s="335">
        <v>4</v>
      </c>
    </row>
    <row r="99" spans="1:6">
      <c r="A99" s="1286" t="s">
        <v>73</v>
      </c>
      <c r="B99" s="335">
        <v>69</v>
      </c>
    </row>
    <row r="100" spans="1:6">
      <c r="A100" s="1286" t="s">
        <v>74</v>
      </c>
      <c r="B100" s="335">
        <v>697</v>
      </c>
    </row>
    <row r="101" spans="1:6">
      <c r="A101" s="1286" t="s">
        <v>75</v>
      </c>
      <c r="B101" s="335">
        <v>74</v>
      </c>
    </row>
    <row r="102" spans="1:6">
      <c r="A102" s="1286" t="s">
        <v>76</v>
      </c>
      <c r="B102" s="335">
        <v>108</v>
      </c>
    </row>
    <row r="103" spans="1:6">
      <c r="A103" s="1286" t="s">
        <v>77</v>
      </c>
      <c r="B103" s="335">
        <v>166</v>
      </c>
    </row>
    <row r="104" spans="1:6">
      <c r="A104" s="1286" t="s">
        <v>78</v>
      </c>
      <c r="B104" s="335">
        <v>2953</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12</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107029.18269494988</v>
      </c>
      <c r="C3" s="44" t="s">
        <v>170</v>
      </c>
      <c r="D3" s="44"/>
      <c r="E3" s="157"/>
      <c r="F3" s="44"/>
      <c r="G3" s="44"/>
      <c r="H3" s="44"/>
      <c r="I3" s="44"/>
      <c r="J3" s="44"/>
      <c r="K3" s="97"/>
    </row>
    <row r="4" spans="1:11">
      <c r="A4" s="365" t="s">
        <v>171</v>
      </c>
      <c r="B4" s="50">
        <f>IF(ISERROR('SEAP template'!B78),0,'SEAP template'!B78)</f>
        <v>5520.9587532851529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0.20960000745821269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2201.6819999999998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2201.6819999999998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0.20960000745821269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461.47256362061262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42931.360315083199</v>
      </c>
      <c r="C5" s="18">
        <f>IF(ISERROR('Eigen informatie GS &amp; warmtenet'!B57),0,'Eigen informatie GS &amp; warmtenet'!B57)</f>
        <v>0</v>
      </c>
      <c r="D5" s="31">
        <f>(SUM(HH_hh_gas_kWh,HH_rest_gas_kWh)/1000)*0.902</f>
        <v>127937.89820180275</v>
      </c>
      <c r="E5" s="18">
        <f>B46*B57</f>
        <v>3182.7609365428461</v>
      </c>
      <c r="F5" s="18">
        <f>B51*B62</f>
        <v>25300.609694027848</v>
      </c>
      <c r="G5" s="19"/>
      <c r="H5" s="18"/>
      <c r="I5" s="18"/>
      <c r="J5" s="18">
        <f>B50*B61+C50*C61</f>
        <v>0</v>
      </c>
      <c r="K5" s="18"/>
      <c r="L5" s="18"/>
      <c r="M5" s="18"/>
      <c r="N5" s="18">
        <f>B48*B59+C48*C59</f>
        <v>11085.147662725109</v>
      </c>
      <c r="O5" s="18">
        <f>B69*B70*B71</f>
        <v>95.36333333333333</v>
      </c>
      <c r="P5" s="18">
        <f>B77*B78*B79/1000-B77*B78*B79/1000/B80</f>
        <v>209.73333333333335</v>
      </c>
    </row>
    <row r="6" spans="1:16">
      <c r="A6" s="17" t="s">
        <v>639</v>
      </c>
      <c r="B6" s="780">
        <f>kWh_PV_kleiner_dan_10kW</f>
        <v>2085.5991604466299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45016.959475529831</v>
      </c>
      <c r="C8" s="22">
        <f>C5</f>
        <v>0</v>
      </c>
      <c r="D8" s="22">
        <f>D5</f>
        <v>127937.89820180275</v>
      </c>
      <c r="E8" s="22">
        <f>E5</f>
        <v>3182.7609365428461</v>
      </c>
      <c r="F8" s="22">
        <f>F5</f>
        <v>25300.609694027848</v>
      </c>
      <c r="G8" s="22"/>
      <c r="H8" s="22"/>
      <c r="I8" s="22"/>
      <c r="J8" s="22">
        <f>J5</f>
        <v>0</v>
      </c>
      <c r="K8" s="22"/>
      <c r="L8" s="22">
        <f>L5</f>
        <v>0</v>
      </c>
      <c r="M8" s="22">
        <f>M5</f>
        <v>0</v>
      </c>
      <c r="N8" s="22">
        <f>N5</f>
        <v>11085.147662725109</v>
      </c>
      <c r="O8" s="22">
        <f>O5</f>
        <v>95.36333333333333</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0.20960000745821269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9435.5550418171115</v>
      </c>
      <c r="C12" s="24">
        <f ca="1">C10*C8</f>
        <v>0</v>
      </c>
      <c r="D12" s="24">
        <f>D8*D10</f>
        <v>25843.455436764158</v>
      </c>
      <c r="E12" s="24">
        <f>E10*E8</f>
        <v>722.48673259522604</v>
      </c>
      <c r="F12" s="24">
        <f>F10*F8</f>
        <v>6755.2627883054356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4478</v>
      </c>
      <c r="C18" s="169" t="s">
        <v>111</v>
      </c>
      <c r="D18" s="231"/>
      <c r="E18" s="16"/>
    </row>
    <row r="19" spans="1:7">
      <c r="A19" s="174" t="s">
        <v>72</v>
      </c>
      <c r="B19" s="38">
        <f>aantalw2001_ander</f>
        <v>4</v>
      </c>
      <c r="C19" s="169" t="s">
        <v>111</v>
      </c>
      <c r="D19" s="232"/>
      <c r="E19" s="16"/>
    </row>
    <row r="20" spans="1:7">
      <c r="A20" s="174" t="s">
        <v>73</v>
      </c>
      <c r="B20" s="38">
        <f>aantalw2001_propaan</f>
        <v>69</v>
      </c>
      <c r="C20" s="170">
        <f>IF(ISERROR(B20/SUM($B$20,$B$21,$B$22)*100),0,B20/SUM($B$20,$B$21,$B$22)*100)</f>
        <v>8.2142857142857135</v>
      </c>
      <c r="D20" s="232"/>
      <c r="E20" s="16"/>
    </row>
    <row r="21" spans="1:7">
      <c r="A21" s="174" t="s">
        <v>74</v>
      </c>
      <c r="B21" s="38">
        <f>aantalw2001_elektriciteit</f>
        <v>697</v>
      </c>
      <c r="C21" s="170">
        <f>IF(ISERROR(B21/SUM($B$20,$B$21,$B$22)*100),0,B21/SUM($B$20,$B$21,$B$22)*100)</f>
        <v>82.976190476190482</v>
      </c>
      <c r="D21" s="232"/>
      <c r="E21" s="16"/>
    </row>
    <row r="22" spans="1:7">
      <c r="A22" s="174" t="s">
        <v>75</v>
      </c>
      <c r="B22" s="38">
        <f>aantalw2001_hout</f>
        <v>74</v>
      </c>
      <c r="C22" s="170">
        <f>IF(ISERROR(B22/SUM($B$20,$B$21,$B$22)*100),0,B22/SUM($B$20,$B$21,$B$22)*100)</f>
        <v>8.8095238095238102</v>
      </c>
      <c r="D22" s="232"/>
      <c r="E22" s="16"/>
    </row>
    <row r="23" spans="1:7">
      <c r="A23" s="174" t="s">
        <v>76</v>
      </c>
      <c r="B23" s="38">
        <f>aantalw2001_niet_gespec</f>
        <v>108</v>
      </c>
      <c r="C23" s="169" t="s">
        <v>111</v>
      </c>
      <c r="D23" s="231"/>
      <c r="E23" s="16"/>
    </row>
    <row r="24" spans="1:7">
      <c r="A24" s="174" t="s">
        <v>77</v>
      </c>
      <c r="B24" s="38">
        <f>aantalw2001_steenkool</f>
        <v>166</v>
      </c>
      <c r="C24" s="169" t="s">
        <v>111</v>
      </c>
      <c r="D24" s="232"/>
      <c r="E24" s="16"/>
    </row>
    <row r="25" spans="1:7">
      <c r="A25" s="174" t="s">
        <v>78</v>
      </c>
      <c r="B25" s="38">
        <f>aantalw2001_stookolie</f>
        <v>2953</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9386</v>
      </c>
      <c r="C28" s="37"/>
      <c r="D28" s="231"/>
    </row>
    <row r="29" spans="1:7" s="16" customFormat="1">
      <c r="A29" s="233" t="s">
        <v>666</v>
      </c>
      <c r="B29" s="38">
        <f>SUM(HH_hh_gas_aantal,HH_rest_gas_aantal)</f>
        <v>6335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6335</v>
      </c>
      <c r="C32" s="170">
        <f>IF(ISERROR(B32/SUM($B$32,$B$34,$B$35,$B$36,$B$38,$B$39)*100),0,B32/SUM($B$32,$B$34,$B$35,$B$36,$B$38,$B$39)*100)</f>
        <v>67.573333333333323</v>
      </c>
      <c r="D32" s="236"/>
      <c r="G32" s="16"/>
    </row>
    <row r="33" spans="1:7">
      <c r="A33" s="174" t="s">
        <v>72</v>
      </c>
      <c r="B33" s="35" t="s">
        <v>111</v>
      </c>
      <c r="C33" s="170"/>
      <c r="D33" s="236"/>
      <c r="G33" s="16"/>
    </row>
    <row r="34" spans="1:7">
      <c r="A34" s="174" t="s">
        <v>73</v>
      </c>
      <c r="B34" s="34">
        <f>IF((($B$28-$B$32-$B$39-$B$77-$B$38)*C20/100)&lt;0,0,($B$28-$B$32-$B$39-$B$77-$B$38)*C20/100)</f>
        <v>144.4317857142857</v>
      </c>
      <c r="C34" s="170">
        <f>IF(ISERROR(B34/SUM($B$32,$B$34,$B$35,$B$36,$B$38,$B$39)*100),0,B34/SUM($B$32,$B$34,$B$35,$B$36,$B$38,$B$39)*100)</f>
        <v>1.5406057142857139</v>
      </c>
      <c r="D34" s="236"/>
      <c r="G34" s="16"/>
    </row>
    <row r="35" spans="1:7">
      <c r="A35" s="174" t="s">
        <v>74</v>
      </c>
      <c r="B35" s="34">
        <f>IF((($B$28-$B$32-$B$39-$B$77-$B$38)*C21/100)&lt;0,0,($B$28-$B$32-$B$39-$B$77-$B$38)*C21/100)</f>
        <v>1458.9703571428572</v>
      </c>
      <c r="C35" s="170">
        <f>IF(ISERROR(B35/SUM($B$32,$B$34,$B$35,$B$36,$B$38,$B$39)*100),0,B35/SUM($B$32,$B$34,$B$35,$B$36,$B$38,$B$39)*100)</f>
        <v>15.562350476190476</v>
      </c>
      <c r="D35" s="236"/>
      <c r="G35" s="16"/>
    </row>
    <row r="36" spans="1:7">
      <c r="A36" s="174" t="s">
        <v>75</v>
      </c>
      <c r="B36" s="34">
        <f>IF((($B$28-$B$32-$B$39-$B$77-$B$38)*C22/100)&lt;0,0,($B$28-$B$32-$B$39-$B$77-$B$38)*C22/100)</f>
        <v>154.89785714285716</v>
      </c>
      <c r="C36" s="170">
        <f>IF(ISERROR(B36/SUM($B$32,$B$34,$B$35,$B$36,$B$38,$B$39)*100),0,B36/SUM($B$32,$B$34,$B$35,$B$36,$B$38,$B$39)*100)</f>
        <v>1.6522438095238099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1281.7</v>
      </c>
      <c r="C39" s="170">
        <f>IF(ISERROR(B39/SUM($B$32,$B$34,$B$35,$B$36,$B$38,$B$39)*100),0,B39/SUM($B$32,$B$34,$B$35,$B$36,$B$38,$B$39)*100)</f>
        <v>13.671466666666667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6335</v>
      </c>
      <c r="C44" s="35" t="s">
        <v>111</v>
      </c>
      <c r="D44" s="177"/>
    </row>
    <row r="45" spans="1:7">
      <c r="A45" s="174" t="s">
        <v>72</v>
      </c>
      <c r="B45" s="34" t="str">
        <f t="shared" si="0"/>
        <v>-</v>
      </c>
      <c r="C45" s="35" t="s">
        <v>111</v>
      </c>
      <c r="D45" s="177"/>
    </row>
    <row r="46" spans="1:7">
      <c r="A46" s="174" t="s">
        <v>73</v>
      </c>
      <c r="B46" s="34">
        <f t="shared" si="0"/>
        <v>144.4317857142857</v>
      </c>
      <c r="C46" s="35" t="s">
        <v>111</v>
      </c>
      <c r="D46" s="177"/>
    </row>
    <row r="47" spans="1:7">
      <c r="A47" s="174" t="s">
        <v>74</v>
      </c>
      <c r="B47" s="34">
        <f t="shared" si="0"/>
        <v>1458.9703571428572</v>
      </c>
      <c r="C47" s="35" t="s">
        <v>111</v>
      </c>
      <c r="D47" s="177"/>
    </row>
    <row r="48" spans="1:7">
      <c r="A48" s="174" t="s">
        <v>75</v>
      </c>
      <c r="B48" s="34">
        <f t="shared" si="0"/>
        <v>154.89785714285716</v>
      </c>
      <c r="C48" s="34">
        <f>B48*10</f>
        <v>1548.9785714285717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1281.7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37658.208811355027</v>
      </c>
      <c r="C5" s="18">
        <f>IF(ISERROR('Eigen informatie GS &amp; warmtenet'!B58),0,'Eigen informatie GS &amp; warmtenet'!B58)</f>
        <v>0</v>
      </c>
      <c r="D5" s="31">
        <f>SUM(D6:D12)</f>
        <v>37784.81859493212</v>
      </c>
      <c r="E5" s="18">
        <f>SUM(E6:E12)</f>
        <v>320.16250692494754</v>
      </c>
      <c r="F5" s="18">
        <f>SUM(F6:F12)</f>
        <v>7615.6258265069628</v>
      </c>
      <c r="G5" s="19"/>
      <c r="H5" s="18"/>
      <c r="I5" s="18"/>
      <c r="J5" s="18">
        <f>SUM(J6:J12)</f>
        <v>0</v>
      </c>
      <c r="K5" s="18"/>
      <c r="L5" s="18"/>
      <c r="M5" s="18"/>
      <c r="N5" s="18">
        <f>SUM(N6:N12)</f>
        <v>1408.9974117243337</v>
      </c>
      <c r="O5" s="18">
        <f>B38*B39*B40</f>
        <v>0</v>
      </c>
      <c r="P5" s="18">
        <f>B46*B47*B48/1000-B46*B47*B48/1000/B49</f>
        <v>0</v>
      </c>
      <c r="R5" s="33"/>
    </row>
    <row r="6" spans="1:18">
      <c r="A6" s="33" t="s">
        <v>54</v>
      </c>
      <c r="B6" s="38">
        <f>B26</f>
        <v>5221.2054811141097</v>
      </c>
      <c r="C6" s="34"/>
      <c r="D6" s="38">
        <f>IF(ISERROR(TER_kantoor_gas_kWh/1000),0,TER_kantoor_gas_kWh/1000)*0.902</f>
        <v>13798.535662009352</v>
      </c>
      <c r="E6" s="34">
        <f>$C$26*'E Balans VL '!I12/100/3.6*1000000</f>
        <v>8.5690564067618329</v>
      </c>
      <c r="F6" s="34">
        <f>$C$26*('E Balans VL '!L12+'E Balans VL '!N12)/100/3.6*1000000</f>
        <v>615.45727792960338</v>
      </c>
      <c r="G6" s="35"/>
      <c r="H6" s="34"/>
      <c r="I6" s="34"/>
      <c r="J6" s="34">
        <f>$C$26*('E Balans VL '!D12+'E Balans VL '!E12)/100/3.6*1000000</f>
        <v>0</v>
      </c>
      <c r="K6" s="34"/>
      <c r="L6" s="34"/>
      <c r="M6" s="34"/>
      <c r="N6" s="34">
        <f>$C$26*'E Balans VL '!Y12/100/3.6*1000000</f>
        <v>1.0549198430270279</v>
      </c>
      <c r="O6" s="34"/>
      <c r="P6" s="34"/>
      <c r="R6" s="33"/>
    </row>
    <row r="7" spans="1:18">
      <c r="A7" s="33" t="s">
        <v>53</v>
      </c>
      <c r="B7" s="38">
        <f t="shared" ref="B7:B12" si="0">B27</f>
        <v>2225.3769273644898</v>
      </c>
      <c r="C7" s="34"/>
      <c r="D7" s="38">
        <f>IF(ISERROR(TER_horeca_gas_kWh/1000),0,TER_horeca_gas_kWh/1000)*0.902</f>
        <v>2532.6773855443189</v>
      </c>
      <c r="E7" s="34">
        <f>$C$27*'E Balans VL '!I9/100/3.6*1000000</f>
        <v>115.48095935817557</v>
      </c>
      <c r="F7" s="34">
        <f>$C$27*('E Balans VL '!L9+'E Balans VL '!N9)/100/3.6*1000000</f>
        <v>507.83262956607803</v>
      </c>
      <c r="G7" s="35"/>
      <c r="H7" s="34"/>
      <c r="I7" s="34"/>
      <c r="J7" s="34">
        <f>$C$27*('E Balans VL '!D9+'E Balans VL '!E9)/100/3.6*1000000</f>
        <v>0</v>
      </c>
      <c r="K7" s="34"/>
      <c r="L7" s="34"/>
      <c r="M7" s="34"/>
      <c r="N7" s="34">
        <f>$C$27*'E Balans VL '!Y9/100/3.6*1000000</f>
        <v>0.23499878370622096</v>
      </c>
      <c r="O7" s="34"/>
      <c r="P7" s="34"/>
      <c r="R7" s="33"/>
    </row>
    <row r="8" spans="1:18">
      <c r="A8" s="6" t="s">
        <v>52</v>
      </c>
      <c r="B8" s="38">
        <f t="shared" si="0"/>
        <v>14650.836958142201</v>
      </c>
      <c r="C8" s="34"/>
      <c r="D8" s="38">
        <f>IF(ISERROR(TER_handel_gas_kWh/1000),0,TER_handel_gas_kWh/1000)*0.902</f>
        <v>1453.3907534963621</v>
      </c>
      <c r="E8" s="34">
        <f>$C$28*'E Balans VL '!I13/100/3.6*1000000</f>
        <v>78.896557368172239</v>
      </c>
      <c r="F8" s="34">
        <f>$C$28*('E Balans VL '!L13+'E Balans VL '!N13)/100/3.6*1000000</f>
        <v>2987.7410394259941</v>
      </c>
      <c r="G8" s="35"/>
      <c r="H8" s="34"/>
      <c r="I8" s="34"/>
      <c r="J8" s="34">
        <f>$C$28*('E Balans VL '!D13+'E Balans VL '!E13)/100/3.6*1000000</f>
        <v>0</v>
      </c>
      <c r="K8" s="34"/>
      <c r="L8" s="34"/>
      <c r="M8" s="34"/>
      <c r="N8" s="34">
        <f>$C$28*'E Balans VL '!Y13/100/3.6*1000000</f>
        <v>72.850875307509853</v>
      </c>
      <c r="O8" s="34"/>
      <c r="P8" s="34"/>
      <c r="R8" s="33"/>
    </row>
    <row r="9" spans="1:18">
      <c r="A9" s="33" t="s">
        <v>51</v>
      </c>
      <c r="B9" s="38">
        <f t="shared" si="0"/>
        <v>2201.7149332977997</v>
      </c>
      <c r="C9" s="34"/>
      <c r="D9" s="38">
        <f>IF(ISERROR(TER_gezond_gas_kWh/1000),0,TER_gezond_gas_kWh/1000)*0.902</f>
        <v>1451.8179005510947</v>
      </c>
      <c r="E9" s="34">
        <f>$C$29*'E Balans VL '!I10/100/3.6*1000000</f>
        <v>2.181924536696719</v>
      </c>
      <c r="F9" s="34">
        <f>$C$29*('E Balans VL '!L10+'E Balans VL '!N10)/100/3.6*1000000</f>
        <v>763.93161985606287</v>
      </c>
      <c r="G9" s="35"/>
      <c r="H9" s="34"/>
      <c r="I9" s="34"/>
      <c r="J9" s="34">
        <f>$C$29*('E Balans VL '!D10+'E Balans VL '!E10)/100/3.6*1000000</f>
        <v>0</v>
      </c>
      <c r="K9" s="34"/>
      <c r="L9" s="34"/>
      <c r="M9" s="34"/>
      <c r="N9" s="34">
        <f>$C$29*'E Balans VL '!Y10/100/3.6*1000000</f>
        <v>18.971986846576904</v>
      </c>
      <c r="O9" s="34"/>
      <c r="P9" s="34"/>
      <c r="R9" s="33"/>
    </row>
    <row r="10" spans="1:18">
      <c r="A10" s="33" t="s">
        <v>50</v>
      </c>
      <c r="B10" s="38">
        <f t="shared" si="0"/>
        <v>855.45515065342704</v>
      </c>
      <c r="C10" s="34"/>
      <c r="D10" s="38">
        <f>IF(ISERROR(TER_ander_gas_kWh/1000),0,TER_ander_gas_kWh/1000)*0.902</f>
        <v>389.65134489182236</v>
      </c>
      <c r="E10" s="34">
        <f>$C$30*'E Balans VL '!I14/100/3.6*1000000</f>
        <v>6.998478098879243</v>
      </c>
      <c r="F10" s="34">
        <f>$C$30*('E Balans VL '!L14+'E Balans VL '!N14)/100/3.6*1000000</f>
        <v>250.10025902946563</v>
      </c>
      <c r="G10" s="35"/>
      <c r="H10" s="34"/>
      <c r="I10" s="34"/>
      <c r="J10" s="34">
        <f>$C$30*('E Balans VL '!D14+'E Balans VL '!E14)/100/3.6*1000000</f>
        <v>0</v>
      </c>
      <c r="K10" s="34"/>
      <c r="L10" s="34"/>
      <c r="M10" s="34"/>
      <c r="N10" s="34">
        <f>$C$30*'E Balans VL '!Y14/100/3.6*1000000</f>
        <v>493.48537672716748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12503.619360782999</v>
      </c>
      <c r="C12" s="34"/>
      <c r="D12" s="38">
        <f>IF(ISERROR(TER_rest_gas_kWh/1000),0,TER_rest_gas_kWh/1000)*0.902</f>
        <v>18158.745548439172</v>
      </c>
      <c r="E12" s="34">
        <f>$C$32*'E Balans VL '!I8/100/3.6*1000000</f>
        <v>108.03553115626192</v>
      </c>
      <c r="F12" s="34">
        <f>$C$32*('E Balans VL '!L8+'E Balans VL '!N8)/100/3.6*1000000</f>
        <v>2490.5630006997585</v>
      </c>
      <c r="G12" s="35"/>
      <c r="H12" s="34"/>
      <c r="I12" s="34"/>
      <c r="J12" s="34">
        <f>$C$32*('E Balans VL '!D8+'E Balans VL '!E8)/100/3.6*1000000</f>
        <v>0</v>
      </c>
      <c r="K12" s="34"/>
      <c r="L12" s="34"/>
      <c r="M12" s="34"/>
      <c r="N12" s="34">
        <f>$C$32*'E Balans VL '!Y8/100/3.6*1000000</f>
        <v>822.39925421634632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37658.208811355027</v>
      </c>
      <c r="C16" s="22">
        <f t="shared" ca="1" si="1"/>
        <v>0</v>
      </c>
      <c r="D16" s="22">
        <f t="shared" ca="1" si="1"/>
        <v>37784.81859493212</v>
      </c>
      <c r="E16" s="22">
        <f t="shared" si="1"/>
        <v>320.16250692494754</v>
      </c>
      <c r="F16" s="22">
        <f t="shared" ca="1" si="1"/>
        <v>7615.6258265069628</v>
      </c>
      <c r="G16" s="22">
        <f t="shared" si="1"/>
        <v>0</v>
      </c>
      <c r="H16" s="22">
        <f t="shared" si="1"/>
        <v>0</v>
      </c>
      <c r="I16" s="22">
        <f t="shared" si="1"/>
        <v>0</v>
      </c>
      <c r="J16" s="22">
        <f t="shared" si="1"/>
        <v>0</v>
      </c>
      <c r="K16" s="22">
        <f t="shared" si="1"/>
        <v>0</v>
      </c>
      <c r="L16" s="22">
        <f t="shared" ca="1" si="1"/>
        <v>0</v>
      </c>
      <c r="M16" s="22">
        <f t="shared" si="1"/>
        <v>0</v>
      </c>
      <c r="N16" s="22">
        <f t="shared" ca="1" si="1"/>
        <v>1408.9974117243337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0.20960000745821269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7893.1608477229447</v>
      </c>
      <c r="C20" s="24">
        <f t="shared" ref="C20:P20" ca="1" si="2">C16*C18</f>
        <v>0</v>
      </c>
      <c r="D20" s="24">
        <f t="shared" ca="1" si="2"/>
        <v>7632.5333561762891</v>
      </c>
      <c r="E20" s="24">
        <f t="shared" si="2"/>
        <v>72.676889071963089</v>
      </c>
      <c r="F20" s="24">
        <f t="shared" ca="1" si="2"/>
        <v>2033.3720956773591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5221.2054811141097</v>
      </c>
      <c r="C26" s="40">
        <f>IF(ISERROR(B26*3.6/1000000/'E Balans VL '!Z12*100),0,B26*3.6/1000000/'E Balans VL '!Z12*100)</f>
        <v>0.11094687218513878</v>
      </c>
      <c r="D26" s="240" t="s">
        <v>707</v>
      </c>
      <c r="F26" s="6"/>
    </row>
    <row r="27" spans="1:18">
      <c r="A27" s="234" t="s">
        <v>53</v>
      </c>
      <c r="B27" s="34">
        <f>IF(ISERROR(TER_horeca_ele_kWh/1000),0,TER_horeca_ele_kWh/1000)</f>
        <v>2225.3769273644898</v>
      </c>
      <c r="C27" s="40">
        <f>IF(ISERROR(B27*3.6/1000000/'E Balans VL '!Z9*100),0,B27*3.6/1000000/'E Balans VL '!Z9*100)</f>
        <v>0.17515437294873612</v>
      </c>
      <c r="D27" s="240" t="s">
        <v>707</v>
      </c>
      <c r="F27" s="6"/>
    </row>
    <row r="28" spans="1:18">
      <c r="A28" s="174" t="s">
        <v>52</v>
      </c>
      <c r="B28" s="34">
        <f>IF(ISERROR(TER_handel_ele_kWh/1000),0,TER_handel_ele_kWh/1000)</f>
        <v>14650.836958142201</v>
      </c>
      <c r="C28" s="40">
        <f>IF(ISERROR(B28*3.6/1000000/'E Balans VL '!Z13*100),0,B28*3.6/1000000/'E Balans VL '!Z13*100)</f>
        <v>0.41037778401594988</v>
      </c>
      <c r="D28" s="240" t="s">
        <v>707</v>
      </c>
      <c r="F28" s="6"/>
    </row>
    <row r="29" spans="1:18">
      <c r="A29" s="234" t="s">
        <v>51</v>
      </c>
      <c r="B29" s="34">
        <f>IF(ISERROR(TER_gezond_ele_kWh/1000),0,TER_gezond_ele_kWh/1000)</f>
        <v>2201.7149332977997</v>
      </c>
      <c r="C29" s="40">
        <f>IF(ISERROR(B29*3.6/1000000/'E Balans VL '!Z10*100),0,B29*3.6/1000000/'E Balans VL '!Z10*100)</f>
        <v>0.28166591714701616</v>
      </c>
      <c r="D29" s="240" t="s">
        <v>707</v>
      </c>
      <c r="F29" s="6"/>
    </row>
    <row r="30" spans="1:18">
      <c r="A30" s="234" t="s">
        <v>50</v>
      </c>
      <c r="B30" s="34">
        <f>IF(ISERROR(TER_ander_ele_kWh/1000),0,TER_ander_ele_kWh/1000)</f>
        <v>855.45515065342704</v>
      </c>
      <c r="C30" s="40">
        <f>IF(ISERROR(B30*3.6/1000000/'E Balans VL '!Z14*100),0,B30*3.6/1000000/'E Balans VL '!Z14*100)</f>
        <v>6.3980837077857761E-2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12503.619360782999</v>
      </c>
      <c r="C32" s="40">
        <f>IF(ISERROR(B32*3.6/1000000/'E Balans VL '!Z8*100),0,B32*3.6/1000000/'E Balans VL '!Z8*100)</f>
        <v>0.10300396686624648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20598.423636523949</v>
      </c>
      <c r="C5" s="18">
        <f>IF(ISERROR('Eigen informatie GS &amp; warmtenet'!B59),0,'Eigen informatie GS &amp; warmtenet'!B59)</f>
        <v>0</v>
      </c>
      <c r="D5" s="31">
        <f>SUM(D6:D15)</f>
        <v>30467.939347064126</v>
      </c>
      <c r="E5" s="18">
        <f>SUM(E6:E15)</f>
        <v>226.51853280075707</v>
      </c>
      <c r="F5" s="18">
        <f>SUM(F6:F15)</f>
        <v>4243.9084097605792</v>
      </c>
      <c r="G5" s="19"/>
      <c r="H5" s="18"/>
      <c r="I5" s="18"/>
      <c r="J5" s="18">
        <f>SUM(J6:J15)</f>
        <v>92.314629919139222</v>
      </c>
      <c r="K5" s="18"/>
      <c r="L5" s="18"/>
      <c r="M5" s="18"/>
      <c r="N5" s="18">
        <f>SUM(N6:N15)</f>
        <v>1223.2905602432515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421.74162189543699</v>
      </c>
      <c r="C9" s="34"/>
      <c r="D9" s="38">
        <f>IF( ISERROR(IND_andere_gas_kWh/1000),0,IND_andere_gas_kWh/1000)*0.902</f>
        <v>114.18297073649801</v>
      </c>
      <c r="E9" s="34">
        <f>C31*'E Balans VL '!I19/100/3.6*1000000</f>
        <v>2.4377295986281098</v>
      </c>
      <c r="F9" s="34">
        <f>C31*'E Balans VL '!L19/100/3.6*1000000+C31*'E Balans VL '!N19/100/3.6*1000000</f>
        <v>335.51575362162623</v>
      </c>
      <c r="G9" s="35"/>
      <c r="H9" s="34"/>
      <c r="I9" s="34"/>
      <c r="J9" s="41">
        <f>C31*'E Balans VL '!D19/100/3.6*1000000+C31*'E Balans VL '!E19/100/3.6*1000000</f>
        <v>3.9892072858057237E-2</v>
      </c>
      <c r="K9" s="34"/>
      <c r="L9" s="34"/>
      <c r="M9" s="34"/>
      <c r="N9" s="34">
        <f>C31*'E Balans VL '!Y19/100/3.6*1000000</f>
        <v>31.95331020412382</v>
      </c>
      <c r="O9" s="34"/>
      <c r="P9" s="34"/>
      <c r="R9" s="33"/>
    </row>
    <row r="10" spans="1:18">
      <c r="A10" s="6" t="s">
        <v>41</v>
      </c>
      <c r="B10" s="38">
        <f t="shared" si="0"/>
        <v>125.655455615425</v>
      </c>
      <c r="C10" s="34"/>
      <c r="D10" s="38">
        <f>IF( ISERROR(IND_voed_gas_kWh/1000),0,IND_voed_gas_kWh/1000)*0.902</f>
        <v>89.194720760358891</v>
      </c>
      <c r="E10" s="34">
        <f>C32*'E Balans VL '!I20/100/3.6*1000000</f>
        <v>1.2355218623850366</v>
      </c>
      <c r="F10" s="34">
        <f>C32*'E Balans VL '!L20/100/3.6*1000000+C32*'E Balans VL '!N20/100/3.6*1000000</f>
        <v>13.955678482070958</v>
      </c>
      <c r="G10" s="35"/>
      <c r="H10" s="34"/>
      <c r="I10" s="34"/>
      <c r="J10" s="41">
        <f>C32*'E Balans VL '!D20/100/3.6*1000000+C32*'E Balans VL '!E20/100/3.6*1000000</f>
        <v>4.9526519472476176E-4</v>
      </c>
      <c r="K10" s="34"/>
      <c r="L10" s="34"/>
      <c r="M10" s="34"/>
      <c r="N10" s="34">
        <f>C32*'E Balans VL '!Y20/100/3.6*1000000</f>
        <v>1.8606617248771811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1701.7611950420901</v>
      </c>
      <c r="C13" s="34"/>
      <c r="D13" s="38">
        <f>IF( ISERROR(IND_papier_gas_kWh/1000),0,IND_papier_gas_kWh/1000)*0.902</f>
        <v>0</v>
      </c>
      <c r="E13" s="34">
        <f>C35*'E Balans VL '!I23/100/3.6*1000000</f>
        <v>57.964453697343195</v>
      </c>
      <c r="F13" s="34">
        <f>C35*'E Balans VL '!L23/100/3.6*1000000+C35*'E Balans VL '!N23/100/3.6*1000000</f>
        <v>281.09100994542553</v>
      </c>
      <c r="G13" s="35"/>
      <c r="H13" s="34"/>
      <c r="I13" s="34"/>
      <c r="J13" s="41">
        <f>C35*'E Balans VL '!D23/100/3.6*1000000+C35*'E Balans VL '!E23/100/3.6*1000000</f>
        <v>0</v>
      </c>
      <c r="K13" s="34"/>
      <c r="L13" s="34"/>
      <c r="M13" s="34"/>
      <c r="N13" s="34">
        <f>C35*'E Balans VL '!Y23/100/3.6*1000000</f>
        <v>626.20248207807481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18349.265363970997</v>
      </c>
      <c r="C15" s="34"/>
      <c r="D15" s="38">
        <f>IF( ISERROR(IND_rest_gas_kWh/1000),0,IND_rest_gas_kWh/1000)*0.902</f>
        <v>30264.561655567268</v>
      </c>
      <c r="E15" s="34">
        <f>C37*'E Balans VL '!I15/100/3.6*1000000</f>
        <v>164.88082764240073</v>
      </c>
      <c r="F15" s="34">
        <f>C37*'E Balans VL '!L15/100/3.6*1000000+C37*'E Balans VL '!N15/100/3.6*1000000</f>
        <v>3613.345967711457</v>
      </c>
      <c r="G15" s="35"/>
      <c r="H15" s="34"/>
      <c r="I15" s="34"/>
      <c r="J15" s="41">
        <f>C37*'E Balans VL '!D15/100/3.6*1000000+C37*'E Balans VL '!E15/100/3.6*1000000</f>
        <v>92.27424258108644</v>
      </c>
      <c r="K15" s="34"/>
      <c r="L15" s="34"/>
      <c r="M15" s="34"/>
      <c r="N15" s="34">
        <f>C37*'E Balans VL '!Y15/100/3.6*1000000</f>
        <v>563.27410623617584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20598.423636523949</v>
      </c>
      <c r="C18" s="22">
        <f>C5+C16</f>
        <v>0</v>
      </c>
      <c r="D18" s="22">
        <f>MAX((D5+D16),0)</f>
        <v>30467.939347064126</v>
      </c>
      <c r="E18" s="22">
        <f>MAX((E5+E16),0)</f>
        <v>226.51853280075707</v>
      </c>
      <c r="F18" s="22">
        <f>MAX((F5+F16),0)</f>
        <v>4243.9084097605792</v>
      </c>
      <c r="G18" s="22"/>
      <c r="H18" s="22"/>
      <c r="I18" s="22"/>
      <c r="J18" s="22">
        <f>MAX((J5+J16),0)</f>
        <v>92.314629919139222</v>
      </c>
      <c r="K18" s="22"/>
      <c r="L18" s="22">
        <f>MAX((L5+L16),0)</f>
        <v>0</v>
      </c>
      <c r="M18" s="22"/>
      <c r="N18" s="22">
        <f>MAX((N5+N16),0)</f>
        <v>1223.2905602432515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0.20960000745821269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4317.4297478428443</v>
      </c>
      <c r="C22" s="24">
        <f ca="1">C18*C20</f>
        <v>0</v>
      </c>
      <c r="D22" s="24">
        <f>D18*D20</f>
        <v>6154.5237481069535</v>
      </c>
      <c r="E22" s="24">
        <f>E18*E20</f>
        <v>51.419706945771857</v>
      </c>
      <c r="F22" s="24">
        <f>F18*F20</f>
        <v>1133.1235454060748</v>
      </c>
      <c r="G22" s="24"/>
      <c r="H22" s="24"/>
      <c r="I22" s="24"/>
      <c r="J22" s="24">
        <f>J18*J20</f>
        <v>32.67937899137528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421.74162189543699</v>
      </c>
      <c r="C31" s="40">
        <f>IF(ISERROR(B31*3.6/1000000/'E Balans VL '!Z19*100),0,B31*3.6/1000000/'E Balans VL '!Z19*100)</f>
        <v>1.9605660380751681E-2</v>
      </c>
      <c r="D31" s="240" t="s">
        <v>707</v>
      </c>
    </row>
    <row r="32" spans="1:18">
      <c r="A32" s="174" t="s">
        <v>41</v>
      </c>
      <c r="B32" s="38">
        <f>IF( ISERROR(IND_voed_ele_kWh/1000),0,IND_voed_ele_kWh/1000)</f>
        <v>125.655455615425</v>
      </c>
      <c r="C32" s="40">
        <f>IF(ISERROR(B32*3.6/1000000/'E Balans VL '!Z20*100),0,B32*3.6/1000000/'E Balans VL '!Z20*100)</f>
        <v>4.441666584065306E-3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1701.7611950420901</v>
      </c>
      <c r="C35" s="40">
        <f>IF(ISERROR(B35*3.6/1000000/'E Balans VL '!Z22*100),0,B35*3.6/1000000/'E Balans VL '!Z22*100)</f>
        <v>0.34200601215899284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18349.265363970997</v>
      </c>
      <c r="C37" s="40">
        <f>IF(ISERROR(B37*3.6/1000000/'E Balans VL '!Z15*100),0,B37*3.6/1000000/'E Balans VL '!Z15*100)</f>
        <v>0.13856405946175107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188.82524502009201</v>
      </c>
      <c r="C5" s="18">
        <f>'Eigen informatie GS &amp; warmtenet'!B60</f>
        <v>0</v>
      </c>
      <c r="D5" s="31">
        <f>IF(ISERROR(SUM(LB_lb_gas_kWh,LB_rest_gas_kWh)/1000),0,SUM(LB_lb_gas_kWh,LB_rest_gas_kWh)/1000)*0.902</f>
        <v>78.872622593234041</v>
      </c>
      <c r="E5" s="18">
        <f>B17*'E Balans VL '!I25/3.6*1000000/100</f>
        <v>1.7788603251535822</v>
      </c>
      <c r="F5" s="18">
        <f>B17*('E Balans VL '!L25/3.6*1000000+'E Balans VL '!N25/3.6*1000000)/100</f>
        <v>616.19944009588539</v>
      </c>
      <c r="G5" s="19"/>
      <c r="H5" s="18"/>
      <c r="I5" s="18"/>
      <c r="J5" s="18">
        <f>('E Balans VL '!D25+'E Balans VL '!E25)/3.6*1000000*landbouw!B17/100</f>
        <v>23.358601254800739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188.82524502009201</v>
      </c>
      <c r="C8" s="22">
        <f>C5+C6</f>
        <v>0</v>
      </c>
      <c r="D8" s="22">
        <f>MAX((D5+D6),0)</f>
        <v>78.872622593234041</v>
      </c>
      <c r="E8" s="22">
        <f>MAX((E5+E6),0)</f>
        <v>1.7788603251535822</v>
      </c>
      <c r="F8" s="22">
        <f>MAX((F5+F6),0)</f>
        <v>616.19944009588539</v>
      </c>
      <c r="G8" s="22"/>
      <c r="H8" s="22"/>
      <c r="I8" s="22"/>
      <c r="J8" s="22">
        <f>MAX((J5+J6),0)</f>
        <v>23.358601254800739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0.20960000745821269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39.577772764510122</v>
      </c>
      <c r="C12" s="24">
        <f ca="1">C8*C10</f>
        <v>0</v>
      </c>
      <c r="D12" s="24">
        <f>D8*D10</f>
        <v>15.932269763833277</v>
      </c>
      <c r="E12" s="24">
        <f>E8*E10</f>
        <v>0.40380129380986318</v>
      </c>
      <c r="F12" s="24">
        <f>F8*F10</f>
        <v>164.52525050560141</v>
      </c>
      <c r="G12" s="24"/>
      <c r="H12" s="24"/>
      <c r="I12" s="24"/>
      <c r="J12" s="24">
        <f>J8*J10</f>
        <v>8.2689448441994617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2.5563920844759967E-2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79.629270248347069</v>
      </c>
      <c r="C26" s="250">
        <f>B26*'GWP N2O_CH4'!B5</f>
        <v>1672.2146752152885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11.198873451188526</v>
      </c>
      <c r="C27" s="250">
        <f>B27*'GWP N2O_CH4'!B5</f>
        <v>235.17634247495903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1.1754876763177458</v>
      </c>
      <c r="C28" s="250">
        <f>B28*'GWP N2O_CH4'!B4</f>
        <v>364.40117965850118</v>
      </c>
      <c r="D28" s="51"/>
    </row>
    <row r="29" spans="1:4">
      <c r="A29" s="42" t="s">
        <v>277</v>
      </c>
      <c r="B29" s="250">
        <f>B34*'ha_N2O bodem landbouw'!B4</f>
        <v>4.7376984097066615</v>
      </c>
      <c r="C29" s="250">
        <f>B29*'GWP N2O_CH4'!B4</f>
        <v>1468.6865070090651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1.2790294266106614E-3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2.2308682727380287E-5</v>
      </c>
      <c r="C5" s="447" t="s">
        <v>211</v>
      </c>
      <c r="D5" s="432">
        <f>SUM(D6:D11)</f>
        <v>7.2562309489500977E-5</v>
      </c>
      <c r="E5" s="432">
        <f>SUM(E6:E11)</f>
        <v>4.6247562812276946E-3</v>
      </c>
      <c r="F5" s="445" t="s">
        <v>211</v>
      </c>
      <c r="G5" s="432">
        <f>SUM(G6:G11)</f>
        <v>0.79797720285834672</v>
      </c>
      <c r="H5" s="432">
        <f>SUM(H6:H11)</f>
        <v>0.16372860228499481</v>
      </c>
      <c r="I5" s="447" t="s">
        <v>211</v>
      </c>
      <c r="J5" s="447" t="s">
        <v>211</v>
      </c>
      <c r="K5" s="447" t="s">
        <v>211</v>
      </c>
      <c r="L5" s="447" t="s">
        <v>211</v>
      </c>
      <c r="M5" s="432">
        <f>SUM(M6:M11)</f>
        <v>4.3023545114253173E-2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8.9031133789868746E-9</v>
      </c>
      <c r="C6" s="433"/>
      <c r="D6" s="433">
        <f>vkm_2011_GW_PW*SUMIFS(TableVerdeelsleutelVkm[CNG],TableVerdeelsleutelVkm[Voertuigtype],"Lichte voertuigen")*SUMIFS(TableECFTransport[EnergieConsumptieFactor (PJ per km)],TableECFTransport[Index],CONCATENATE($A6,"_CNG_CNG"))</f>
        <v>2.1741551972873426E-8</v>
      </c>
      <c r="E6" s="435">
        <f>vkm_2011_GW_PW*SUMIFS(TableVerdeelsleutelVkm[LPG],TableVerdeelsleutelVkm[Voertuigtype],"Lichte voertuigen")*SUMIFS(TableECFTransport[EnergieConsumptieFactor (PJ per km)],TableECFTransport[Index],CONCATENATE($A6,"_LPG_LPG"))</f>
        <v>1.2887268436329355E-6</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1.863006251549359E-4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4.8824041535294103E-5</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1.0529315583020371E-5</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2.932444259308356E-5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1.1831269322388585E-8</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1.3063948446028628E-6</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8.7277329071252342E-6</v>
      </c>
      <c r="C8" s="433"/>
      <c r="D8" s="435">
        <f>vkm_2011_NGW_PW*SUMIFS(TableVerdeelsleutelVkm[CNG],TableVerdeelsleutelVkm[Voertuigtype],"Lichte voertuigen")*SUMIFS(TableECFTransport[EnergieConsumptieFactor (PJ per km)],TableECFTransport[Index],CONCATENATE($A8,"_CNG_CNG"))</f>
        <v>3.8239627390599519E-5</v>
      </c>
      <c r="E8" s="435">
        <f>vkm_2011_NGW_PW*SUMIFS(TableVerdeelsleutelVkm[LPG],TableVerdeelsleutelVkm[Voertuigtype],"Lichte voertuigen")*SUMIFS(TableECFTransport[EnergieConsumptieFactor (PJ per km)],TableECFTransport[Index],CONCATENATE($A8,"_LPG_LPG"))</f>
        <v>2.0794217760693495E-3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0.28397690748519355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8.2231779010653816E-2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1.6406967283468313E-2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4.6658052517947128E-2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1.6390587895855706E-5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2.0784904719066502E-3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1.3572046706876066E-5</v>
      </c>
      <c r="C10" s="433"/>
      <c r="D10" s="435">
        <f>vkm_2011_SW_PW*SUMIFS(TableVerdeelsleutelVkm[CNG],TableVerdeelsleutelVkm[Voertuigtype],"Lichte voertuigen")*SUMIFS(TableECFTransport[EnergieConsumptieFactor (PJ per km)],TableECFTransport[Index],CONCATENATE($A10,"_CNG_CNG"))</f>
        <v>3.4300940546928583E-5</v>
      </c>
      <c r="E10" s="435">
        <f>vkm_2011_SW_PW*SUMIFS(TableVerdeelsleutelVkm[LPG],TableVerdeelsleutelVkm[Voertuigtype],"Lichte voertuigen")*SUMIFS(TableECFTransport[EnergieConsumptieFactor (PJ per km)],TableECFTransport[Index],CONCATENATE($A10,"_LPG_LPG"))</f>
        <v>2.5440457783147126E-3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0.33516380235996218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8.1375109946454735E-2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1.8647200629341359E-2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0.13196281542749583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5.6486867185787128E-5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5.8790510191092243E-3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6.1968563131611916</v>
      </c>
      <c r="C14" s="22"/>
      <c r="D14" s="22">
        <f t="shared" ref="D14:M14" si="0">((D5)*10^9/3600)+D12</f>
        <v>20.156197080416938</v>
      </c>
      <c r="E14" s="22">
        <f t="shared" si="0"/>
        <v>1284.6545225632485</v>
      </c>
      <c r="F14" s="22"/>
      <c r="G14" s="22">
        <f t="shared" si="0"/>
        <v>221660.33412731852</v>
      </c>
      <c r="H14" s="22">
        <f t="shared" si="0"/>
        <v>45480.167301387446</v>
      </c>
      <c r="I14" s="22"/>
      <c r="J14" s="22"/>
      <c r="K14" s="22"/>
      <c r="L14" s="22"/>
      <c r="M14" s="22">
        <f t="shared" si="0"/>
        <v>11950.984753959214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0.20960000745821269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1.2988611294560581</v>
      </c>
      <c r="C18" s="24"/>
      <c r="D18" s="24">
        <f t="shared" ref="D18:M18" si="1">D14*D16</f>
        <v>4.0715518102442214</v>
      </c>
      <c r="E18" s="24">
        <f t="shared" si="1"/>
        <v>291.6165766218574</v>
      </c>
      <c r="F18" s="24"/>
      <c r="G18" s="24">
        <f t="shared" si="1"/>
        <v>59183.309211994048</v>
      </c>
      <c r="H18" s="24">
        <f t="shared" si="1"/>
        <v>11324.561658045473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1.0374779415727349E-2</v>
      </c>
      <c r="H50" s="323">
        <f t="shared" si="2"/>
        <v>0</v>
      </c>
      <c r="I50" s="323">
        <f t="shared" si="2"/>
        <v>0</v>
      </c>
      <c r="J50" s="323">
        <f t="shared" si="2"/>
        <v>0</v>
      </c>
      <c r="K50" s="323">
        <f t="shared" si="2"/>
        <v>0</v>
      </c>
      <c r="L50" s="323">
        <f t="shared" si="2"/>
        <v>0</v>
      </c>
      <c r="M50" s="323">
        <f t="shared" si="2"/>
        <v>4.5557367841375033E-4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1.0374779415727349E-2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4.5557367841375033E-4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2881.8831710353747</v>
      </c>
      <c r="H54" s="22">
        <f t="shared" si="3"/>
        <v>0</v>
      </c>
      <c r="I54" s="22">
        <f t="shared" si="3"/>
        <v>0</v>
      </c>
      <c r="J54" s="22">
        <f t="shared" si="3"/>
        <v>0</v>
      </c>
      <c r="K54" s="22">
        <f t="shared" si="3"/>
        <v>0</v>
      </c>
      <c r="L54" s="22">
        <f t="shared" si="3"/>
        <v>0</v>
      </c>
      <c r="M54" s="22">
        <f t="shared" si="3"/>
        <v>126.54824400381953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0.20960000745821269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769.46280666644509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39859.890811355028</v>
      </c>
      <c r="D10" s="688">
        <f ca="1">tertiair!C16</f>
        <v>0</v>
      </c>
      <c r="E10" s="688">
        <f ca="1">tertiair!D16</f>
        <v>37784.81859493212</v>
      </c>
      <c r="F10" s="688">
        <f>tertiair!E16</f>
        <v>320.16250692494754</v>
      </c>
      <c r="G10" s="688">
        <f ca="1">tertiair!F16</f>
        <v>7615.6258265069628</v>
      </c>
      <c r="H10" s="688">
        <f>tertiair!G16</f>
        <v>0</v>
      </c>
      <c r="I10" s="688">
        <f>tertiair!H16</f>
        <v>0</v>
      </c>
      <c r="J10" s="688">
        <f>tertiair!I16</f>
        <v>0</v>
      </c>
      <c r="K10" s="688">
        <f>tertiair!J16</f>
        <v>0</v>
      </c>
      <c r="L10" s="688">
        <f>tertiair!K16</f>
        <v>0</v>
      </c>
      <c r="M10" s="688">
        <f ca="1">tertiair!L16</f>
        <v>0</v>
      </c>
      <c r="N10" s="688">
        <f>tertiair!M16</f>
        <v>0</v>
      </c>
      <c r="O10" s="688">
        <f ca="1">tertiair!N16</f>
        <v>1408.9974117243337</v>
      </c>
      <c r="P10" s="688">
        <f>tertiair!O16</f>
        <v>0</v>
      </c>
      <c r="Q10" s="689">
        <f>tertiair!P16</f>
        <v>0</v>
      </c>
      <c r="R10" s="691">
        <f ca="1">SUM(C10:Q10)</f>
        <v>86989.495151443392</v>
      </c>
      <c r="S10" s="68"/>
    </row>
    <row r="11" spans="1:19" s="457" customFormat="1">
      <c r="A11" s="803" t="s">
        <v>225</v>
      </c>
      <c r="B11" s="808"/>
      <c r="C11" s="688">
        <f>huishoudens!B8</f>
        <v>45016.959475529831</v>
      </c>
      <c r="D11" s="688">
        <f>huishoudens!C8</f>
        <v>0</v>
      </c>
      <c r="E11" s="688">
        <f>huishoudens!D8</f>
        <v>127937.89820180275</v>
      </c>
      <c r="F11" s="688">
        <f>huishoudens!E8</f>
        <v>3182.7609365428461</v>
      </c>
      <c r="G11" s="688">
        <f>huishoudens!F8</f>
        <v>25300.609694027848</v>
      </c>
      <c r="H11" s="688">
        <f>huishoudens!G8</f>
        <v>0</v>
      </c>
      <c r="I11" s="688">
        <f>huishoudens!H8</f>
        <v>0</v>
      </c>
      <c r="J11" s="688">
        <f>huishoudens!I8</f>
        <v>0</v>
      </c>
      <c r="K11" s="688">
        <f>huishoudens!J8</f>
        <v>0</v>
      </c>
      <c r="L11" s="688">
        <f>huishoudens!K8</f>
        <v>0</v>
      </c>
      <c r="M11" s="688">
        <f>huishoudens!L8</f>
        <v>0</v>
      </c>
      <c r="N11" s="688">
        <f>huishoudens!M8</f>
        <v>0</v>
      </c>
      <c r="O11" s="688">
        <f>huishoudens!N8</f>
        <v>11085.147662725109</v>
      </c>
      <c r="P11" s="688">
        <f>huishoudens!O8</f>
        <v>95.36333333333333</v>
      </c>
      <c r="Q11" s="689">
        <f>huishoudens!P8</f>
        <v>209.73333333333335</v>
      </c>
      <c r="R11" s="691">
        <f>SUM(C11:Q11)</f>
        <v>212828.47263729505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20598.423636523949</v>
      </c>
      <c r="D13" s="688">
        <f>industrie!C18</f>
        <v>0</v>
      </c>
      <c r="E13" s="688">
        <f>industrie!D18</f>
        <v>30467.939347064126</v>
      </c>
      <c r="F13" s="688">
        <f>industrie!E18</f>
        <v>226.51853280075707</v>
      </c>
      <c r="G13" s="688">
        <f>industrie!F18</f>
        <v>4243.9084097605792</v>
      </c>
      <c r="H13" s="688">
        <f>industrie!G18</f>
        <v>0</v>
      </c>
      <c r="I13" s="688">
        <f>industrie!H18</f>
        <v>0</v>
      </c>
      <c r="J13" s="688">
        <f>industrie!I18</f>
        <v>0</v>
      </c>
      <c r="K13" s="688">
        <f>industrie!J18</f>
        <v>92.314629919139222</v>
      </c>
      <c r="L13" s="688">
        <f>industrie!K18</f>
        <v>0</v>
      </c>
      <c r="M13" s="688">
        <f>industrie!L18</f>
        <v>0</v>
      </c>
      <c r="N13" s="688">
        <f>industrie!M18</f>
        <v>0</v>
      </c>
      <c r="O13" s="688">
        <f>industrie!N18</f>
        <v>1223.2905602432515</v>
      </c>
      <c r="P13" s="688">
        <f>industrie!O18</f>
        <v>0</v>
      </c>
      <c r="Q13" s="689">
        <f>industrie!P18</f>
        <v>0</v>
      </c>
      <c r="R13" s="691">
        <f>SUM(C13:Q13)</f>
        <v>56852.395116311796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105475.27392340881</v>
      </c>
      <c r="D16" s="721">
        <f t="shared" ref="D16:R16" ca="1" si="0">SUM(D9:D15)</f>
        <v>0</v>
      </c>
      <c r="E16" s="721">
        <f t="shared" ca="1" si="0"/>
        <v>196190.65614379899</v>
      </c>
      <c r="F16" s="721">
        <f t="shared" si="0"/>
        <v>3729.4419762685507</v>
      </c>
      <c r="G16" s="721">
        <f t="shared" ca="1" si="0"/>
        <v>37160.143930295395</v>
      </c>
      <c r="H16" s="721">
        <f t="shared" si="0"/>
        <v>0</v>
      </c>
      <c r="I16" s="721">
        <f t="shared" si="0"/>
        <v>0</v>
      </c>
      <c r="J16" s="721">
        <f t="shared" si="0"/>
        <v>0</v>
      </c>
      <c r="K16" s="721">
        <f t="shared" si="0"/>
        <v>92.314629919139222</v>
      </c>
      <c r="L16" s="721">
        <f t="shared" si="0"/>
        <v>0</v>
      </c>
      <c r="M16" s="721">
        <f t="shared" ca="1" si="0"/>
        <v>0</v>
      </c>
      <c r="N16" s="721">
        <f t="shared" si="0"/>
        <v>0</v>
      </c>
      <c r="O16" s="721">
        <f t="shared" ca="1" si="0"/>
        <v>13717.435634692694</v>
      </c>
      <c r="P16" s="721">
        <f t="shared" si="0"/>
        <v>95.36333333333333</v>
      </c>
      <c r="Q16" s="721">
        <f t="shared" si="0"/>
        <v>209.73333333333335</v>
      </c>
      <c r="R16" s="721">
        <f t="shared" ca="1" si="0"/>
        <v>356670.36290505022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2881.8831710353747</v>
      </c>
      <c r="I19" s="688">
        <f>transport!H54</f>
        <v>0</v>
      </c>
      <c r="J19" s="688">
        <f>transport!I54</f>
        <v>0</v>
      </c>
      <c r="K19" s="688">
        <f>transport!J54</f>
        <v>0</v>
      </c>
      <c r="L19" s="688">
        <f>transport!K54</f>
        <v>0</v>
      </c>
      <c r="M19" s="688">
        <f>transport!L54</f>
        <v>0</v>
      </c>
      <c r="N19" s="688">
        <f>transport!M54</f>
        <v>126.54824400381953</v>
      </c>
      <c r="O19" s="688">
        <f>transport!N54</f>
        <v>0</v>
      </c>
      <c r="P19" s="688">
        <f>transport!O54</f>
        <v>0</v>
      </c>
      <c r="Q19" s="689">
        <f>transport!P54</f>
        <v>0</v>
      </c>
      <c r="R19" s="691">
        <f>SUM(C19:Q19)</f>
        <v>3008.4314150391942</v>
      </c>
      <c r="S19" s="68"/>
    </row>
    <row r="20" spans="1:19" s="457" customFormat="1">
      <c r="A20" s="803" t="s">
        <v>307</v>
      </c>
      <c r="B20" s="808"/>
      <c r="C20" s="688">
        <f>transport!B14</f>
        <v>6.1968563131611916</v>
      </c>
      <c r="D20" s="688">
        <f>transport!C14</f>
        <v>0</v>
      </c>
      <c r="E20" s="688">
        <f>transport!D14</f>
        <v>20.156197080416938</v>
      </c>
      <c r="F20" s="688">
        <f>transport!E14</f>
        <v>1284.6545225632485</v>
      </c>
      <c r="G20" s="688">
        <f>transport!F14</f>
        <v>0</v>
      </c>
      <c r="H20" s="688">
        <f>transport!G14</f>
        <v>221660.33412731852</v>
      </c>
      <c r="I20" s="688">
        <f>transport!H14</f>
        <v>45480.167301387446</v>
      </c>
      <c r="J20" s="688">
        <f>transport!I14</f>
        <v>0</v>
      </c>
      <c r="K20" s="688">
        <f>transport!J14</f>
        <v>0</v>
      </c>
      <c r="L20" s="688">
        <f>transport!K14</f>
        <v>0</v>
      </c>
      <c r="M20" s="688">
        <f>transport!L14</f>
        <v>0</v>
      </c>
      <c r="N20" s="688">
        <f>transport!M14</f>
        <v>11950.984753959214</v>
      </c>
      <c r="O20" s="688">
        <f>transport!N14</f>
        <v>0</v>
      </c>
      <c r="P20" s="688">
        <f>transport!O14</f>
        <v>0</v>
      </c>
      <c r="Q20" s="689">
        <f>transport!P14</f>
        <v>0</v>
      </c>
      <c r="R20" s="691">
        <f>SUM(C20:Q20)</f>
        <v>280402.49375862203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6.1968563131611916</v>
      </c>
      <c r="D22" s="806">
        <f t="shared" ref="D22:R22" si="1">SUM(D18:D21)</f>
        <v>0</v>
      </c>
      <c r="E22" s="806">
        <f t="shared" si="1"/>
        <v>20.156197080416938</v>
      </c>
      <c r="F22" s="806">
        <f t="shared" si="1"/>
        <v>1284.6545225632485</v>
      </c>
      <c r="G22" s="806">
        <f t="shared" si="1"/>
        <v>0</v>
      </c>
      <c r="H22" s="806">
        <f t="shared" si="1"/>
        <v>224542.21729835391</v>
      </c>
      <c r="I22" s="806">
        <f t="shared" si="1"/>
        <v>45480.167301387446</v>
      </c>
      <c r="J22" s="806">
        <f t="shared" si="1"/>
        <v>0</v>
      </c>
      <c r="K22" s="806">
        <f t="shared" si="1"/>
        <v>0</v>
      </c>
      <c r="L22" s="806">
        <f t="shared" si="1"/>
        <v>0</v>
      </c>
      <c r="M22" s="806">
        <f t="shared" si="1"/>
        <v>0</v>
      </c>
      <c r="N22" s="806">
        <f t="shared" si="1"/>
        <v>12077.532997963033</v>
      </c>
      <c r="O22" s="806">
        <f t="shared" si="1"/>
        <v>0</v>
      </c>
      <c r="P22" s="806">
        <f t="shared" si="1"/>
        <v>0</v>
      </c>
      <c r="Q22" s="806">
        <f t="shared" si="1"/>
        <v>0</v>
      </c>
      <c r="R22" s="806">
        <f t="shared" si="1"/>
        <v>283410.92517366121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188.82524502009201</v>
      </c>
      <c r="D24" s="688">
        <f>+landbouw!C8</f>
        <v>0</v>
      </c>
      <c r="E24" s="688">
        <f>+landbouw!D8</f>
        <v>78.872622593234041</v>
      </c>
      <c r="F24" s="688">
        <f>+landbouw!E8</f>
        <v>1.7788603251535822</v>
      </c>
      <c r="G24" s="688">
        <f>+landbouw!F8</f>
        <v>616.19944009588539</v>
      </c>
      <c r="H24" s="688">
        <f>+landbouw!G8</f>
        <v>0</v>
      </c>
      <c r="I24" s="688">
        <f>+landbouw!H8</f>
        <v>0</v>
      </c>
      <c r="J24" s="688">
        <f>+landbouw!I8</f>
        <v>0</v>
      </c>
      <c r="K24" s="688">
        <f>+landbouw!J8</f>
        <v>23.358601254800739</v>
      </c>
      <c r="L24" s="688">
        <f>+landbouw!K8</f>
        <v>0</v>
      </c>
      <c r="M24" s="688">
        <f>+landbouw!L8</f>
        <v>0</v>
      </c>
      <c r="N24" s="688">
        <f>+landbouw!M8</f>
        <v>0</v>
      </c>
      <c r="O24" s="688">
        <f>+landbouw!N8</f>
        <v>0</v>
      </c>
      <c r="P24" s="688">
        <f>+landbouw!O8</f>
        <v>0</v>
      </c>
      <c r="Q24" s="689">
        <f>+landbouw!P8</f>
        <v>0</v>
      </c>
      <c r="R24" s="691">
        <f>SUM(C24:Q24)</f>
        <v>909.03476928916575</v>
      </c>
      <c r="S24" s="68"/>
    </row>
    <row r="25" spans="1:19" s="457" customFormat="1" ht="15" thickBot="1">
      <c r="A25" s="825" t="s">
        <v>912</v>
      </c>
      <c r="B25" s="1001"/>
      <c r="C25" s="1002">
        <f>IF(Onbekend_ele_kWh="---",0,Onbekend_ele_kWh)/1000+IF(REST_rest_ele_kWh="---",0,REST_rest_ele_kWh)/1000</f>
        <v>1358.8866702078099</v>
      </c>
      <c r="D25" s="1002"/>
      <c r="E25" s="1002">
        <f>IF(onbekend_gas_kWh="---",0,onbekend_gas_kWh)/1000+IF(REST_rest_gas_kWh="---",0,REST_rest_gas_kWh)/1000</f>
        <v>4279.0844039041003</v>
      </c>
      <c r="F25" s="1002"/>
      <c r="G25" s="1002"/>
      <c r="H25" s="1002"/>
      <c r="I25" s="1002"/>
      <c r="J25" s="1002"/>
      <c r="K25" s="1002"/>
      <c r="L25" s="1002"/>
      <c r="M25" s="1002"/>
      <c r="N25" s="1002"/>
      <c r="O25" s="1002"/>
      <c r="P25" s="1002"/>
      <c r="Q25" s="1003"/>
      <c r="R25" s="691">
        <f>SUM(C25:Q25)</f>
        <v>5637.9710741119106</v>
      </c>
      <c r="S25" s="68"/>
    </row>
    <row r="26" spans="1:19" s="457" customFormat="1" ht="15.75" thickBot="1">
      <c r="A26" s="694" t="s">
        <v>913</v>
      </c>
      <c r="B26" s="811"/>
      <c r="C26" s="806">
        <f>SUM(C24:C25)</f>
        <v>1547.711915227902</v>
      </c>
      <c r="D26" s="806">
        <f t="shared" ref="D26:R26" si="2">SUM(D24:D25)</f>
        <v>0</v>
      </c>
      <c r="E26" s="806">
        <f t="shared" si="2"/>
        <v>4357.9570264973345</v>
      </c>
      <c r="F26" s="806">
        <f t="shared" si="2"/>
        <v>1.7788603251535822</v>
      </c>
      <c r="G26" s="806">
        <f t="shared" si="2"/>
        <v>616.19944009588539</v>
      </c>
      <c r="H26" s="806">
        <f t="shared" si="2"/>
        <v>0</v>
      </c>
      <c r="I26" s="806">
        <f t="shared" si="2"/>
        <v>0</v>
      </c>
      <c r="J26" s="806">
        <f t="shared" si="2"/>
        <v>0</v>
      </c>
      <c r="K26" s="806">
        <f t="shared" si="2"/>
        <v>23.358601254800739</v>
      </c>
      <c r="L26" s="806">
        <f t="shared" si="2"/>
        <v>0</v>
      </c>
      <c r="M26" s="806">
        <f t="shared" si="2"/>
        <v>0</v>
      </c>
      <c r="N26" s="806">
        <f t="shared" si="2"/>
        <v>0</v>
      </c>
      <c r="O26" s="806">
        <f t="shared" si="2"/>
        <v>0</v>
      </c>
      <c r="P26" s="806">
        <f t="shared" si="2"/>
        <v>0</v>
      </c>
      <c r="Q26" s="806">
        <f t="shared" si="2"/>
        <v>0</v>
      </c>
      <c r="R26" s="806">
        <f t="shared" si="2"/>
        <v>6547.0058434010762</v>
      </c>
      <c r="S26" s="68"/>
    </row>
    <row r="27" spans="1:19" s="457" customFormat="1" ht="17.25" thickTop="1" thickBot="1">
      <c r="A27" s="695" t="s">
        <v>116</v>
      </c>
      <c r="B27" s="798"/>
      <c r="C27" s="696">
        <f ca="1">C22+C16+C26</f>
        <v>107029.18269494988</v>
      </c>
      <c r="D27" s="696">
        <f t="shared" ref="D27:R27" ca="1" si="3">D22+D16+D26</f>
        <v>0</v>
      </c>
      <c r="E27" s="696">
        <f t="shared" ca="1" si="3"/>
        <v>200568.76936737675</v>
      </c>
      <c r="F27" s="696">
        <f t="shared" si="3"/>
        <v>5015.875359156953</v>
      </c>
      <c r="G27" s="696">
        <f t="shared" ca="1" si="3"/>
        <v>37776.343370391281</v>
      </c>
      <c r="H27" s="696">
        <f t="shared" si="3"/>
        <v>224542.21729835391</v>
      </c>
      <c r="I27" s="696">
        <f t="shared" si="3"/>
        <v>45480.167301387446</v>
      </c>
      <c r="J27" s="696">
        <f t="shared" si="3"/>
        <v>0</v>
      </c>
      <c r="K27" s="696">
        <f t="shared" si="3"/>
        <v>115.67323117393997</v>
      </c>
      <c r="L27" s="696">
        <f t="shared" si="3"/>
        <v>0</v>
      </c>
      <c r="M27" s="696">
        <f t="shared" ca="1" si="3"/>
        <v>0</v>
      </c>
      <c r="N27" s="696">
        <f t="shared" si="3"/>
        <v>12077.532997963033</v>
      </c>
      <c r="O27" s="696">
        <f t="shared" ca="1" si="3"/>
        <v>13717.435634692694</v>
      </c>
      <c r="P27" s="696">
        <f t="shared" si="3"/>
        <v>95.36333333333333</v>
      </c>
      <c r="Q27" s="696">
        <f t="shared" si="3"/>
        <v>209.73333333333335</v>
      </c>
      <c r="R27" s="696">
        <f t="shared" ca="1" si="3"/>
        <v>646628.29392211244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8354.6334113435569</v>
      </c>
      <c r="D40" s="688">
        <f ca="1">tertiair!C20</f>
        <v>0</v>
      </c>
      <c r="E40" s="688">
        <f ca="1">tertiair!D20</f>
        <v>7632.5333561762891</v>
      </c>
      <c r="F40" s="688">
        <f>tertiair!E20</f>
        <v>72.676889071963089</v>
      </c>
      <c r="G40" s="688">
        <f ca="1">tertiair!F20</f>
        <v>2033.3720956773591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18093.215752269167</v>
      </c>
    </row>
    <row r="41" spans="1:18">
      <c r="A41" s="816" t="s">
        <v>225</v>
      </c>
      <c r="B41" s="823"/>
      <c r="C41" s="688">
        <f ca="1">huishoudens!B12</f>
        <v>9435.5550418171115</v>
      </c>
      <c r="D41" s="688">
        <f ca="1">huishoudens!C12</f>
        <v>0</v>
      </c>
      <c r="E41" s="688">
        <f>huishoudens!D12</f>
        <v>25843.455436764158</v>
      </c>
      <c r="F41" s="688">
        <f>huishoudens!E12</f>
        <v>722.48673259522604</v>
      </c>
      <c r="G41" s="688">
        <f>huishoudens!F12</f>
        <v>6755.2627883054356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42756.759999481939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4317.4297478428443</v>
      </c>
      <c r="D43" s="688">
        <f ca="1">industrie!C22</f>
        <v>0</v>
      </c>
      <c r="E43" s="688">
        <f>industrie!D22</f>
        <v>6154.5237481069535</v>
      </c>
      <c r="F43" s="688">
        <f>industrie!E22</f>
        <v>51.419706945771857</v>
      </c>
      <c r="G43" s="688">
        <f>industrie!F22</f>
        <v>1133.1235454060748</v>
      </c>
      <c r="H43" s="688">
        <f>industrie!G22</f>
        <v>0</v>
      </c>
      <c r="I43" s="688">
        <f>industrie!H22</f>
        <v>0</v>
      </c>
      <c r="J43" s="688">
        <f>industrie!I22</f>
        <v>0</v>
      </c>
      <c r="K43" s="688">
        <f>industrie!J22</f>
        <v>32.67937899137528</v>
      </c>
      <c r="L43" s="688">
        <f>industrie!K22</f>
        <v>0</v>
      </c>
      <c r="M43" s="688">
        <f>industrie!L22</f>
        <v>0</v>
      </c>
      <c r="N43" s="688">
        <f>industrie!M22</f>
        <v>0</v>
      </c>
      <c r="O43" s="688">
        <f>industrie!N22</f>
        <v>0</v>
      </c>
      <c r="P43" s="688">
        <f>industrie!O22</f>
        <v>0</v>
      </c>
      <c r="Q43" s="763">
        <f>industrie!P22</f>
        <v>0</v>
      </c>
      <c r="R43" s="843">
        <f t="shared" ca="1" si="4"/>
        <v>11689.17612729302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22107.618201003515</v>
      </c>
      <c r="D46" s="721">
        <f t="shared" ref="D46:Q46" ca="1" si="5">SUM(D39:D45)</f>
        <v>0</v>
      </c>
      <c r="E46" s="721">
        <f t="shared" ca="1" si="5"/>
        <v>39630.512541047407</v>
      </c>
      <c r="F46" s="721">
        <f t="shared" si="5"/>
        <v>846.58332861296094</v>
      </c>
      <c r="G46" s="721">
        <f t="shared" ca="1" si="5"/>
        <v>9921.7584293888704</v>
      </c>
      <c r="H46" s="721">
        <f t="shared" si="5"/>
        <v>0</v>
      </c>
      <c r="I46" s="721">
        <f t="shared" si="5"/>
        <v>0</v>
      </c>
      <c r="J46" s="721">
        <f t="shared" si="5"/>
        <v>0</v>
      </c>
      <c r="K46" s="721">
        <f t="shared" si="5"/>
        <v>32.67937899137528</v>
      </c>
      <c r="L46" s="721">
        <f t="shared" si="5"/>
        <v>0</v>
      </c>
      <c r="M46" s="721">
        <f t="shared" ca="1" si="5"/>
        <v>0</v>
      </c>
      <c r="N46" s="721">
        <f t="shared" si="5"/>
        <v>0</v>
      </c>
      <c r="O46" s="721">
        <f t="shared" ca="1" si="5"/>
        <v>0</v>
      </c>
      <c r="P46" s="721">
        <f t="shared" si="5"/>
        <v>0</v>
      </c>
      <c r="Q46" s="721">
        <f t="shared" si="5"/>
        <v>0</v>
      </c>
      <c r="R46" s="721">
        <f ca="1">SUM(R39:R45)</f>
        <v>72539.151879044119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769.46280666644509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769.46280666644509</v>
      </c>
    </row>
    <row r="50" spans="1:18">
      <c r="A50" s="819" t="s">
        <v>307</v>
      </c>
      <c r="B50" s="829"/>
      <c r="C50" s="1008">
        <f ca="1">transport!B18</f>
        <v>1.2988611294560581</v>
      </c>
      <c r="D50" s="1008">
        <f>transport!C18</f>
        <v>0</v>
      </c>
      <c r="E50" s="1008">
        <f>transport!D18</f>
        <v>4.0715518102442214</v>
      </c>
      <c r="F50" s="1008">
        <f>transport!E18</f>
        <v>291.6165766218574</v>
      </c>
      <c r="G50" s="1008">
        <f>transport!F18</f>
        <v>0</v>
      </c>
      <c r="H50" s="1008">
        <f>transport!G18</f>
        <v>59183.309211994048</v>
      </c>
      <c r="I50" s="1008">
        <f>transport!H18</f>
        <v>11324.561658045473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70804.857859601078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1.2988611294560581</v>
      </c>
      <c r="D52" s="721">
        <f t="shared" ref="D52:Q52" ca="1" si="6">SUM(D48:D51)</f>
        <v>0</v>
      </c>
      <c r="E52" s="721">
        <f t="shared" si="6"/>
        <v>4.0715518102442214</v>
      </c>
      <c r="F52" s="721">
        <f t="shared" si="6"/>
        <v>291.6165766218574</v>
      </c>
      <c r="G52" s="721">
        <f t="shared" si="6"/>
        <v>0</v>
      </c>
      <c r="H52" s="721">
        <f t="shared" si="6"/>
        <v>59952.772018660493</v>
      </c>
      <c r="I52" s="721">
        <f t="shared" si="6"/>
        <v>11324.561658045473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71574.320666267522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39.577772764510122</v>
      </c>
      <c r="D54" s="1008">
        <f ca="1">+landbouw!C12</f>
        <v>0</v>
      </c>
      <c r="E54" s="1008">
        <f>+landbouw!D12</f>
        <v>15.932269763833277</v>
      </c>
      <c r="F54" s="1008">
        <f>+landbouw!E12</f>
        <v>0.40380129380986318</v>
      </c>
      <c r="G54" s="1008">
        <f>+landbouw!F12</f>
        <v>164.52525050560141</v>
      </c>
      <c r="H54" s="1008">
        <f>+landbouw!G12</f>
        <v>0</v>
      </c>
      <c r="I54" s="1008">
        <f>+landbouw!H12</f>
        <v>0</v>
      </c>
      <c r="J54" s="1008">
        <f>+landbouw!I12</f>
        <v>0</v>
      </c>
      <c r="K54" s="1008">
        <f>+landbouw!J12</f>
        <v>8.2689448441994617</v>
      </c>
      <c r="L54" s="1008">
        <f>+landbouw!K12</f>
        <v>0</v>
      </c>
      <c r="M54" s="1008">
        <f>+landbouw!L12</f>
        <v>0</v>
      </c>
      <c r="N54" s="1008">
        <f>+landbouw!M12</f>
        <v>0</v>
      </c>
      <c r="O54" s="1008">
        <f>+landbouw!N12</f>
        <v>0</v>
      </c>
      <c r="P54" s="1008">
        <f>+landbouw!O12</f>
        <v>0</v>
      </c>
      <c r="Q54" s="1009">
        <f>+landbouw!P12</f>
        <v>0</v>
      </c>
      <c r="R54" s="720">
        <f ca="1">SUM(C54:Q54)</f>
        <v>228.70803917195414</v>
      </c>
    </row>
    <row r="55" spans="1:18" ht="15" thickBot="1">
      <c r="A55" s="819" t="s">
        <v>912</v>
      </c>
      <c r="B55" s="829"/>
      <c r="C55" s="1008">
        <f ca="1">C25*'EF ele_warmte'!B12</f>
        <v>284.82265621042274</v>
      </c>
      <c r="D55" s="1008"/>
      <c r="E55" s="1008">
        <f>E25*EF_CO2_aardgas</f>
        <v>864.37504958862837</v>
      </c>
      <c r="F55" s="1008"/>
      <c r="G55" s="1008"/>
      <c r="H55" s="1008"/>
      <c r="I55" s="1008"/>
      <c r="J55" s="1008"/>
      <c r="K55" s="1008"/>
      <c r="L55" s="1008"/>
      <c r="M55" s="1008"/>
      <c r="N55" s="1008"/>
      <c r="O55" s="1008"/>
      <c r="P55" s="1008"/>
      <c r="Q55" s="1009"/>
      <c r="R55" s="720">
        <f ca="1">SUM(C55:Q55)</f>
        <v>1149.1977057990512</v>
      </c>
    </row>
    <row r="56" spans="1:18" ht="15.75" thickBot="1">
      <c r="A56" s="817" t="s">
        <v>913</v>
      </c>
      <c r="B56" s="830"/>
      <c r="C56" s="721">
        <f ca="1">SUM(C54:C55)</f>
        <v>324.40042897493288</v>
      </c>
      <c r="D56" s="721">
        <f t="shared" ref="D56:Q56" ca="1" si="7">SUM(D54:D55)</f>
        <v>0</v>
      </c>
      <c r="E56" s="721">
        <f t="shared" si="7"/>
        <v>880.3073193524616</v>
      </c>
      <c r="F56" s="721">
        <f t="shared" si="7"/>
        <v>0.40380129380986318</v>
      </c>
      <c r="G56" s="721">
        <f t="shared" si="7"/>
        <v>164.52525050560141</v>
      </c>
      <c r="H56" s="721">
        <f t="shared" si="7"/>
        <v>0</v>
      </c>
      <c r="I56" s="721">
        <f t="shared" si="7"/>
        <v>0</v>
      </c>
      <c r="J56" s="721">
        <f t="shared" si="7"/>
        <v>0</v>
      </c>
      <c r="K56" s="721">
        <f t="shared" si="7"/>
        <v>8.2689448441994617</v>
      </c>
      <c r="L56" s="721">
        <f t="shared" si="7"/>
        <v>0</v>
      </c>
      <c r="M56" s="721">
        <f t="shared" si="7"/>
        <v>0</v>
      </c>
      <c r="N56" s="721">
        <f t="shared" si="7"/>
        <v>0</v>
      </c>
      <c r="O56" s="721">
        <f t="shared" si="7"/>
        <v>0</v>
      </c>
      <c r="P56" s="721">
        <f t="shared" si="7"/>
        <v>0</v>
      </c>
      <c r="Q56" s="722">
        <f t="shared" si="7"/>
        <v>0</v>
      </c>
      <c r="R56" s="723">
        <f ca="1">SUM(R54:R55)</f>
        <v>1377.9057449710053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22433.317491107904</v>
      </c>
      <c r="D61" s="729">
        <f t="shared" ref="D61:Q61" ca="1" si="8">D46+D52+D56</f>
        <v>0</v>
      </c>
      <c r="E61" s="729">
        <f t="shared" ca="1" si="8"/>
        <v>40514.891412210112</v>
      </c>
      <c r="F61" s="729">
        <f t="shared" si="8"/>
        <v>1138.6037065286282</v>
      </c>
      <c r="G61" s="729">
        <f t="shared" ca="1" si="8"/>
        <v>10086.283679894472</v>
      </c>
      <c r="H61" s="729">
        <f t="shared" si="8"/>
        <v>59952.772018660493</v>
      </c>
      <c r="I61" s="729">
        <f t="shared" si="8"/>
        <v>11324.561658045473</v>
      </c>
      <c r="J61" s="729">
        <f t="shared" si="8"/>
        <v>0</v>
      </c>
      <c r="K61" s="729">
        <f t="shared" si="8"/>
        <v>40.94832383557474</v>
      </c>
      <c r="L61" s="729">
        <f t="shared" si="8"/>
        <v>0</v>
      </c>
      <c r="M61" s="729">
        <f t="shared" ca="1" si="8"/>
        <v>0</v>
      </c>
      <c r="N61" s="729">
        <f t="shared" si="8"/>
        <v>0</v>
      </c>
      <c r="O61" s="729">
        <f t="shared" ca="1" si="8"/>
        <v>0</v>
      </c>
      <c r="P61" s="729">
        <f t="shared" si="8"/>
        <v>0</v>
      </c>
      <c r="Q61" s="729">
        <f t="shared" si="8"/>
        <v>0</v>
      </c>
      <c r="R61" s="729">
        <f ca="1">R46+R52+R56</f>
        <v>145491.37829028265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0.20960000745821269</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5520.9587532851529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5520.9587532851529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5520.9587532851529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5520.9587532851529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45016.959475529831</v>
      </c>
      <c r="C4" s="461">
        <f>huishoudens!C8</f>
        <v>0</v>
      </c>
      <c r="D4" s="461">
        <f>huishoudens!D8</f>
        <v>127937.89820180275</v>
      </c>
      <c r="E4" s="461">
        <f>huishoudens!E8</f>
        <v>3182.7609365428461</v>
      </c>
      <c r="F4" s="461">
        <f>huishoudens!F8</f>
        <v>25300.609694027848</v>
      </c>
      <c r="G4" s="461">
        <f>huishoudens!G8</f>
        <v>0</v>
      </c>
      <c r="H4" s="461">
        <f>huishoudens!H8</f>
        <v>0</v>
      </c>
      <c r="I4" s="461">
        <f>huishoudens!I8</f>
        <v>0</v>
      </c>
      <c r="J4" s="461">
        <f>huishoudens!J8</f>
        <v>0</v>
      </c>
      <c r="K4" s="461">
        <f>huishoudens!K8</f>
        <v>0</v>
      </c>
      <c r="L4" s="461">
        <f>huishoudens!L8</f>
        <v>0</v>
      </c>
      <c r="M4" s="461">
        <f>huishoudens!M8</f>
        <v>0</v>
      </c>
      <c r="N4" s="461">
        <f>huishoudens!N8</f>
        <v>11085.147662725109</v>
      </c>
      <c r="O4" s="461">
        <f>huishoudens!O8</f>
        <v>95.36333333333333</v>
      </c>
      <c r="P4" s="462">
        <f>huishoudens!P8</f>
        <v>209.73333333333335</v>
      </c>
      <c r="Q4" s="463">
        <f>SUM(B4:P4)</f>
        <v>212828.47263729505</v>
      </c>
    </row>
    <row r="5" spans="1:17">
      <c r="A5" s="460" t="s">
        <v>156</v>
      </c>
      <c r="B5" s="461">
        <f ca="1">tertiair!B16</f>
        <v>37658.208811355027</v>
      </c>
      <c r="C5" s="461">
        <f ca="1">tertiair!C16</f>
        <v>0</v>
      </c>
      <c r="D5" s="461">
        <f ca="1">tertiair!D16</f>
        <v>37784.81859493212</v>
      </c>
      <c r="E5" s="461">
        <f>tertiair!E16</f>
        <v>320.16250692494754</v>
      </c>
      <c r="F5" s="461">
        <f ca="1">tertiair!F16</f>
        <v>7615.6258265069628</v>
      </c>
      <c r="G5" s="461">
        <f>tertiair!G16</f>
        <v>0</v>
      </c>
      <c r="H5" s="461">
        <f>tertiair!H16</f>
        <v>0</v>
      </c>
      <c r="I5" s="461">
        <f>tertiair!I16</f>
        <v>0</v>
      </c>
      <c r="J5" s="461">
        <f>tertiair!J16</f>
        <v>0</v>
      </c>
      <c r="K5" s="461">
        <f>tertiair!K16</f>
        <v>0</v>
      </c>
      <c r="L5" s="461">
        <f ca="1">tertiair!L16</f>
        <v>0</v>
      </c>
      <c r="M5" s="461">
        <f>tertiair!M16</f>
        <v>0</v>
      </c>
      <c r="N5" s="461">
        <f ca="1">tertiair!N16</f>
        <v>1408.9974117243337</v>
      </c>
      <c r="O5" s="461">
        <f>tertiair!O16</f>
        <v>0</v>
      </c>
      <c r="P5" s="462">
        <f>tertiair!P16</f>
        <v>0</v>
      </c>
      <c r="Q5" s="460">
        <f t="shared" ref="Q5:Q14" ca="1" si="0">SUM(B5:P5)</f>
        <v>84787.813151443392</v>
      </c>
    </row>
    <row r="6" spans="1:17">
      <c r="A6" s="460" t="s">
        <v>194</v>
      </c>
      <c r="B6" s="461">
        <f>'openbare verlichting'!B8</f>
        <v>2201.6819999999998</v>
      </c>
      <c r="C6" s="461"/>
      <c r="D6" s="461"/>
      <c r="E6" s="461"/>
      <c r="F6" s="461"/>
      <c r="G6" s="461"/>
      <c r="H6" s="461"/>
      <c r="I6" s="461"/>
      <c r="J6" s="461"/>
      <c r="K6" s="461"/>
      <c r="L6" s="461"/>
      <c r="M6" s="461"/>
      <c r="N6" s="461"/>
      <c r="O6" s="461"/>
      <c r="P6" s="462"/>
      <c r="Q6" s="460">
        <f t="shared" si="0"/>
        <v>2201.6819999999998</v>
      </c>
    </row>
    <row r="7" spans="1:17">
      <c r="A7" s="460" t="s">
        <v>112</v>
      </c>
      <c r="B7" s="461">
        <f>landbouw!B8</f>
        <v>188.82524502009201</v>
      </c>
      <c r="C7" s="461">
        <f>landbouw!C8</f>
        <v>0</v>
      </c>
      <c r="D7" s="461">
        <f>landbouw!D8</f>
        <v>78.872622593234041</v>
      </c>
      <c r="E7" s="461">
        <f>landbouw!E8</f>
        <v>1.7788603251535822</v>
      </c>
      <c r="F7" s="461">
        <f>landbouw!F8</f>
        <v>616.19944009588539</v>
      </c>
      <c r="G7" s="461">
        <f>landbouw!G8</f>
        <v>0</v>
      </c>
      <c r="H7" s="461">
        <f>landbouw!H8</f>
        <v>0</v>
      </c>
      <c r="I7" s="461">
        <f>landbouw!I8</f>
        <v>0</v>
      </c>
      <c r="J7" s="461">
        <f>landbouw!J8</f>
        <v>23.358601254800739</v>
      </c>
      <c r="K7" s="461">
        <f>landbouw!K8</f>
        <v>0</v>
      </c>
      <c r="L7" s="461">
        <f>landbouw!L8</f>
        <v>0</v>
      </c>
      <c r="M7" s="461">
        <f>landbouw!M8</f>
        <v>0</v>
      </c>
      <c r="N7" s="461">
        <f>landbouw!N8</f>
        <v>0</v>
      </c>
      <c r="O7" s="461">
        <f>landbouw!O8</f>
        <v>0</v>
      </c>
      <c r="P7" s="462">
        <f>landbouw!P8</f>
        <v>0</v>
      </c>
      <c r="Q7" s="460">
        <f t="shared" si="0"/>
        <v>909.03476928916575</v>
      </c>
    </row>
    <row r="8" spans="1:17">
      <c r="A8" s="460" t="s">
        <v>685</v>
      </c>
      <c r="B8" s="461">
        <f>industrie!B18</f>
        <v>20598.423636523949</v>
      </c>
      <c r="C8" s="461">
        <f>industrie!C18</f>
        <v>0</v>
      </c>
      <c r="D8" s="461">
        <f>industrie!D18</f>
        <v>30467.939347064126</v>
      </c>
      <c r="E8" s="461">
        <f>industrie!E18</f>
        <v>226.51853280075707</v>
      </c>
      <c r="F8" s="461">
        <f>industrie!F18</f>
        <v>4243.9084097605792</v>
      </c>
      <c r="G8" s="461">
        <f>industrie!G18</f>
        <v>0</v>
      </c>
      <c r="H8" s="461">
        <f>industrie!H18</f>
        <v>0</v>
      </c>
      <c r="I8" s="461">
        <f>industrie!I18</f>
        <v>0</v>
      </c>
      <c r="J8" s="461">
        <f>industrie!J18</f>
        <v>92.314629919139222</v>
      </c>
      <c r="K8" s="461">
        <f>industrie!K18</f>
        <v>0</v>
      </c>
      <c r="L8" s="461">
        <f>industrie!L18</f>
        <v>0</v>
      </c>
      <c r="M8" s="461">
        <f>industrie!M18</f>
        <v>0</v>
      </c>
      <c r="N8" s="461">
        <f>industrie!N18</f>
        <v>1223.2905602432515</v>
      </c>
      <c r="O8" s="461">
        <f>industrie!O18</f>
        <v>0</v>
      </c>
      <c r="P8" s="462">
        <f>industrie!P18</f>
        <v>0</v>
      </c>
      <c r="Q8" s="460">
        <f t="shared" si="0"/>
        <v>56852.395116311796</v>
      </c>
    </row>
    <row r="9" spans="1:17" s="466" customFormat="1">
      <c r="A9" s="464" t="s">
        <v>579</v>
      </c>
      <c r="B9" s="465">
        <f>transport!B14</f>
        <v>6.1968563131611916</v>
      </c>
      <c r="C9" s="465">
        <f>transport!C14</f>
        <v>0</v>
      </c>
      <c r="D9" s="465">
        <f>transport!D14</f>
        <v>20.156197080416938</v>
      </c>
      <c r="E9" s="465">
        <f>transport!E14</f>
        <v>1284.6545225632485</v>
      </c>
      <c r="F9" s="465">
        <f>transport!F14</f>
        <v>0</v>
      </c>
      <c r="G9" s="465">
        <f>transport!G14</f>
        <v>221660.33412731852</v>
      </c>
      <c r="H9" s="465">
        <f>transport!H14</f>
        <v>45480.167301387446</v>
      </c>
      <c r="I9" s="465">
        <f>transport!I14</f>
        <v>0</v>
      </c>
      <c r="J9" s="465">
        <f>transport!J14</f>
        <v>0</v>
      </c>
      <c r="K9" s="465">
        <f>transport!K14</f>
        <v>0</v>
      </c>
      <c r="L9" s="465">
        <f>transport!L14</f>
        <v>0</v>
      </c>
      <c r="M9" s="465">
        <f>transport!M14</f>
        <v>11950.984753959214</v>
      </c>
      <c r="N9" s="465">
        <f>transport!N14</f>
        <v>0</v>
      </c>
      <c r="O9" s="465">
        <f>transport!O14</f>
        <v>0</v>
      </c>
      <c r="P9" s="465">
        <f>transport!P14</f>
        <v>0</v>
      </c>
      <c r="Q9" s="464">
        <f>SUM(B9:P9)</f>
        <v>280402.49375862203</v>
      </c>
    </row>
    <row r="10" spans="1:17">
      <c r="A10" s="460" t="s">
        <v>569</v>
      </c>
      <c r="B10" s="461">
        <f>transport!B54</f>
        <v>0</v>
      </c>
      <c r="C10" s="461">
        <f>transport!C54</f>
        <v>0</v>
      </c>
      <c r="D10" s="461">
        <f>transport!D54</f>
        <v>0</v>
      </c>
      <c r="E10" s="461">
        <f>transport!E54</f>
        <v>0</v>
      </c>
      <c r="F10" s="461">
        <f>transport!F54</f>
        <v>0</v>
      </c>
      <c r="G10" s="461">
        <f>transport!G54</f>
        <v>2881.8831710353747</v>
      </c>
      <c r="H10" s="461">
        <f>transport!H54</f>
        <v>0</v>
      </c>
      <c r="I10" s="461">
        <f>transport!I54</f>
        <v>0</v>
      </c>
      <c r="J10" s="461">
        <f>transport!J54</f>
        <v>0</v>
      </c>
      <c r="K10" s="461">
        <f>transport!K54</f>
        <v>0</v>
      </c>
      <c r="L10" s="461">
        <f>transport!L54</f>
        <v>0</v>
      </c>
      <c r="M10" s="461">
        <f>transport!M54</f>
        <v>126.54824400381953</v>
      </c>
      <c r="N10" s="461">
        <f>transport!N54</f>
        <v>0</v>
      </c>
      <c r="O10" s="461">
        <f>transport!O54</f>
        <v>0</v>
      </c>
      <c r="P10" s="462">
        <f>transport!P54</f>
        <v>0</v>
      </c>
      <c r="Q10" s="460">
        <f t="shared" si="0"/>
        <v>3008.4314150391942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1358.8866702078099</v>
      </c>
      <c r="C14" s="468"/>
      <c r="D14" s="468">
        <f>'SEAP template'!E25</f>
        <v>4279.0844039041003</v>
      </c>
      <c r="E14" s="468"/>
      <c r="F14" s="468"/>
      <c r="G14" s="468"/>
      <c r="H14" s="468"/>
      <c r="I14" s="468"/>
      <c r="J14" s="468"/>
      <c r="K14" s="468"/>
      <c r="L14" s="468"/>
      <c r="M14" s="468"/>
      <c r="N14" s="468"/>
      <c r="O14" s="468"/>
      <c r="P14" s="469"/>
      <c r="Q14" s="460">
        <f t="shared" si="0"/>
        <v>5637.9710741119106</v>
      </c>
    </row>
    <row r="15" spans="1:17" s="473" customFormat="1">
      <c r="A15" s="470" t="s">
        <v>573</v>
      </c>
      <c r="B15" s="471">
        <f ca="1">SUM(B4:B14)</f>
        <v>107029.18269494988</v>
      </c>
      <c r="C15" s="471">
        <f t="shared" ref="C15:Q15" ca="1" si="1">SUM(C4:C14)</f>
        <v>0</v>
      </c>
      <c r="D15" s="471">
        <f t="shared" ca="1" si="1"/>
        <v>200568.76936737675</v>
      </c>
      <c r="E15" s="471">
        <f t="shared" si="1"/>
        <v>5015.875359156953</v>
      </c>
      <c r="F15" s="471">
        <f t="shared" ca="1" si="1"/>
        <v>37776.343370391281</v>
      </c>
      <c r="G15" s="471">
        <f t="shared" si="1"/>
        <v>224542.21729835391</v>
      </c>
      <c r="H15" s="471">
        <f t="shared" si="1"/>
        <v>45480.167301387446</v>
      </c>
      <c r="I15" s="471">
        <f t="shared" si="1"/>
        <v>0</v>
      </c>
      <c r="J15" s="471">
        <f t="shared" si="1"/>
        <v>115.67323117393997</v>
      </c>
      <c r="K15" s="471">
        <f t="shared" si="1"/>
        <v>0</v>
      </c>
      <c r="L15" s="471">
        <f t="shared" ca="1" si="1"/>
        <v>0</v>
      </c>
      <c r="M15" s="471">
        <f t="shared" si="1"/>
        <v>12077.532997963033</v>
      </c>
      <c r="N15" s="471">
        <f t="shared" ca="1" si="1"/>
        <v>13717.435634692694</v>
      </c>
      <c r="O15" s="471">
        <f t="shared" si="1"/>
        <v>95.36333333333333</v>
      </c>
      <c r="P15" s="471">
        <f t="shared" si="1"/>
        <v>209.73333333333335</v>
      </c>
      <c r="Q15" s="471">
        <f t="shared" ca="1" si="1"/>
        <v>646628.29392211256</v>
      </c>
    </row>
    <row r="17" spans="1:17">
      <c r="A17" s="474" t="s">
        <v>574</v>
      </c>
      <c r="B17" s="778">
        <f ca="1">huishoudens!B10</f>
        <v>0.20960000745821269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9435.5550418171115</v>
      </c>
      <c r="C22" s="461">
        <f t="shared" ref="C22:C32" ca="1" si="3">C4*$C$17</f>
        <v>0</v>
      </c>
      <c r="D22" s="461">
        <f t="shared" ref="D22:D32" si="4">D4*$D$17</f>
        <v>25843.455436764158</v>
      </c>
      <c r="E22" s="461">
        <f t="shared" ref="E22:E32" si="5">E4*$E$17</f>
        <v>722.48673259522604</v>
      </c>
      <c r="F22" s="461">
        <f t="shared" ref="F22:F32" si="6">F4*$F$17</f>
        <v>6755.2627883054356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42756.759999481939</v>
      </c>
    </row>
    <row r="23" spans="1:17">
      <c r="A23" s="460" t="s">
        <v>156</v>
      </c>
      <c r="B23" s="461">
        <f t="shared" ca="1" si="2"/>
        <v>7893.1608477229447</v>
      </c>
      <c r="C23" s="461">
        <f t="shared" ca="1" si="3"/>
        <v>0</v>
      </c>
      <c r="D23" s="461">
        <f t="shared" ca="1" si="4"/>
        <v>7632.5333561762891</v>
      </c>
      <c r="E23" s="461">
        <f t="shared" si="5"/>
        <v>72.676889071963089</v>
      </c>
      <c r="F23" s="461">
        <f t="shared" ca="1" si="6"/>
        <v>2033.3720956773591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17631.743188648557</v>
      </c>
    </row>
    <row r="24" spans="1:17">
      <c r="A24" s="460" t="s">
        <v>194</v>
      </c>
      <c r="B24" s="461">
        <f t="shared" ca="1" si="2"/>
        <v>461.47256362061262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461.47256362061262</v>
      </c>
    </row>
    <row r="25" spans="1:17">
      <c r="A25" s="460" t="s">
        <v>112</v>
      </c>
      <c r="B25" s="461">
        <f t="shared" ca="1" si="2"/>
        <v>39.577772764510122</v>
      </c>
      <c r="C25" s="461">
        <f t="shared" ca="1" si="3"/>
        <v>0</v>
      </c>
      <c r="D25" s="461">
        <f t="shared" si="4"/>
        <v>15.932269763833277</v>
      </c>
      <c r="E25" s="461">
        <f t="shared" si="5"/>
        <v>0.40380129380986318</v>
      </c>
      <c r="F25" s="461">
        <f t="shared" si="6"/>
        <v>164.52525050560141</v>
      </c>
      <c r="G25" s="461">
        <f t="shared" si="7"/>
        <v>0</v>
      </c>
      <c r="H25" s="461">
        <f t="shared" si="8"/>
        <v>0</v>
      </c>
      <c r="I25" s="461">
        <f t="shared" si="9"/>
        <v>0</v>
      </c>
      <c r="J25" s="461">
        <f t="shared" si="10"/>
        <v>8.2689448441994617</v>
      </c>
      <c r="K25" s="461">
        <f t="shared" si="11"/>
        <v>0</v>
      </c>
      <c r="L25" s="461">
        <f t="shared" si="12"/>
        <v>0</v>
      </c>
      <c r="M25" s="461">
        <f t="shared" si="13"/>
        <v>0</v>
      </c>
      <c r="N25" s="461">
        <f t="shared" si="14"/>
        <v>0</v>
      </c>
      <c r="O25" s="461">
        <f t="shared" si="15"/>
        <v>0</v>
      </c>
      <c r="P25" s="462">
        <f t="shared" si="16"/>
        <v>0</v>
      </c>
      <c r="Q25" s="460">
        <f t="shared" ca="1" si="17"/>
        <v>228.70803917195414</v>
      </c>
    </row>
    <row r="26" spans="1:17">
      <c r="A26" s="460" t="s">
        <v>685</v>
      </c>
      <c r="B26" s="461">
        <f t="shared" ca="1" si="2"/>
        <v>4317.4297478428443</v>
      </c>
      <c r="C26" s="461">
        <f t="shared" ca="1" si="3"/>
        <v>0</v>
      </c>
      <c r="D26" s="461">
        <f t="shared" si="4"/>
        <v>6154.5237481069535</v>
      </c>
      <c r="E26" s="461">
        <f t="shared" si="5"/>
        <v>51.419706945771857</v>
      </c>
      <c r="F26" s="461">
        <f t="shared" si="6"/>
        <v>1133.1235454060748</v>
      </c>
      <c r="G26" s="461">
        <f t="shared" si="7"/>
        <v>0</v>
      </c>
      <c r="H26" s="461">
        <f t="shared" si="8"/>
        <v>0</v>
      </c>
      <c r="I26" s="461">
        <f t="shared" si="9"/>
        <v>0</v>
      </c>
      <c r="J26" s="461">
        <f t="shared" si="10"/>
        <v>32.67937899137528</v>
      </c>
      <c r="K26" s="461">
        <f t="shared" si="11"/>
        <v>0</v>
      </c>
      <c r="L26" s="461">
        <f t="shared" si="12"/>
        <v>0</v>
      </c>
      <c r="M26" s="461">
        <f t="shared" si="13"/>
        <v>0</v>
      </c>
      <c r="N26" s="461">
        <f t="shared" si="14"/>
        <v>0</v>
      </c>
      <c r="O26" s="461">
        <f t="shared" si="15"/>
        <v>0</v>
      </c>
      <c r="P26" s="462">
        <f t="shared" si="16"/>
        <v>0</v>
      </c>
      <c r="Q26" s="460">
        <f t="shared" ca="1" si="17"/>
        <v>11689.17612729302</v>
      </c>
    </row>
    <row r="27" spans="1:17" s="466" customFormat="1">
      <c r="A27" s="464" t="s">
        <v>579</v>
      </c>
      <c r="B27" s="772">
        <f t="shared" ca="1" si="2"/>
        <v>1.2988611294560581</v>
      </c>
      <c r="C27" s="465">
        <f t="shared" ca="1" si="3"/>
        <v>0</v>
      </c>
      <c r="D27" s="465">
        <f t="shared" si="4"/>
        <v>4.0715518102442214</v>
      </c>
      <c r="E27" s="465">
        <f t="shared" si="5"/>
        <v>291.6165766218574</v>
      </c>
      <c r="F27" s="465">
        <f t="shared" si="6"/>
        <v>0</v>
      </c>
      <c r="G27" s="465">
        <f t="shared" si="7"/>
        <v>59183.309211994048</v>
      </c>
      <c r="H27" s="465">
        <f t="shared" si="8"/>
        <v>11324.561658045473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70804.857859601078</v>
      </c>
    </row>
    <row r="28" spans="1:17">
      <c r="A28" s="460" t="s">
        <v>569</v>
      </c>
      <c r="B28" s="461">
        <f t="shared" ca="1" si="2"/>
        <v>0</v>
      </c>
      <c r="C28" s="461">
        <f t="shared" ca="1" si="3"/>
        <v>0</v>
      </c>
      <c r="D28" s="461">
        <f t="shared" si="4"/>
        <v>0</v>
      </c>
      <c r="E28" s="461">
        <f t="shared" si="5"/>
        <v>0</v>
      </c>
      <c r="F28" s="461">
        <f t="shared" si="6"/>
        <v>0</v>
      </c>
      <c r="G28" s="461">
        <f t="shared" si="7"/>
        <v>769.46280666644509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769.46280666644509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284.82265621042274</v>
      </c>
      <c r="C32" s="461">
        <f t="shared" ca="1" si="3"/>
        <v>0</v>
      </c>
      <c r="D32" s="461">
        <f t="shared" si="4"/>
        <v>864.37504958862837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1149.1977057990512</v>
      </c>
    </row>
    <row r="33" spans="1:17" s="473" customFormat="1">
      <c r="A33" s="470" t="s">
        <v>573</v>
      </c>
      <c r="B33" s="471">
        <f ca="1">SUM(B22:B32)</f>
        <v>22433.317491107904</v>
      </c>
      <c r="C33" s="471">
        <f t="shared" ref="C33:Q33" ca="1" si="18">SUM(C22:C32)</f>
        <v>0</v>
      </c>
      <c r="D33" s="471">
        <f t="shared" ca="1" si="18"/>
        <v>40514.891412210112</v>
      </c>
      <c r="E33" s="471">
        <f t="shared" si="18"/>
        <v>1138.6037065286282</v>
      </c>
      <c r="F33" s="471">
        <f t="shared" ca="1" si="18"/>
        <v>10086.283679894472</v>
      </c>
      <c r="G33" s="471">
        <f t="shared" si="18"/>
        <v>59952.772018660493</v>
      </c>
      <c r="H33" s="471">
        <f t="shared" si="18"/>
        <v>11324.561658045473</v>
      </c>
      <c r="I33" s="471">
        <f t="shared" si="18"/>
        <v>0</v>
      </c>
      <c r="J33" s="471">
        <f t="shared" si="18"/>
        <v>40.94832383557474</v>
      </c>
      <c r="K33" s="471">
        <f t="shared" si="18"/>
        <v>0</v>
      </c>
      <c r="L33" s="471">
        <f t="shared" ca="1" si="18"/>
        <v>0</v>
      </c>
      <c r="M33" s="471">
        <f t="shared" si="18"/>
        <v>0</v>
      </c>
      <c r="N33" s="471">
        <f t="shared" ca="1" si="18"/>
        <v>0</v>
      </c>
      <c r="O33" s="471">
        <f t="shared" si="18"/>
        <v>0</v>
      </c>
      <c r="P33" s="471">
        <f t="shared" si="18"/>
        <v>0</v>
      </c>
      <c r="Q33" s="471">
        <f t="shared" ca="1" si="18"/>
        <v>145491.37829028265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5520.9587532851529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5520.9587532851529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0.20960000745821269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0.20960000745821269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2019-06-29T16:11:43Z</dcterms:modified>
</cp:coreProperties>
</file>