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B17"/>
  <c r="B20" s="1"/>
  <c r="G12"/>
  <c r="F12"/>
  <c r="E12"/>
  <c r="D12"/>
  <c r="C12"/>
  <c r="G10"/>
  <c r="F10"/>
  <c r="D10"/>
  <c r="B8"/>
  <c r="B6"/>
  <c r="B5"/>
  <c r="B4"/>
  <c r="O9" l="1"/>
  <c r="O19"/>
  <c r="C98"/>
  <c r="D101" s="1"/>
  <c r="B10"/>
  <c r="F20"/>
  <c r="O18"/>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M22"/>
  <c r="G22"/>
  <c r="R12"/>
  <c r="F13" i="15"/>
  <c r="D13"/>
  <c r="C13"/>
  <c r="F8" i="56" l="1"/>
  <c r="F10" s="1"/>
  <c r="F78" i="14"/>
  <c r="E8" i="56"/>
  <c r="E10" s="1"/>
  <c r="N78" i="14"/>
  <c r="N8" i="56"/>
  <c r="N10" s="1"/>
  <c r="M78" i="14"/>
  <c r="M8" i="56"/>
  <c r="M10" s="1"/>
  <c r="J10" i="18"/>
  <c r="J76" i="14"/>
  <c r="P29" i="48"/>
  <c r="P27"/>
  <c r="P31"/>
  <c r="P25"/>
  <c r="Q14"/>
  <c r="P28"/>
  <c r="F90" i="14"/>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C88" i="14"/>
  <c r="C18" i="56" s="1"/>
  <c r="G20"/>
  <c r="O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J8" i="56" l="1"/>
  <c r="J10" s="1"/>
  <c r="J78" i="14"/>
  <c r="Q78"/>
  <c r="B9" i="6" s="1"/>
  <c r="P9" i="56"/>
  <c r="P10" s="1"/>
  <c r="J90" i="14"/>
  <c r="J17" i="56"/>
  <c r="J20" s="1"/>
  <c r="C76" i="14"/>
  <c r="C20" i="56"/>
  <c r="P20"/>
  <c r="C90" i="14"/>
  <c r="B87"/>
  <c r="B90" l="1"/>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32"/>
  <c r="F24"/>
  <c r="F28"/>
  <c r="F27"/>
  <c r="F31"/>
  <c r="F29"/>
  <c r="N24"/>
  <c r="N32"/>
  <c r="N30"/>
  <c r="N28"/>
  <c r="N31"/>
  <c r="N27"/>
  <c r="N29"/>
  <c r="C19" i="14"/>
  <c r="B10" i="48"/>
  <c r="E32"/>
  <c r="E28"/>
  <c r="E24"/>
  <c r="E29"/>
  <c r="E31"/>
  <c r="E30"/>
  <c r="M12" i="13"/>
  <c r="N41" i="14" s="1"/>
  <c r="M17" i="48"/>
  <c r="L10" i="14"/>
  <c r="L16" s="1"/>
  <c r="L27" s="1"/>
  <c r="K5" i="48"/>
  <c r="D30"/>
  <c r="D28"/>
  <c r="D24"/>
  <c r="D32"/>
  <c r="D31"/>
  <c r="D29"/>
  <c r="L28"/>
  <c r="L31"/>
  <c r="L32"/>
  <c r="L27"/>
  <c r="L22"/>
  <c r="L30"/>
  <c r="L29"/>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4"/>
  <c r="H28"/>
  <c r="H22"/>
  <c r="H30"/>
  <c r="H23"/>
  <c r="D11" i="14"/>
  <c r="C4" i="48"/>
  <c r="G32"/>
  <c r="G25"/>
  <c r="G26"/>
  <c r="G29"/>
  <c r="G30"/>
  <c r="G24"/>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O5"/>
  <c r="O23" s="1"/>
  <c r="P10" i="14"/>
  <c r="M32" i="48"/>
  <c r="M22"/>
  <c r="M24"/>
  <c r="M26"/>
  <c r="M29"/>
  <c r="M25"/>
  <c r="M30"/>
  <c r="M23"/>
  <c r="G11" i="14"/>
  <c r="F4" i="48"/>
  <c r="F22" s="1"/>
  <c r="H13"/>
  <c r="H31" s="1"/>
  <c r="I18" i="14"/>
  <c r="O22" i="48"/>
  <c r="K15"/>
  <c r="K23"/>
  <c r="K33" s="1"/>
  <c r="P8"/>
  <c r="P26" s="1"/>
  <c r="Q13" i="14"/>
  <c r="J63"/>
  <c r="J46"/>
  <c r="J61" s="1"/>
  <c r="L46"/>
  <c r="L61" s="1"/>
  <c r="L63"/>
  <c r="Q16"/>
  <c r="Q27"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N22"/>
  <c r="N27" s="1"/>
  <c r="M9" i="48"/>
  <c r="N20" i="14"/>
  <c r="E22" i="48"/>
  <c r="Q4"/>
  <c r="G28"/>
  <c r="Q10"/>
  <c r="H20" i="14"/>
  <c r="H22" s="1"/>
  <c r="H27" s="1"/>
  <c r="G9" i="48"/>
  <c r="I20" i="14"/>
  <c r="I22" s="1"/>
  <c r="I27" s="1"/>
  <c r="H9" i="48"/>
  <c r="K10" i="14"/>
  <c r="J5" i="48"/>
  <c r="J23" s="1"/>
  <c r="J22"/>
  <c r="R20" i="14"/>
  <c r="C22"/>
  <c r="E5" i="48"/>
  <c r="E23" s="1"/>
  <c r="F10" i="14"/>
  <c r="R22"/>
  <c r="R19"/>
  <c r="M18" i="22"/>
  <c r="N50" i="14" s="1"/>
  <c r="N52" s="1"/>
  <c r="N61" s="1"/>
  <c r="H18" i="22"/>
  <c r="I50" i="14" s="1"/>
  <c r="I52" s="1"/>
  <c r="I61" s="1"/>
  <c r="I63" s="1"/>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J26" s="1"/>
  <c r="H27"/>
  <c r="H33" s="1"/>
  <c r="H15"/>
  <c r="E8"/>
  <c r="F13" i="14"/>
  <c r="F16" s="1"/>
  <c r="F27" s="1"/>
  <c r="F63" s="1"/>
  <c r="G27" i="48"/>
  <c r="G33" s="1"/>
  <c r="G15"/>
  <c r="M27"/>
  <c r="M33" s="1"/>
  <c r="M15"/>
  <c r="F46" i="14"/>
  <c r="F61" s="1"/>
  <c r="J33" i="48"/>
  <c r="J15"/>
  <c r="R10" i="14"/>
  <c r="N63"/>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<sst xmlns="http://schemas.openxmlformats.org/spreadsheetml/2006/main" count="2564" uniqueCount="981">
  <si>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</si>
  <si>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</si>
  <si>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</si>
  <si>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</si>
  <si>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</si>
  <si>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</si>
  <si>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</si>
  <si>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</si>
  <si>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</si>
  <si>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</si>
  <si>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</si>
  <si>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</si>
  <si>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</si>
  <si>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</si>
  <si>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</si>
  <si>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</si>
  <si>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</si>
  <si>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</si>
  <si>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</si>
  <si>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</si>
  <si>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</si>
  <si>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</si>
  <si>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</si>
  <si>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</si>
  <si>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</si>
  <si>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</si>
  <si>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</si>
  <si>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</si>
  <si>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</si>
  <si>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</si>
  <si>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</si>
  <si>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</si>
  <si>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</si>
  <si>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</si>
  <si>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</si>
  <si>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</si>
  <si>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</si>
  <si>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</si>
  <si>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</si>
  <si>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</si>
  <si>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</si>
  <si>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</si>
  <si>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</si>
  <si>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</si>
  <si>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</si>
  <si>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</si>
  <si>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</si>
  <si>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</si>
  <si>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</si>
  <si>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</si>
  <si>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</si>
  <si>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</si>
  <si>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</si>
  <si>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</si>
  <si>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</si>
  <si>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</si>
  <si>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</si>
  <si>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</si>
  <si>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</si>
  <si>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</si>
  <si>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</si>
  <si>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</si>
  <si>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</si>
  <si>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</si>
  <si>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</si>
  <si>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</si>
  <si>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</si>
  <si>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</si>
  <si>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</si>
  <si>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</si>
  <si>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</si>
  <si>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</si>
  <si>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</si>
  <si>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</si>
  <si>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</si>
  <si>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</si>
  <si>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</si>
  <si>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</si>
  <si>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</si>
  <si>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</si>
  <si>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</si>
  <si>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</si>
  <si>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</si>
  <si>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</si>
  <si>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</si>
  <si>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</si>
  <si>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</si>
  <si>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</si>
  <si>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</si>
  <si>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</si>
  <si>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</si>
  <si>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</si>
  <si>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</si>
  <si>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</si>
  <si>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</si>
  <si>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</si>
  <si>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</si>
  <si>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</si>
  <si>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</si>
  <si>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</si>
  <si>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</si>
  <si>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</si>
  <si>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</si>
  <si>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</si>
  <si>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</si>
  <si>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</si>
  <si>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</si>
  <si>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</si>
  <si>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</si>
  <si>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</si>
  <si>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</si>
  <si>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</si>
  <si>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</si>
  <si>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</si>
  <si>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</si>
  <si>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</si>
  <si>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</si>
  <si>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</si>
  <si>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</si>
  <si>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</si>
  <si>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</si>
  <si>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</si>
  <si>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</si>
  <si>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</si>
  <si>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</si>
  <si>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</si>
  <si>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</si>
  <si>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</si>
  <si>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</si>
  <si>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</si>
  <si>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</si>
  <si>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</si>
  <si>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</si>
  <si>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</si>
  <si>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</si>
  <si>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</si>
  <si>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</si>
  <si>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</si>
  <si>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</si>
  <si>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</si>
  <si>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</si>
  <si>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</si>
  <si>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</si>
  <si>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</si>
  <si>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</si>
  <si>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</si>
  <si>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</si>
  <si>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</si>
  <si>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</si>
  <si>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</si>
  <si>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</si>
  <si>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</si>
  <si>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</si>
  <si>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</si>
  <si>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</si>
  <si>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</si>
  <si>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</si>
  <si>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</si>
  <si>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</si>
  <si>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</si>
  <si>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</si>
  <si>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</si>
  <si>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</si>
  <si>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</si>
  <si>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</si>
  <si>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</si>
  <si>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</si>
  <si>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</si>
  <si>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</si>
  <si>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</si>
  <si>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</si>
  <si>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</si>
  <si>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</si>
  <si>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</si>
  <si>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</si>
  <si>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</si>
  <si>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</si>
  <si>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</si>
  <si>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</si>
  <si>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</si>
  <si>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</si>
  <si>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</si>
  <si>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</si>
  <si>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</si>
  <si>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</si>
  <si>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</si>
  <si>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</si>
  <si>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</si>
  <si>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</si>
  <si>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</si>
  <si>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</si>
  <si>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</si>
  <si>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</si>
  <si>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</si>
  <si>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</si>
  <si>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</si>
  <si>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</si>
  <si>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</si>
  <si>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</si>
  <si>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</si>
  <si>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</si>
  <si>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</si>
  <si>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</si>
  <si>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</si>
  <si>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</si>
  <si>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</si>
  <si>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</si>
  <si>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</si>
  <si>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</si>
  <si>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</si>
  <si>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</si>
  <si>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</si>
  <si>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</si>
  <si>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</si>
  <si>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</si>
  <si>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</si>
  <si>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</si>
  <si>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</si>
  <si>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</si>
  <si>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</si>
  <si>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</si>
  <si>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</si>
  <si>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</si>
  <si>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</si>
  <si>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</si>
  <si>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</si>
  <si>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</si>
  <si>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</si>
  <si>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</si>
  <si>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</si>
  <si>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</si>
  <si>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</si>
  <si>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</si>
  <si>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</si>
  <si>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</si>
  <si>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</si>
  <si>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</si>
  <si>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</si>
  <si>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</si>
  <si>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</si>
  <si>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</si>
  <si>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</si>
  <si>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</si>
  <si>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</si>
  <si>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</si>
  <si>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</si>
  <si>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</si>
  <si>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</si>
  <si>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</si>
  <si>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</si>
  <si>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</si>
  <si>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</si>
  <si>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</si>
  <si>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</si>
  <si>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</si>
  <si>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</si>
  <si>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</si>
  <si>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</si>
  <si>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</si>
  <si>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</si>
  <si>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</si>
  <si>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</si>
  <si>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</si>
  <si>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</si>
  <si>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</si>
  <si>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</si>
  <si>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</si>
  <si>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</si>
  <si>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</si>
  <si>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</si>
  <si>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</si>
  <si>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</si>
  <si>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</si>
  <si>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</si>
  <si>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</si>
  <si>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</si>
  <si>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</si>
  <si>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</si>
  <si>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</si>
  <si>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</si>
  <si>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</si>
  <si>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</si>
  <si>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</si>
  <si>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</si>
  <si>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</si>
  <si>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</si>
  <si>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</si>
  <si>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</si>
  <si>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</si>
  <si>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</si>
  <si>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</si>
  <si>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</si>
  <si>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</si>
  <si>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</si>
  <si>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</si>
  <si>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</si>
  <si>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</si>
  <si>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</si>
  <si>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</si>
  <si>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</si>
  <si>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</si>
  <si>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</si>
  <si>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</si>
  <si>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</si>
  <si>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</si>
  <si>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</si>
  <si>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</si>
  <si>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</si>
  <si>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</si>
  <si>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</si>
  <si>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</si>
  <si>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</si>
  <si>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</si>
  <si>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</si>
  <si>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</si>
  <si>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</si>
  <si>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</si>
  <si>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</si>
  <si>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</si>
  <si>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</si>
  <si>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</si>
  <si>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</si>
  <si>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</si>
  <si>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</si>
  <si>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</si>
  <si>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</si>
  <si>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</si>
  <si>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</si>
  <si>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</si>
  <si>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</si>
  <si>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</si>
  <si>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</si>
  <si>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</si>
  <si>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</si>
  <si>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</si>
  <si>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</si>
  <si>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</si>
  <si>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</si>
  <si>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</si>
  <si>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</si>
  <si>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</si>
  <si>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</si>
  <si>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</si>
  <si>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</si>
  <si>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</si>
  <si>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</si>
  <si>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</si>
  <si>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</si>
  <si>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</si>
  <si>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</si>
  <si>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</si>
  <si>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</si>
  <si>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</si>
  <si>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</si>
  <si>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</si>
  <si>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</si>
  <si>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</si>
  <si>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</si>
  <si>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</si>
  <si>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</si>
  <si>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</si>
  <si>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</si>
  <si>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</si>
  <si>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</si>
  <si>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</si>
  <si>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</si>
  <si>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</si>
  <si>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</si>
  <si>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</si>
  <si>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</si>
  <si>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</si>
  <si>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</si>
  <si>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</si>
  <si>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</si>
  <si>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</si>
  <si>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</si>
  <si>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</si>
  <si>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</si>
  <si>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</si>
  <si>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</si>
  <si>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</si>
  <si>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</si>
  <si>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</si>
  <si>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</si>
  <si>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</si>
  <si>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</si>
  <si>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</si>
  <si>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</si>
  <si>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</si>
  <si>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</si>
  <si>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</si>
  <si>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</si>
  <si>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</si>
  <si>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</si>
  <si>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</si>
  <si>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</si>
  <si>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</si>
  <si>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</si>
  <si>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</si>
  <si>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</si>
  <si>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</si>
  <si>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</si>
  <si>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</si>
  <si>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</si>
  <si>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</si>
  <si>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</si>
  <si>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</si>
  <si>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</si>
  <si>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</si>
  <si>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</si>
  <si>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</si>
  <si>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</si>
  <si>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</si>
  <si>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</si>
  <si>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</si>
  <si>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</si>
  <si>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</si>
  <si>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</si>
  <si>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</si>
  <si>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</si>
  <si>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</si>
  <si>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</si>
  <si>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</si>
  <si>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</si>
  <si>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</si>
  <si>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</si>
  <si>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</si>
  <si>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</si>
  <si>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</si>
  <si>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</si>
  <si>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</si>
  <si>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</si>
  <si>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</si>
  <si>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</si>
  <si>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</si>
  <si>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</si>
  <si>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</si>
  <si>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</si>
  <si>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</si>
  <si>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</si>
  <si>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</si>
  <si>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</si>
  <si>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</si>
  <si>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</si>
  <si>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</si>
  <si>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</si>
  <si>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</si>
  <si>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</si>
  <si>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</si>
  <si>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</si>
  <si>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</si>
  <si>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</si>
  <si>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</si>
  <si>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</si>
  <si>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</si>
  <si>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</si>
  <si>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</si>
  <si>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</si>
  <si>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</si>
  <si>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</si>
  <si>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</si>
  <si>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</si>
  <si>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</si>
  <si>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</si>
  <si>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</si>
  <si>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</si>
  <si>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</si>
  <si>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</si>
  <si>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</si>
  <si>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</si>
  <si>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</si>
  <si>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</si>
  <si>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</si>
  <si>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</si>
  <si>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</si>
  <si>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</si>
  <si>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</si>
  <si>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</si>
  <si>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</si>
  <si>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</si>
  <si>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</si>
  <si>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</si>
  <si>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</si>
  <si>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</si>
  <si>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</si>
  <si>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</si>
  <si>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</si>
  <si>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</si>
  <si>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</si>
  <si>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</si>
  <si>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</si>
  <si>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</si>
  <si>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</si>
  <si>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</si>
  <si>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</si>
  <si>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</si>
  <si>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</si>
  <si>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</si>
  <si>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</si>
  <si>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</si>
  <si>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</si>
  <si>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</si>
  <si>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</si>
  <si>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</si>
  <si>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</si>
  <si>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</si>
  <si>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</si>
  <si>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</si>
  <si>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</si>
  <si>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</si>
  <si>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</si>
  <si>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</si>
  <si>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</si>
  <si>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</si>
  <si>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</si>
  <si>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</si>
  <si>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</si>
  <si>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</si>
  <si>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</si>
  <si>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</si>
  <si>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</si>
  <si>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</si>
  <si>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</si>
  <si>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</si>
  <si>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</si>
  <si>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</si>
  <si>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</si>
  <si>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</si>
  <si>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</si>
  <si>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</si>
  <si>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</si>
  <si>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</si>
  <si>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</si>
  <si>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</si>
  <si>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</si>
  <si>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</si>
  <si>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</si>
  <si>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</si>
  <si>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</si>
  <si>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</si>
  <si>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</si>
  <si>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</si>
  <si>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</si>
  <si>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</si>
  <si>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</si>
  <si>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</si>
  <si>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</si>
  <si>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</si>
  <si>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</si>
  <si>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</si>
  <si>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</si>
  <si>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</si>
  <si>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</si>
  <si>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</si>
  <si>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</si>
  <si>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</si>
  <si>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</si>
  <si>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</si>
  <si>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</si>
  <si>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</si>
  <si>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</si>
  <si>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</si>
  <si>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</si>
  <si>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</si>
  <si>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</si>
  <si>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</si>
  <si>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</si>
  <si>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</si>
  <si>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</si>
  <si>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</si>
  <si>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</si>
  <si>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</si>
  <si>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</si>
  <si>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</si>
  <si>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</si>
  <si>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</si>
  <si>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</si>
  <si>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</si>
  <si>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</si>
  <si>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</si>
  <si>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</si>
  <si>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</si>
  <si>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</si>
  <si>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</si>
  <si>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</si>
  <si>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</si>
  <si>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</si>
  <si>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</si>
  <si>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</si>
  <si>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</si>
  <si>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</si>
  <si>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</si>
  <si>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</si>
  <si>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</si>
  <si>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</si>
  <si>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</si>
  <si>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</si>
  <si>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</si>
  <si>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</si>
  <si>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</si>
  <si>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</si>
  <si>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</si>
  <si>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</si>
  <si>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</si>
  <si>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</si>
  <si>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</si>
  <si>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</si>
  <si>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</si>
  <si>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</si>
  <si>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</si>
  <si>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</si>
  <si>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</si>
  <si>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</si>
  <si>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</si>
  <si>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</si>
  <si>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</si>
  <si>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</si>
  <si>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</si>
  <si>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</si>
  <si>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</si>
  <si>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</si>
  <si>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</si>
  <si>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</si>
  <si>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</si>
  <si>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</si>
  <si>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</si>
  <si>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</si>
  <si>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</si>
  <si>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</si>
  <si>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</si>
  <si>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</si>
  <si>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</si>
  <si>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</si>
  <si>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</si>
  <si>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</si>
  <si>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</si>
  <si>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</si>
  <si>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</si>
  <si>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</si>
  <si>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</si>
  <si>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</si>
  <si>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</si>
  <si>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</si>
  <si>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</si>
  <si>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</si>
  <si>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</si>
  <si>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</si>
  <si>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</si>
  <si>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</si>
  <si>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</si>
  <si>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</si>
  <si>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</si>
  <si>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</si>
  <si>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</si>
  <si>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</si>
  <si>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</si>
  <si>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</si>
  <si>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</si>
  <si>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</si>
  <si>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</si>
  <si>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</si>
  <si>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</si>
  <si>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</si>
  <si>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</si>
  <si>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</si>
  <si>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</si>
  <si>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</si>
  <si>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</si>
  <si>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</si>
  <si>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</si>
  <si>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</si>
  <si>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</si>
  <si>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</si>
  <si>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</si>
  <si>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</si>
  <si>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</si>
  <si>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</si>
  <si>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</si>
  <si>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</si>
  <si>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</si>
  <si>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</si>
  <si>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</si>
  <si>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</si>
  <si>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</si>
  <si>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</si>
  <si>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</si>
  <si>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</si>
  <si>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</si>
  <si>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</si>
  <si>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</si>
  <si>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</si>
  <si>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</si>
  <si>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</si>
  <si>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</si>
  <si>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</si>
  <si>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</si>
  <si>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</si>
  <si>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</si>
  <si>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</si>
  <si>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</si>
  <si>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</si>
  <si>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</si>
  <si>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</si>
  <si>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</si>
  <si>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</si>
  <si>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</si>
  <si>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</si>
  <si>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</si>
  <si>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</si>
  <si>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</si>
  <si>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</si>
  <si>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</si>
  <si>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</si>
  <si>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</si>
  <si>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</si>
  <si>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</si>
  <si>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</si>
  <si>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</si>
  <si>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</si>
  <si>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</si>
  <si>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</si>
  <si>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</si>
  <si>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</si>
  <si>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</si>
  <si>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</si>
  <si>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</si>
  <si>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</si>
  <si>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</si>
  <si>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</si>
  <si>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</si>
  <si>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</si>
  <si>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</si>
  <si>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</si>
  <si>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</si>
  <si>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</si>
  <si>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</si>
  <si>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</si>
  <si>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</si>
  <si>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</si>
  <si>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</si>
  <si>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</si>
  <si>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</si>
  <si>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</si>
  <si>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</si>
  <si>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</si>
  <si>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</si>
  <si>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</si>
  <si>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</si>
  <si>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</si>
  <si>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</si>
  <si>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</si>
  <si>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</si>
  <si>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</si>
  <si>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</si>
  <si>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</si>
  <si>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</si>
  <si>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</si>
  <si>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</si>
  <si>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</si>
  <si>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</si>
  <si>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</si>
  <si>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</si>
  <si>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</si>
  <si>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</si>
  <si>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</si>
  <si>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</si>
  <si>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</si>
  <si>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</si>
  <si>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</si>
  <si>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</si>
  <si>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</si>
  <si>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</si>
  <si>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</si>
  <si>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</si>
  <si>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</si>
  <si>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</si>
  <si>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</si>
  <si>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</si>
  <si>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</si>
  <si>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</si>
  <si>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</si>
  <si>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</si>
  <si>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</si>
  <si>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</si>
  <si>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</si>
  <si>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</si>
  <si>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</si>
  <si>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</si>
  <si>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</si>
  <si>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</si>
  <si>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</si>
  <si>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</si>
  <si>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</si>
  <si>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</si>
  <si>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</si>
  <si>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</si>
  <si>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</si>
  <si>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</si>
  <si>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</si>
  <si>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</si>
  <si>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</si>
  <si>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</si>
  <si>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</si>
  <si>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</si>
  <si>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</si>
  <si>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</si>
  <si>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</si>
  <si>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</si>
  <si>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</si>
  <si>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</si>
  <si>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</si>
  <si>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</si>
  <si>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</si>
  <si>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</si>
  <si>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</si>
  <si>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</si>
  <si>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</si>
  <si>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</si>
  <si>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</si>
  <si>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</si>
  <si>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</si>
  <si>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</si>
  <si>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</si>
  <si>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</si>
  <si>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</si>
  <si>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</si>
  <si>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</si>
  <si>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</si>
  <si>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</si>
  <si>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</si>
  <si>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</si>
  <si>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</si>
  <si>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</si>
  <si>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</si>
  <si>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</si>
  <si>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</si>
  <si>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</si>
  <si>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</si>
  <si>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</si>
  <si>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</si>
  <si>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</si>
  <si>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</si>
  <si>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</si>
  <si>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</si>
  <si>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</si>
  <si>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</si>
  <si>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</si>
  <si>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</si>
  <si>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</si>
  <si>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</si>
  <si>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</si>
  <si>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</si>
  <si>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</si>
  <si>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</si>
  <si>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</si>
  <si>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</si>
  <si>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</si>
  <si>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</si>
  <si>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</si>
  <si>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</si>
  <si>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</si>
  <si>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</si>
  <si>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</si>
  <si>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</si>
  <si>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</si>
  <si>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</si>
  <si>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</si>
  <si>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</si>
  <si>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</si>
  <si>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</si>
  <si>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</si>
  <si>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</si>
  <si>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</si>
  <si>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</si>
  <si>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</si>
  <si>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</si>
  <si>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</si>
  <si>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</si>
  <si>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</si>
  <si>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</si>
  <si>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</si>
  <si>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</si>
  <si>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</si>
  <si>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</si>
  <si>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</si>
  <si>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</si>
  <si>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</si>
  <si>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</si>
  <si>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</si>
  <si>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</si>
  <si>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</si>
  <si>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</si>
  <si>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</si>
  <si>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</si>
  <si>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</si>
  <si>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</si>
  <si>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</si>
  <si>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</si>
  <si>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</si>
  <si>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</si>
  <si>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</si>
  <si>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</si>
  <si>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</si>
  <si>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</si>
  <si>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</si>
  <si>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</si>
  <si>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</si>
  <si>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</si>
  <si>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</si>
  <si>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</si>
  <si>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</si>
  <si>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</si>
  <si>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</si>
  <si>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</si>
  <si>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</si>
  <si>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</si>
  <si>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</si>
  <si>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</si>
  <si>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</si>
  <si>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</si>
  <si>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</si>
  <si>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</si>
  <si>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</si>
  <si>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</si>
  <si>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</si>
  <si>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</si>
  <si>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</si>
  <si>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</si>
  <si>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</si>
  <si>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</si>
  <si>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</si>
  <si>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</si>
  <si>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</si>
  <si>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</si>
  <si>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</si>
  <si>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</si>
  <si>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</si>
  <si>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</si>
  <si>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</si>
  <si>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</si>
  <si>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13023</t>
  </si>
  <si>
    <t>MERKSPLAS</t>
  </si>
  <si>
    <t>Paarden&amp;pony's 200 - 600 kg</t>
  </si>
  <si>
    <t>Paarden&amp;pony's &lt; 200 kg</t>
  </si>
  <si>
    <t>op basis van VEA (maart 2018) en Inventaris Hernieuwbare Energiebronnen (juni 2018)</t>
  </si>
  <si>
    <t>VEA (juni 2018)</t>
  </si>
  <si>
    <t>Groeikracht De Markvallei nv</t>
  </si>
  <si>
    <t>Horst 12,, 2330 Merksplas</t>
  </si>
  <si>
    <t>WKK-0034a Groeikracht de Markvallei</t>
  </si>
  <si>
    <t>interne verbrandingsmotor</t>
  </si>
  <si>
    <t>WKK interne verbrandinsgmotor (gas)</t>
  </si>
  <si>
    <t>IVEG</t>
  </si>
  <si>
    <t>Groeikracht Merksplas nv</t>
  </si>
  <si>
    <t>Horst 8, 2330 Merksplas</t>
  </si>
  <si>
    <t>WKK-0012a Groeikracht Merksplas</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</si>
  <si>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</si>
  <si>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</si>
  <si>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</si>
  <si>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</si>
  <si>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</si>
  <si>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</si>
  <si>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</si>
  <si>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</si>
  <si>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</si>
  <si>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</si>
  <si>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</si>
  <si>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</si>
  <si>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</si>
  <si>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</si>
  <si>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</si>
  <si>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</si>
  <si>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</si>
  <si>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</si>
  <si>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</si>
  <si>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</si>
  <si>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EBEM BVBA</t>
  </si>
  <si>
    <t>Markt 1, 2330 Merksplas</t>
  </si>
  <si>
    <t>BGS-0025 IOK Merksplas-Beerse (GSC rest)</t>
  </si>
  <si>
    <t>biogas - stortgas</t>
  </si>
  <si>
    <t>niet WKK interne verbrandingsmotor (gas)</t>
  </si>
  <si>
    <t>Moerstraat, 2330 Merksplas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</si>
</sst>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13023</v>
      </c>
      <c r="B6" s="397"/>
      <c r="C6" s="398"/>
    </row>
    <row r="7" spans="1:7" s="395" customFormat="1" ht="15.75" customHeight="1">
      <c r="A7" s="399" t="str">
        <f>txtMunicipality</f>
        <v>MERKSPLAS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1.2285761840327898</v>
      </c>
      <c r="C17" s="510">
        <f ca="1">'EF ele_warmte'!B22</f>
        <v>0.22352095319609666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1.2285761840327898</v>
      </c>
      <c r="C29" s="511">
        <f ca="1">'EF ele_warmte'!B22</f>
        <v>0.22352095319609666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13023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3124</v>
      </c>
      <c r="C9" s="338">
        <v>3356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2482</v>
      </c>
    </row>
    <row r="15" spans="1:6">
      <c r="A15" s="1286" t="s">
        <v>184</v>
      </c>
      <c r="B15" s="335">
        <v>12393</v>
      </c>
    </row>
    <row r="16" spans="1:6">
      <c r="A16" s="1286" t="s">
        <v>6</v>
      </c>
      <c r="B16" s="335">
        <v>2960</v>
      </c>
    </row>
    <row r="17" spans="1:6">
      <c r="A17" s="1286" t="s">
        <v>7</v>
      </c>
      <c r="B17" s="335">
        <v>531</v>
      </c>
    </row>
    <row r="18" spans="1:6">
      <c r="A18" s="1286" t="s">
        <v>8</v>
      </c>
      <c r="B18" s="335">
        <v>1853</v>
      </c>
    </row>
    <row r="19" spans="1:6">
      <c r="A19" s="1286" t="s">
        <v>9</v>
      </c>
      <c r="B19" s="335">
        <v>1680</v>
      </c>
    </row>
    <row r="20" spans="1:6">
      <c r="A20" s="1286" t="s">
        <v>10</v>
      </c>
      <c r="B20" s="335">
        <v>906</v>
      </c>
    </row>
    <row r="21" spans="1:6">
      <c r="A21" s="1286" t="s">
        <v>11</v>
      </c>
      <c r="B21" s="335">
        <v>19872</v>
      </c>
    </row>
    <row r="22" spans="1:6">
      <c r="A22" s="1286" t="s">
        <v>12</v>
      </c>
      <c r="B22" s="335">
        <v>44008</v>
      </c>
    </row>
    <row r="23" spans="1:6">
      <c r="A23" s="1286" t="s">
        <v>13</v>
      </c>
      <c r="B23" s="335">
        <v>1155</v>
      </c>
    </row>
    <row r="24" spans="1:6">
      <c r="A24" s="1286" t="s">
        <v>14</v>
      </c>
      <c r="B24" s="335">
        <v>33</v>
      </c>
    </row>
    <row r="25" spans="1:6">
      <c r="A25" s="1286" t="s">
        <v>15</v>
      </c>
      <c r="B25" s="335">
        <v>4612</v>
      </c>
    </row>
    <row r="26" spans="1:6">
      <c r="A26" s="1286" t="s">
        <v>16</v>
      </c>
      <c r="B26" s="335">
        <v>7</v>
      </c>
    </row>
    <row r="27" spans="1:6">
      <c r="A27" s="1286" t="s">
        <v>17</v>
      </c>
      <c r="B27" s="335">
        <v>8</v>
      </c>
    </row>
    <row r="28" spans="1:6" s="341" customFormat="1">
      <c r="A28" s="1287" t="s">
        <v>18</v>
      </c>
      <c r="B28" s="1287">
        <v>602375</v>
      </c>
    </row>
    <row r="29" spans="1:6">
      <c r="A29" s="1287" t="s">
        <v>942</v>
      </c>
      <c r="B29" s="1287">
        <v>83</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v>
      </c>
      <c r="D36" s="335">
        <v>128185401.51000001</v>
      </c>
      <c r="E36" s="335">
        <v>10</v>
      </c>
      <c r="F36" s="335">
        <v>329523</v>
      </c>
    </row>
    <row r="37" spans="1:6">
      <c r="A37" s="1286" t="s">
        <v>25</v>
      </c>
      <c r="B37" s="1286" t="s">
        <v>28</v>
      </c>
      <c r="C37" s="335">
        <v>0</v>
      </c>
      <c r="D37" s="335">
        <v>0</v>
      </c>
      <c r="E37" s="335">
        <v>0</v>
      </c>
      <c r="F37" s="335">
        <v>0</v>
      </c>
    </row>
    <row r="38" spans="1:6">
      <c r="A38" s="1286" t="s">
        <v>25</v>
      </c>
      <c r="B38" s="1286" t="s">
        <v>29</v>
      </c>
      <c r="C38" s="335">
        <v>1</v>
      </c>
      <c r="D38" s="335">
        <v>1184912.18884397</v>
      </c>
      <c r="E38" s="335">
        <v>2</v>
      </c>
      <c r="F38" s="335">
        <v>57702</v>
      </c>
    </row>
    <row r="39" spans="1:6">
      <c r="A39" s="1286" t="s">
        <v>30</v>
      </c>
      <c r="B39" s="1286" t="s">
        <v>31</v>
      </c>
      <c r="C39" s="335">
        <v>2239</v>
      </c>
      <c r="D39" s="335">
        <v>48251051.250708498</v>
      </c>
      <c r="E39" s="335">
        <v>3115</v>
      </c>
      <c r="F39" s="335">
        <v>13014682</v>
      </c>
    </row>
    <row r="40" spans="1:6">
      <c r="A40" s="1286" t="s">
        <v>30</v>
      </c>
      <c r="B40" s="1286" t="s">
        <v>29</v>
      </c>
      <c r="C40" s="335">
        <v>0</v>
      </c>
      <c r="D40" s="335">
        <v>0</v>
      </c>
      <c r="E40" s="335">
        <v>0</v>
      </c>
      <c r="F40" s="335">
        <v>0</v>
      </c>
    </row>
    <row r="41" spans="1:6">
      <c r="A41" s="1286" t="s">
        <v>32</v>
      </c>
      <c r="B41" s="1286" t="s">
        <v>33</v>
      </c>
      <c r="C41" s="335">
        <v>7</v>
      </c>
      <c r="D41" s="335">
        <v>262586.52691403701</v>
      </c>
      <c r="E41" s="335">
        <v>83</v>
      </c>
      <c r="F41" s="335">
        <v>833556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11</v>
      </c>
      <c r="F44" s="335">
        <v>252667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21</v>
      </c>
      <c r="D48" s="335">
        <v>900614.71032962902</v>
      </c>
      <c r="E48" s="335">
        <v>3</v>
      </c>
      <c r="F48" s="335">
        <v>34098</v>
      </c>
    </row>
    <row r="49" spans="1:6">
      <c r="A49" s="1286" t="s">
        <v>32</v>
      </c>
      <c r="B49" s="1286" t="s">
        <v>40</v>
      </c>
      <c r="C49" s="335">
        <v>0</v>
      </c>
      <c r="D49" s="335">
        <v>0</v>
      </c>
      <c r="E49" s="335">
        <v>0</v>
      </c>
      <c r="F49" s="335">
        <v>0</v>
      </c>
    </row>
    <row r="50" spans="1:6">
      <c r="A50" s="1286" t="s">
        <v>32</v>
      </c>
      <c r="B50" s="1286" t="s">
        <v>41</v>
      </c>
      <c r="C50" s="335">
        <v>4</v>
      </c>
      <c r="D50" s="335">
        <v>615335.96666103601</v>
      </c>
      <c r="E50" s="335">
        <v>8</v>
      </c>
      <c r="F50" s="335">
        <v>541244</v>
      </c>
    </row>
    <row r="51" spans="1:6">
      <c r="A51" s="1286" t="s">
        <v>42</v>
      </c>
      <c r="B51" s="1286" t="s">
        <v>43</v>
      </c>
      <c r="C51" s="335">
        <v>12</v>
      </c>
      <c r="D51" s="335">
        <v>434177549.00020099</v>
      </c>
      <c r="E51" s="335">
        <v>146</v>
      </c>
      <c r="F51" s="335">
        <v>6351268</v>
      </c>
    </row>
    <row r="52" spans="1:6">
      <c r="A52" s="1286" t="s">
        <v>42</v>
      </c>
      <c r="B52" s="1286" t="s">
        <v>29</v>
      </c>
      <c r="C52" s="335">
        <v>4</v>
      </c>
      <c r="D52" s="335">
        <v>64755.967604785103</v>
      </c>
      <c r="E52" s="335">
        <v>0</v>
      </c>
      <c r="F52" s="335">
        <v>0</v>
      </c>
    </row>
    <row r="53" spans="1:6">
      <c r="A53" s="1286" t="s">
        <v>44</v>
      </c>
      <c r="B53" s="1286" t="s">
        <v>45</v>
      </c>
      <c r="C53" s="335">
        <v>12</v>
      </c>
      <c r="D53" s="335">
        <v>430355.11481986399</v>
      </c>
      <c r="E53" s="335">
        <v>0</v>
      </c>
      <c r="F53" s="335">
        <v>0</v>
      </c>
    </row>
    <row r="54" spans="1:6">
      <c r="A54" s="1286" t="s">
        <v>46</v>
      </c>
      <c r="B54" s="1286" t="s">
        <v>47</v>
      </c>
      <c r="C54" s="335">
        <v>0</v>
      </c>
      <c r="D54" s="335">
        <v>0</v>
      </c>
      <c r="E54" s="335">
        <v>51</v>
      </c>
      <c r="F54" s="335">
        <v>385197</v>
      </c>
    </row>
    <row r="55" spans="1:6">
      <c r="A55" s="1286" t="s">
        <v>46</v>
      </c>
      <c r="B55" s="1286" t="s">
        <v>29</v>
      </c>
      <c r="C55" s="335">
        <v>0</v>
      </c>
      <c r="D55" s="335">
        <v>0</v>
      </c>
      <c r="E55" s="335">
        <v>0</v>
      </c>
      <c r="F55" s="335">
        <v>0</v>
      </c>
    </row>
    <row r="56" spans="1:6">
      <c r="A56" s="1286" t="s">
        <v>48</v>
      </c>
      <c r="B56" s="1286" t="s">
        <v>29</v>
      </c>
      <c r="C56" s="335">
        <v>0</v>
      </c>
      <c r="D56" s="335">
        <v>0</v>
      </c>
      <c r="E56" s="335">
        <v>17</v>
      </c>
      <c r="F56" s="335">
        <v>153163</v>
      </c>
    </row>
    <row r="57" spans="1:6">
      <c r="A57" s="1286" t="s">
        <v>49</v>
      </c>
      <c r="B57" s="1286" t="s">
        <v>50</v>
      </c>
      <c r="C57" s="335">
        <v>0</v>
      </c>
      <c r="D57" s="335">
        <v>0</v>
      </c>
      <c r="E57" s="335">
        <v>41</v>
      </c>
      <c r="F57" s="335">
        <v>2165339</v>
      </c>
    </row>
    <row r="58" spans="1:6">
      <c r="A58" s="1286" t="s">
        <v>49</v>
      </c>
      <c r="B58" s="1286" t="s">
        <v>51</v>
      </c>
      <c r="C58" s="335">
        <v>3</v>
      </c>
      <c r="D58" s="335">
        <v>3985841.8639432099</v>
      </c>
      <c r="E58" s="335">
        <v>19</v>
      </c>
      <c r="F58" s="335">
        <v>553538</v>
      </c>
    </row>
    <row r="59" spans="1:6">
      <c r="A59" s="1286" t="s">
        <v>49</v>
      </c>
      <c r="B59" s="1286" t="s">
        <v>52</v>
      </c>
      <c r="C59" s="335">
        <v>7</v>
      </c>
      <c r="D59" s="335">
        <v>574583.11023671203</v>
      </c>
      <c r="E59" s="335">
        <v>97</v>
      </c>
      <c r="F59" s="335">
        <v>2143540</v>
      </c>
    </row>
    <row r="60" spans="1:6">
      <c r="A60" s="1286" t="s">
        <v>49</v>
      </c>
      <c r="B60" s="1286" t="s">
        <v>53</v>
      </c>
      <c r="C60" s="335">
        <v>8</v>
      </c>
      <c r="D60" s="335">
        <v>570528.49091786798</v>
      </c>
      <c r="E60" s="335">
        <v>23</v>
      </c>
      <c r="F60" s="335">
        <v>910074</v>
      </c>
    </row>
    <row r="61" spans="1:6">
      <c r="A61" s="1286" t="s">
        <v>49</v>
      </c>
      <c r="B61" s="1286" t="s">
        <v>54</v>
      </c>
      <c r="C61" s="335">
        <v>36</v>
      </c>
      <c r="D61" s="335">
        <v>13971554.572186399</v>
      </c>
      <c r="E61" s="335">
        <v>124</v>
      </c>
      <c r="F61" s="335">
        <v>3102894</v>
      </c>
    </row>
    <row r="62" spans="1:6">
      <c r="A62" s="1286" t="s">
        <v>49</v>
      </c>
      <c r="B62" s="1286" t="s">
        <v>55</v>
      </c>
      <c r="C62" s="335">
        <v>0</v>
      </c>
      <c r="D62" s="335">
        <v>0</v>
      </c>
      <c r="E62" s="335">
        <v>0</v>
      </c>
      <c r="F62" s="335">
        <v>0</v>
      </c>
    </row>
    <row r="63" spans="1:6">
      <c r="A63" s="1286" t="s">
        <v>49</v>
      </c>
      <c r="B63" s="1286" t="s">
        <v>29</v>
      </c>
      <c r="C63" s="335">
        <v>57</v>
      </c>
      <c r="D63" s="335">
        <v>2960838.7320118402</v>
      </c>
      <c r="E63" s="335">
        <v>2</v>
      </c>
      <c r="F63" s="335">
        <v>53814</v>
      </c>
    </row>
    <row r="64" spans="1:6">
      <c r="A64" s="1286" t="s">
        <v>56</v>
      </c>
      <c r="B64" s="1286" t="s">
        <v>57</v>
      </c>
      <c r="C64" s="335">
        <v>0</v>
      </c>
      <c r="D64" s="335">
        <v>0</v>
      </c>
      <c r="E64" s="335">
        <v>0</v>
      </c>
      <c r="F64" s="335">
        <v>0</v>
      </c>
    </row>
    <row r="65" spans="1:6">
      <c r="A65" s="1286" t="s">
        <v>56</v>
      </c>
      <c r="B65" s="1286" t="s">
        <v>29</v>
      </c>
      <c r="C65" s="335">
        <v>0</v>
      </c>
      <c r="D65" s="335">
        <v>0</v>
      </c>
      <c r="E65" s="335">
        <v>1</v>
      </c>
      <c r="F65" s="335">
        <v>2481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107951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44711193</v>
      </c>
      <c r="E73" s="335">
        <v>46595789.045936197</v>
      </c>
    </row>
    <row r="74" spans="1:6">
      <c r="A74" s="1286" t="s">
        <v>64</v>
      </c>
      <c r="B74" s="1286" t="s">
        <v>772</v>
      </c>
      <c r="C74" s="1297" t="s">
        <v>766</v>
      </c>
      <c r="D74" s="335">
        <v>3142089.9563557571</v>
      </c>
      <c r="E74" s="335">
        <v>3412626.4532941845</v>
      </c>
    </row>
    <row r="75" spans="1:6">
      <c r="A75" s="1286" t="s">
        <v>65</v>
      </c>
      <c r="B75" s="1286" t="s">
        <v>771</v>
      </c>
      <c r="C75" s="1297" t="s">
        <v>767</v>
      </c>
      <c r="D75" s="335">
        <v>8121047</v>
      </c>
      <c r="E75" s="335">
        <v>8450637.9421992507</v>
      </c>
    </row>
    <row r="76" spans="1:6">
      <c r="A76" s="1286" t="s">
        <v>65</v>
      </c>
      <c r="B76" s="1286" t="s">
        <v>772</v>
      </c>
      <c r="C76" s="1297" t="s">
        <v>768</v>
      </c>
      <c r="D76" s="335">
        <v>186395.95635575717</v>
      </c>
      <c r="E76" s="335">
        <v>219081.39956548513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254244.08728848567</v>
      </c>
      <c r="C83" s="335">
        <v>239330.50139340168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1752.2683222997523</v>
      </c>
    </row>
    <row r="92" spans="1:6">
      <c r="A92" s="1282" t="s">
        <v>69</v>
      </c>
      <c r="B92" s="338">
        <v>952.02715685066562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1528</v>
      </c>
    </row>
    <row r="98" spans="1:6">
      <c r="A98" s="1286" t="s">
        <v>72</v>
      </c>
      <c r="B98" s="335">
        <v>2</v>
      </c>
    </row>
    <row r="99" spans="1:6">
      <c r="A99" s="1286" t="s">
        <v>73</v>
      </c>
      <c r="B99" s="335">
        <v>75</v>
      </c>
    </row>
    <row r="100" spans="1:6">
      <c r="A100" s="1286" t="s">
        <v>74</v>
      </c>
      <c r="B100" s="335">
        <v>103</v>
      </c>
    </row>
    <row r="101" spans="1:6">
      <c r="A101" s="1286" t="s">
        <v>75</v>
      </c>
      <c r="B101" s="335">
        <v>100</v>
      </c>
    </row>
    <row r="102" spans="1:6">
      <c r="A102" s="1286" t="s">
        <v>76</v>
      </c>
      <c r="B102" s="335">
        <v>31</v>
      </c>
    </row>
    <row r="103" spans="1:6">
      <c r="A103" s="1286" t="s">
        <v>77</v>
      </c>
      <c r="B103" s="335">
        <v>63</v>
      </c>
    </row>
    <row r="104" spans="1:6">
      <c r="A104" s="1286" t="s">
        <v>78</v>
      </c>
      <c r="B104" s="335">
        <v>786</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33895.45391414396</v>
      </c>
      <c r="C3" s="44" t="s">
        <v>170</v>
      </c>
      <c r="D3" s="44"/>
      <c r="E3" s="157"/>
      <c r="F3" s="44"/>
      <c r="G3" s="44"/>
      <c r="H3" s="44"/>
      <c r="I3" s="44"/>
      <c r="J3" s="44"/>
      <c r="K3" s="97"/>
    </row>
    <row r="4" spans="1:11">
      <c r="A4" s="365" t="s">
        <v>171</v>
      </c>
      <c r="B4" s="50">
        <f>IF(ISERROR('SEAP template'!B78),0,'SEAP template'!B78)</f>
        <v>14272.295479150418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37306.429411764708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1.2285761840327898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53294.899159663888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238433.57142857145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0.22352095319609666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385.197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385.197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1.2285761840327898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473.24386036087856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13014.682000000001</v>
      </c>
      <c r="C5" s="18">
        <f>IF(ISERROR('Eigen informatie GS &amp; warmtenet'!B57),0,'Eigen informatie GS &amp; warmtenet'!B57)</f>
        <v>0</v>
      </c>
      <c r="D5" s="31">
        <f>(SUM(HH_hh_gas_kWh,HH_rest_gas_kWh)/1000)*0.902</f>
        <v>43522.448228139066</v>
      </c>
      <c r="E5" s="18">
        <f>B46*B57</f>
        <v>4369.0393196363666</v>
      </c>
      <c r="F5" s="18">
        <f>B51*B62</f>
        <v>2883.9970947159782</v>
      </c>
      <c r="G5" s="19"/>
      <c r="H5" s="18"/>
      <c r="I5" s="18"/>
      <c r="J5" s="18">
        <f>B50*B61+C50*C61</f>
        <v>0</v>
      </c>
      <c r="K5" s="18"/>
      <c r="L5" s="18"/>
      <c r="M5" s="18"/>
      <c r="N5" s="18">
        <f>B48*B59+C48*C59</f>
        <v>18918.187449043271</v>
      </c>
      <c r="O5" s="18">
        <f>B69*B70*B71</f>
        <v>37.520000000000003</v>
      </c>
      <c r="P5" s="18">
        <f>B77*B78*B79/1000-B77*B78*B79/1000/B80</f>
        <v>76.266666666666666</v>
      </c>
    </row>
    <row r="6" spans="1:16">
      <c r="A6" s="17" t="s">
        <v>639</v>
      </c>
      <c r="B6" s="780">
        <f>kWh_PV_kleiner_dan_10kW</f>
        <v>1752.2683222997523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14766.950322299754</v>
      </c>
      <c r="C8" s="22">
        <f>C5</f>
        <v>0</v>
      </c>
      <c r="D8" s="22">
        <f>D5</f>
        <v>43522.448228139066</v>
      </c>
      <c r="E8" s="22">
        <f>E5</f>
        <v>4369.0393196363666</v>
      </c>
      <c r="F8" s="22">
        <f>F5</f>
        <v>2883.9970947159782</v>
      </c>
      <c r="G8" s="22"/>
      <c r="H8" s="22"/>
      <c r="I8" s="22"/>
      <c r="J8" s="22">
        <f>J5</f>
        <v>0</v>
      </c>
      <c r="K8" s="22"/>
      <c r="L8" s="22">
        <f>L5</f>
        <v>0</v>
      </c>
      <c r="M8" s="22">
        <f>M5</f>
        <v>0</v>
      </c>
      <c r="N8" s="22">
        <f>N5</f>
        <v>18918.187449043271</v>
      </c>
      <c r="O8" s="22">
        <f>O5</f>
        <v>37.520000000000003</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1.2285761840327898</v>
      </c>
      <c r="C10" s="26">
        <f ca="1">'EF ele_warmte'!B22</f>
        <v>0.22352095319609666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18142.323476772806</v>
      </c>
      <c r="C12" s="24">
        <f ca="1">C10*C8</f>
        <v>0</v>
      </c>
      <c r="D12" s="24">
        <f>D8*D10</f>
        <v>8791.5345420840913</v>
      </c>
      <c r="E12" s="24">
        <f>E10*E8</f>
        <v>991.77192555745523</v>
      </c>
      <c r="F12" s="24">
        <f>F10*F8</f>
        <v>770.02722428916627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1528</v>
      </c>
      <c r="C18" s="169" t="s">
        <v>111</v>
      </c>
      <c r="D18" s="231"/>
      <c r="E18" s="16"/>
    </row>
    <row r="19" spans="1:7">
      <c r="A19" s="174" t="s">
        <v>72</v>
      </c>
      <c r="B19" s="38">
        <f>aantalw2001_ander</f>
        <v>2</v>
      </c>
      <c r="C19" s="169" t="s">
        <v>111</v>
      </c>
      <c r="D19" s="232"/>
      <c r="E19" s="16"/>
    </row>
    <row r="20" spans="1:7">
      <c r="A20" s="174" t="s">
        <v>73</v>
      </c>
      <c r="B20" s="38">
        <f>aantalw2001_propaan</f>
        <v>75</v>
      </c>
      <c r="C20" s="170">
        <f>IF(ISERROR(B20/SUM($B$20,$B$21,$B$22)*100),0,B20/SUM($B$20,$B$21,$B$22)*100)</f>
        <v>26.978417266187048</v>
      </c>
      <c r="D20" s="232"/>
      <c r="E20" s="16"/>
    </row>
    <row r="21" spans="1:7">
      <c r="A21" s="174" t="s">
        <v>74</v>
      </c>
      <c r="B21" s="38">
        <f>aantalw2001_elektriciteit</f>
        <v>103</v>
      </c>
      <c r="C21" s="170">
        <f>IF(ISERROR(B21/SUM($B$20,$B$21,$B$22)*100),0,B21/SUM($B$20,$B$21,$B$22)*100)</f>
        <v>37.050359712230211</v>
      </c>
      <c r="D21" s="232"/>
      <c r="E21" s="16"/>
    </row>
    <row r="22" spans="1:7">
      <c r="A22" s="174" t="s">
        <v>75</v>
      </c>
      <c r="B22" s="38">
        <f>aantalw2001_hout</f>
        <v>100</v>
      </c>
      <c r="C22" s="170">
        <f>IF(ISERROR(B22/SUM($B$20,$B$21,$B$22)*100),0,B22/SUM($B$20,$B$21,$B$22)*100)</f>
        <v>35.97122302158273</v>
      </c>
      <c r="D22" s="232"/>
      <c r="E22" s="16"/>
    </row>
    <row r="23" spans="1:7">
      <c r="A23" s="174" t="s">
        <v>76</v>
      </c>
      <c r="B23" s="38">
        <f>aantalw2001_niet_gespec</f>
        <v>31</v>
      </c>
      <c r="C23" s="169" t="s">
        <v>111</v>
      </c>
      <c r="D23" s="231"/>
      <c r="E23" s="16"/>
    </row>
    <row r="24" spans="1:7">
      <c r="A24" s="174" t="s">
        <v>77</v>
      </c>
      <c r="B24" s="38">
        <f>aantalw2001_steenkool</f>
        <v>63</v>
      </c>
      <c r="C24" s="169" t="s">
        <v>111</v>
      </c>
      <c r="D24" s="232"/>
      <c r="E24" s="16"/>
    </row>
    <row r="25" spans="1:7">
      <c r="A25" s="174" t="s">
        <v>78</v>
      </c>
      <c r="B25" s="38">
        <f>aantalw2001_stookolie</f>
        <v>786</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3124</v>
      </c>
      <c r="C28" s="37"/>
      <c r="D28" s="231"/>
    </row>
    <row r="29" spans="1:7" s="16" customFormat="1">
      <c r="A29" s="233" t="s">
        <v>666</v>
      </c>
      <c r="B29" s="38">
        <f>SUM(HH_hh_gas_aantal,HH_rest_gas_aantal)</f>
        <v>2239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2239</v>
      </c>
      <c r="C32" s="170">
        <f>IF(ISERROR(B32/SUM($B$32,$B$34,$B$35,$B$36,$B$38,$B$39)*100),0,B32/SUM($B$32,$B$34,$B$35,$B$36,$B$38,$B$39)*100)</f>
        <v>71.762820512820511</v>
      </c>
      <c r="D32" s="236"/>
      <c r="G32" s="16"/>
    </row>
    <row r="33" spans="1:7">
      <c r="A33" s="174" t="s">
        <v>72</v>
      </c>
      <c r="B33" s="35" t="s">
        <v>111</v>
      </c>
      <c r="C33" s="170"/>
      <c r="D33" s="236"/>
      <c r="G33" s="16"/>
    </row>
    <row r="34" spans="1:7">
      <c r="A34" s="174" t="s">
        <v>73</v>
      </c>
      <c r="B34" s="34">
        <f>IF((($B$28-$B$32-$B$39-$B$77-$B$38)*C20/100)&lt;0,0,($B$28-$B$32-$B$39-$B$77-$B$38)*C20/100)</f>
        <v>198.26438848920861</v>
      </c>
      <c r="C34" s="170">
        <f>IF(ISERROR(B34/SUM($B$32,$B$34,$B$35,$B$36,$B$38,$B$39)*100),0,B34/SUM($B$32,$B$34,$B$35,$B$36,$B$38,$B$39)*100)</f>
        <v>6.3546278361925834</v>
      </c>
      <c r="D34" s="236"/>
      <c r="G34" s="16"/>
    </row>
    <row r="35" spans="1:7">
      <c r="A35" s="174" t="s">
        <v>74</v>
      </c>
      <c r="B35" s="34">
        <f>IF((($B$28-$B$32-$B$39-$B$77-$B$38)*C21/100)&lt;0,0,($B$28-$B$32-$B$39-$B$77-$B$38)*C21/100)</f>
        <v>272.28309352517982</v>
      </c>
      <c r="C35" s="170">
        <f>IF(ISERROR(B35/SUM($B$32,$B$34,$B$35,$B$36,$B$38,$B$39)*100),0,B35/SUM($B$32,$B$34,$B$35,$B$36,$B$38,$B$39)*100)</f>
        <v>8.7270222283711476</v>
      </c>
      <c r="D35" s="236"/>
      <c r="G35" s="16"/>
    </row>
    <row r="36" spans="1:7">
      <c r="A36" s="174" t="s">
        <v>75</v>
      </c>
      <c r="B36" s="34">
        <f>IF((($B$28-$B$32-$B$39-$B$77-$B$38)*C22/100)&lt;0,0,($B$28-$B$32-$B$39-$B$77-$B$38)*C22/100)</f>
        <v>264.35251798561148</v>
      </c>
      <c r="C36" s="170">
        <f>IF(ISERROR(B36/SUM($B$32,$B$34,$B$35,$B$36,$B$38,$B$39)*100),0,B36/SUM($B$32,$B$34,$B$35,$B$36,$B$38,$B$39)*100)</f>
        <v>8.4728371149234452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146.10000000000002</v>
      </c>
      <c r="C39" s="170">
        <f>IF(ISERROR(B39/SUM($B$32,$B$34,$B$35,$B$36,$B$38,$B$39)*100),0,B39/SUM($B$32,$B$34,$B$35,$B$36,$B$38,$B$39)*100)</f>
        <v>4.6826923076923084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2239</v>
      </c>
      <c r="C44" s="35" t="s">
        <v>111</v>
      </c>
      <c r="D44" s="177"/>
    </row>
    <row r="45" spans="1:7">
      <c r="A45" s="174" t="s">
        <v>72</v>
      </c>
      <c r="B45" s="34" t="str">
        <f t="shared" si="0"/>
        <v>-</v>
      </c>
      <c r="C45" s="35" t="s">
        <v>111</v>
      </c>
      <c r="D45" s="177"/>
    </row>
    <row r="46" spans="1:7">
      <c r="A46" s="174" t="s">
        <v>73</v>
      </c>
      <c r="B46" s="34">
        <f t="shared" si="0"/>
        <v>198.26438848920861</v>
      </c>
      <c r="C46" s="35" t="s">
        <v>111</v>
      </c>
      <c r="D46" s="177"/>
    </row>
    <row r="47" spans="1:7">
      <c r="A47" s="174" t="s">
        <v>74</v>
      </c>
      <c r="B47" s="34">
        <f t="shared" si="0"/>
        <v>272.28309352517982</v>
      </c>
      <c r="C47" s="35" t="s">
        <v>111</v>
      </c>
      <c r="D47" s="177"/>
    </row>
    <row r="48" spans="1:7">
      <c r="A48" s="174" t="s">
        <v>75</v>
      </c>
      <c r="B48" s="34">
        <f t="shared" si="0"/>
        <v>264.35251798561148</v>
      </c>
      <c r="C48" s="34">
        <f>B48*10</f>
        <v>2643.5251798561148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146.10000000000002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8929.1990000000005</v>
      </c>
      <c r="C5" s="18">
        <f>IF(ISERROR('Eigen informatie GS &amp; warmtenet'!B58),0,'Eigen informatie GS &amp; warmtenet'!B58)</f>
        <v>0</v>
      </c>
      <c r="D5" s="31">
        <f>SUM(D6:D12)</f>
        <v>19901.138785905023</v>
      </c>
      <c r="E5" s="18">
        <f>SUM(E6:E12)</f>
        <v>82.590130274343167</v>
      </c>
      <c r="F5" s="18">
        <f>SUM(F6:F12)</f>
        <v>1846.4070176621685</v>
      </c>
      <c r="G5" s="19"/>
      <c r="H5" s="18"/>
      <c r="I5" s="18"/>
      <c r="J5" s="18">
        <f>SUM(J6:J12)</f>
        <v>0</v>
      </c>
      <c r="K5" s="18"/>
      <c r="L5" s="18"/>
      <c r="M5" s="18"/>
      <c r="N5" s="18">
        <f>SUM(N6:N12)</f>
        <v>1268.8074990141192</v>
      </c>
      <c r="O5" s="18">
        <f>B38*B39*B40</f>
        <v>0</v>
      </c>
      <c r="P5" s="18">
        <f>B46*B47*B48/1000-B46*B47*B48/1000/B49</f>
        <v>0</v>
      </c>
      <c r="R5" s="33"/>
    </row>
    <row r="6" spans="1:18">
      <c r="A6" s="33" t="s">
        <v>54</v>
      </c>
      <c r="B6" s="38">
        <f>B26</f>
        <v>3102.8939999999998</v>
      </c>
      <c r="C6" s="34"/>
      <c r="D6" s="38">
        <f>IF(ISERROR(TER_kantoor_gas_kWh/1000),0,TER_kantoor_gas_kWh/1000)*0.902</f>
        <v>12602.342224112133</v>
      </c>
      <c r="E6" s="34">
        <f>$C$26*'E Balans VL '!I12/100/3.6*1000000</f>
        <v>5.0924779356757419</v>
      </c>
      <c r="F6" s="34">
        <f>$C$26*('E Balans VL '!L12+'E Balans VL '!N12)/100/3.6*1000000</f>
        <v>365.75819546879893</v>
      </c>
      <c r="G6" s="35"/>
      <c r="H6" s="34"/>
      <c r="I6" s="34"/>
      <c r="J6" s="34">
        <f>$C$26*('E Balans VL '!D12+'E Balans VL '!E12)/100/3.6*1000000</f>
        <v>0</v>
      </c>
      <c r="K6" s="34"/>
      <c r="L6" s="34"/>
      <c r="M6" s="34"/>
      <c r="N6" s="34">
        <f>$C$26*'E Balans VL '!Y12/100/3.6*1000000</f>
        <v>0.62692503929399901</v>
      </c>
      <c r="O6" s="34"/>
      <c r="P6" s="34"/>
      <c r="R6" s="33"/>
    </row>
    <row r="7" spans="1:18">
      <c r="A7" s="33" t="s">
        <v>53</v>
      </c>
      <c r="B7" s="38">
        <f t="shared" ref="B7:B12" si="0">B27</f>
        <v>910.07399999999996</v>
      </c>
      <c r="C7" s="34"/>
      <c r="D7" s="38">
        <f>IF(ISERROR(TER_horeca_gas_kWh/1000),0,TER_horeca_gas_kWh/1000)*0.902</f>
        <v>514.61669880791692</v>
      </c>
      <c r="E7" s="34">
        <f>$C$27*'E Balans VL '!I9/100/3.6*1000000</f>
        <v>47.226255163612912</v>
      </c>
      <c r="F7" s="34">
        <f>$C$27*('E Balans VL '!L9+'E Balans VL '!N9)/100/3.6*1000000</f>
        <v>207.67954715296722</v>
      </c>
      <c r="G7" s="35"/>
      <c r="H7" s="34"/>
      <c r="I7" s="34"/>
      <c r="J7" s="34">
        <f>$C$27*('E Balans VL '!D9+'E Balans VL '!E9)/100/3.6*1000000</f>
        <v>0</v>
      </c>
      <c r="K7" s="34"/>
      <c r="L7" s="34"/>
      <c r="M7" s="34"/>
      <c r="N7" s="34">
        <f>$C$27*'E Balans VL '!Y9/100/3.6*1000000</f>
        <v>9.6103397340394289E-2</v>
      </c>
      <c r="O7" s="34"/>
      <c r="P7" s="34"/>
      <c r="R7" s="33"/>
    </row>
    <row r="8" spans="1:18">
      <c r="A8" s="6" t="s">
        <v>52</v>
      </c>
      <c r="B8" s="38">
        <f t="shared" si="0"/>
        <v>2143.54</v>
      </c>
      <c r="C8" s="34"/>
      <c r="D8" s="38">
        <f>IF(ISERROR(TER_handel_gas_kWh/1000),0,TER_handel_gas_kWh/1000)*0.902</f>
        <v>518.27396543351426</v>
      </c>
      <c r="E8" s="34">
        <f>$C$28*'E Balans VL '!I13/100/3.6*1000000</f>
        <v>11.543226306056503</v>
      </c>
      <c r="F8" s="34">
        <f>$C$28*('E Balans VL '!L13+'E Balans VL '!N13)/100/3.6*1000000</f>
        <v>437.13150627152271</v>
      </c>
      <c r="G8" s="35"/>
      <c r="H8" s="34"/>
      <c r="I8" s="34"/>
      <c r="J8" s="34">
        <f>$C$28*('E Balans VL '!D13+'E Balans VL '!E13)/100/3.6*1000000</f>
        <v>0</v>
      </c>
      <c r="K8" s="34"/>
      <c r="L8" s="34"/>
      <c r="M8" s="34"/>
      <c r="N8" s="34">
        <f>$C$28*'E Balans VL '!Y13/100/3.6*1000000</f>
        <v>10.658692448957627</v>
      </c>
      <c r="O8" s="34"/>
      <c r="P8" s="34"/>
      <c r="R8" s="33"/>
    </row>
    <row r="9" spans="1:18">
      <c r="A9" s="33" t="s">
        <v>51</v>
      </c>
      <c r="B9" s="38">
        <f t="shared" si="0"/>
        <v>553.53800000000001</v>
      </c>
      <c r="C9" s="34"/>
      <c r="D9" s="38">
        <f>IF(ISERROR(TER_gezond_gas_kWh/1000),0,TER_gezond_gas_kWh/1000)*0.902</f>
        <v>3595.2293612767753</v>
      </c>
      <c r="E9" s="34">
        <f>$C$29*'E Balans VL '!I10/100/3.6*1000000</f>
        <v>0.54856245280808424</v>
      </c>
      <c r="F9" s="34">
        <f>$C$29*('E Balans VL '!L10+'E Balans VL '!N10)/100/3.6*1000000</f>
        <v>192.06173087925794</v>
      </c>
      <c r="G9" s="35"/>
      <c r="H9" s="34"/>
      <c r="I9" s="34"/>
      <c r="J9" s="34">
        <f>$C$29*('E Balans VL '!D10+'E Balans VL '!E10)/100/3.6*1000000</f>
        <v>0</v>
      </c>
      <c r="K9" s="34"/>
      <c r="L9" s="34"/>
      <c r="M9" s="34"/>
      <c r="N9" s="34">
        <f>$C$29*'E Balans VL '!Y10/100/3.6*1000000</f>
        <v>4.76978899323296</v>
      </c>
      <c r="O9" s="34"/>
      <c r="P9" s="34"/>
      <c r="R9" s="33"/>
    </row>
    <row r="10" spans="1:18">
      <c r="A10" s="33" t="s">
        <v>50</v>
      </c>
      <c r="B10" s="38">
        <f t="shared" si="0"/>
        <v>2165.3389999999999</v>
      </c>
      <c r="C10" s="34"/>
      <c r="D10" s="38">
        <f>IF(ISERROR(TER_ander_gas_kWh/1000),0,TER_ander_gas_kWh/1000)*0.902</f>
        <v>0</v>
      </c>
      <c r="E10" s="34">
        <f>$C$30*'E Balans VL '!I14/100/3.6*1000000</f>
        <v>17.714637122207822</v>
      </c>
      <c r="F10" s="34">
        <f>$C$30*('E Balans VL '!L14+'E Balans VL '!N14)/100/3.6*1000000</f>
        <v>633.05696899825512</v>
      </c>
      <c r="G10" s="35"/>
      <c r="H10" s="34"/>
      <c r="I10" s="34"/>
      <c r="J10" s="34">
        <f>$C$30*('E Balans VL '!D14+'E Balans VL '!E14)/100/3.6*1000000</f>
        <v>0</v>
      </c>
      <c r="K10" s="34"/>
      <c r="L10" s="34"/>
      <c r="M10" s="34"/>
      <c r="N10" s="34">
        <f>$C$30*'E Balans VL '!Y14/100/3.6*1000000</f>
        <v>1249.1164865169399</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53.814</v>
      </c>
      <c r="C12" s="34"/>
      <c r="D12" s="38">
        <f>IF(ISERROR(TER_rest_gas_kWh/1000),0,TER_rest_gas_kWh/1000)*0.902</f>
        <v>2670.6765362746801</v>
      </c>
      <c r="E12" s="34">
        <f>$C$32*'E Balans VL '!I8/100/3.6*1000000</f>
        <v>0.46497129398211368</v>
      </c>
      <c r="F12" s="34">
        <f>$C$32*('E Balans VL '!L8+'E Balans VL '!N8)/100/3.6*1000000</f>
        <v>10.71906889136649</v>
      </c>
      <c r="G12" s="35"/>
      <c r="H12" s="34"/>
      <c r="I12" s="34"/>
      <c r="J12" s="34">
        <f>$C$32*('E Balans VL '!D8+'E Balans VL '!E8)/100/3.6*1000000</f>
        <v>0</v>
      </c>
      <c r="K12" s="34"/>
      <c r="L12" s="34"/>
      <c r="M12" s="34"/>
      <c r="N12" s="34">
        <f>$C$32*'E Balans VL '!Y8/100/3.6*1000000</f>
        <v>3.5395026183544211</v>
      </c>
      <c r="O12" s="34"/>
      <c r="P12" s="34"/>
      <c r="R12" s="33"/>
    </row>
    <row r="13" spans="1:18">
      <c r="A13" s="17" t="s">
        <v>502</v>
      </c>
      <c r="B13" s="250">
        <f ca="1">'lokale energieproductie'!N91+'lokale energieproductie'!N60</f>
        <v>1647</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-4705.7142857142862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10576.199000000001</v>
      </c>
      <c r="C16" s="22">
        <f t="shared" ca="1" si="1"/>
        <v>0</v>
      </c>
      <c r="D16" s="22">
        <f t="shared" ca="1" si="1"/>
        <v>19901.138785905023</v>
      </c>
      <c r="E16" s="22">
        <f t="shared" si="1"/>
        <v>82.590130274343167</v>
      </c>
      <c r="F16" s="22">
        <f t="shared" ca="1" si="1"/>
        <v>1846.4070176621685</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1.2285761840327898</v>
      </c>
      <c r="C18" s="26">
        <f ca="1">'EF ele_warmte'!B22</f>
        <v>0.22352095319609666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12993.666208991408</v>
      </c>
      <c r="C20" s="24">
        <f t="shared" ref="C20:P20" ca="1" si="2">C16*C18</f>
        <v>0</v>
      </c>
      <c r="D20" s="24">
        <f t="shared" ca="1" si="2"/>
        <v>4020.030034752815</v>
      </c>
      <c r="E20" s="24">
        <f t="shared" si="2"/>
        <v>18.747959572275899</v>
      </c>
      <c r="F20" s="24">
        <f t="shared" ca="1" si="2"/>
        <v>492.99067371579901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3102.8939999999998</v>
      </c>
      <c r="C26" s="40">
        <f>IF(ISERROR(B26*3.6/1000000/'E Balans VL '!Z12*100),0,B26*3.6/1000000/'E Balans VL '!Z12*100)</f>
        <v>6.5934272318387277E-2</v>
      </c>
      <c r="D26" s="240" t="s">
        <v>707</v>
      </c>
      <c r="F26" s="6"/>
    </row>
    <row r="27" spans="1:18">
      <c r="A27" s="234" t="s">
        <v>53</v>
      </c>
      <c r="B27" s="34">
        <f>IF(ISERROR(TER_horeca_ele_kWh/1000),0,TER_horeca_ele_kWh/1000)</f>
        <v>910.07399999999996</v>
      </c>
      <c r="C27" s="40">
        <f>IF(ISERROR(B27*3.6/1000000/'E Balans VL '!Z9*100),0,B27*3.6/1000000/'E Balans VL '!Z9*100)</f>
        <v>7.1629861371722447E-2</v>
      </c>
      <c r="D27" s="240" t="s">
        <v>707</v>
      </c>
      <c r="F27" s="6"/>
    </row>
    <row r="28" spans="1:18">
      <c r="A28" s="174" t="s">
        <v>52</v>
      </c>
      <c r="B28" s="34">
        <f>IF(ISERROR(TER_handel_ele_kWh/1000),0,TER_handel_ele_kWh/1000)</f>
        <v>2143.54</v>
      </c>
      <c r="C28" s="40">
        <f>IF(ISERROR(B28*3.6/1000000/'E Balans VL '!Z13*100),0,B28*3.6/1000000/'E Balans VL '!Z13*100)</f>
        <v>6.0041702577317765E-2</v>
      </c>
      <c r="D28" s="240" t="s">
        <v>707</v>
      </c>
      <c r="F28" s="6"/>
    </row>
    <row r="29" spans="1:18">
      <c r="A29" s="234" t="s">
        <v>51</v>
      </c>
      <c r="B29" s="34">
        <f>IF(ISERROR(TER_gezond_ele_kWh/1000),0,TER_gezond_ele_kWh/1000)</f>
        <v>553.53800000000001</v>
      </c>
      <c r="C29" s="40">
        <f>IF(ISERROR(B29*3.6/1000000/'E Balans VL '!Z10*100),0,B29*3.6/1000000/'E Balans VL '!Z10*100)</f>
        <v>7.0814248514994543E-2</v>
      </c>
      <c r="D29" s="240" t="s">
        <v>707</v>
      </c>
      <c r="F29" s="6"/>
    </row>
    <row r="30" spans="1:18">
      <c r="A30" s="234" t="s">
        <v>50</v>
      </c>
      <c r="B30" s="34">
        <f>IF(ISERROR(TER_ander_ele_kWh/1000),0,TER_ander_ele_kWh/1000)</f>
        <v>2165.3389999999999</v>
      </c>
      <c r="C30" s="40">
        <f>IF(ISERROR(B30*3.6/1000000/'E Balans VL '!Z14*100),0,B30*3.6/1000000/'E Balans VL '!Z14*100)</f>
        <v>0.16194911173485779</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53.814</v>
      </c>
      <c r="C32" s="40">
        <f>IF(ISERROR(B32*3.6/1000000/'E Balans VL '!Z8*100),0,B32*3.6/1000000/'E Balans VL '!Z8*100)</f>
        <v>4.4331607616957019E-4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1661.5650000000001</v>
      </c>
      <c r="C5" s="18">
        <f>IF(ISERROR('Eigen informatie GS &amp; warmtenet'!B59),0,'Eigen informatie GS &amp; warmtenet'!B59)</f>
        <v>0</v>
      </c>
      <c r="D5" s="31">
        <f>SUM(D6:D15)</f>
        <v>1604.2405579220413</v>
      </c>
      <c r="E5" s="18">
        <f>SUM(E6:E15)</f>
        <v>12.747309665996868</v>
      </c>
      <c r="F5" s="18">
        <f>SUM(F6:F15)</f>
        <v>763.28557070793192</v>
      </c>
      <c r="G5" s="19"/>
      <c r="H5" s="18"/>
      <c r="I5" s="18"/>
      <c r="J5" s="18">
        <f>SUM(J6:J15)</f>
        <v>4.3958213809675257</v>
      </c>
      <c r="K5" s="18"/>
      <c r="L5" s="18"/>
      <c r="M5" s="18"/>
      <c r="N5" s="18">
        <f>SUM(N6:N15)</f>
        <v>73.084066836386683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252.667</v>
      </c>
      <c r="C8" s="34"/>
      <c r="D8" s="38">
        <f>IF( ISERROR(IND_metaal_Gas_kWH/1000),0,IND_metaal_Gas_kWH/1000)*0.902</f>
        <v>0</v>
      </c>
      <c r="E8" s="34">
        <f>C30*'E Balans VL '!I18/100/3.6*1000000</f>
        <v>2.3009928352850424</v>
      </c>
      <c r="F8" s="34">
        <f>C30*'E Balans VL '!L18/100/3.6*1000000+C30*'E Balans VL '!N18/100/3.6*1000000</f>
        <v>33.324858513845818</v>
      </c>
      <c r="G8" s="35"/>
      <c r="H8" s="34"/>
      <c r="I8" s="34"/>
      <c r="J8" s="41">
        <f>C30*'E Balans VL '!D18/100/3.6*1000000+C30*'E Balans VL '!E18/100/3.6*1000000</f>
        <v>4.1433719407262073</v>
      </c>
      <c r="K8" s="34"/>
      <c r="L8" s="34"/>
      <c r="M8" s="34"/>
      <c r="N8" s="34">
        <f>C30*'E Balans VL '!Y18/100/3.6*1000000</f>
        <v>0.86831610729172293</v>
      </c>
      <c r="O8" s="34"/>
      <c r="P8" s="34"/>
      <c r="R8" s="33"/>
    </row>
    <row r="9" spans="1:18">
      <c r="A9" s="6" t="s">
        <v>33</v>
      </c>
      <c r="B9" s="38">
        <f t="shared" si="0"/>
        <v>833.55600000000004</v>
      </c>
      <c r="C9" s="34"/>
      <c r="D9" s="38">
        <f>IF( ISERROR(IND_andere_gas_kWh/1000),0,IND_andere_gas_kWh/1000)*0.902</f>
        <v>236.85304727646138</v>
      </c>
      <c r="E9" s="34">
        <f>C31*'E Balans VL '!I19/100/3.6*1000000</f>
        <v>4.8180782446410877</v>
      </c>
      <c r="F9" s="34">
        <f>C31*'E Balans VL '!L19/100/3.6*1000000+C31*'E Balans VL '!N19/100/3.6*1000000</f>
        <v>663.13390712754358</v>
      </c>
      <c r="G9" s="35"/>
      <c r="H9" s="34"/>
      <c r="I9" s="34"/>
      <c r="J9" s="41">
        <f>C31*'E Balans VL '!D19/100/3.6*1000000+C31*'E Balans VL '!E19/100/3.6*1000000</f>
        <v>7.8845138722198588E-2</v>
      </c>
      <c r="K9" s="34"/>
      <c r="L9" s="34"/>
      <c r="M9" s="34"/>
      <c r="N9" s="34">
        <f>C31*'E Balans VL '!Y19/100/3.6*1000000</f>
        <v>63.154481459058495</v>
      </c>
      <c r="O9" s="34"/>
      <c r="P9" s="34"/>
      <c r="R9" s="33"/>
    </row>
    <row r="10" spans="1:18">
      <c r="A10" s="6" t="s">
        <v>41</v>
      </c>
      <c r="B10" s="38">
        <f t="shared" si="0"/>
        <v>541.24400000000003</v>
      </c>
      <c r="C10" s="34"/>
      <c r="D10" s="38">
        <f>IF( ISERROR(IND_voed_gas_kWh/1000),0,IND_voed_gas_kWh/1000)*0.902</f>
        <v>555.03304192825442</v>
      </c>
      <c r="E10" s="34">
        <f>C32*'E Balans VL '!I20/100/3.6*1000000</f>
        <v>5.3218444962021785</v>
      </c>
      <c r="F10" s="34">
        <f>C32*'E Balans VL '!L20/100/3.6*1000000+C32*'E Balans VL '!N20/100/3.6*1000000</f>
        <v>60.11221086546108</v>
      </c>
      <c r="G10" s="35"/>
      <c r="H10" s="34"/>
      <c r="I10" s="34"/>
      <c r="J10" s="41">
        <f>C32*'E Balans VL '!D20/100/3.6*1000000+C32*'E Balans VL '!E20/100/3.6*1000000</f>
        <v>2.1332883139910637E-3</v>
      </c>
      <c r="K10" s="34"/>
      <c r="L10" s="34"/>
      <c r="M10" s="34"/>
      <c r="N10" s="34">
        <f>C32*'E Balans VL '!Y20/100/3.6*1000000</f>
        <v>8.0145504999131969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34.097999999999999</v>
      </c>
      <c r="C15" s="34"/>
      <c r="D15" s="38">
        <f>IF( ISERROR(IND_rest_gas_kWh/1000),0,IND_rest_gas_kWh/1000)*0.902</f>
        <v>812.3544687173254</v>
      </c>
      <c r="E15" s="34">
        <f>C37*'E Balans VL '!I15/100/3.6*1000000</f>
        <v>0.30639408986855959</v>
      </c>
      <c r="F15" s="34">
        <f>C37*'E Balans VL '!L15/100/3.6*1000000+C37*'E Balans VL '!N15/100/3.6*1000000</f>
        <v>6.7145942010814954</v>
      </c>
      <c r="G15" s="35"/>
      <c r="H15" s="34"/>
      <c r="I15" s="34"/>
      <c r="J15" s="41">
        <f>C37*'E Balans VL '!D15/100/3.6*1000000+C37*'E Balans VL '!E15/100/3.6*1000000</f>
        <v>0.17147101320512884</v>
      </c>
      <c r="K15" s="34"/>
      <c r="L15" s="34"/>
      <c r="M15" s="34"/>
      <c r="N15" s="34">
        <f>C37*'E Balans VL '!Y15/100/3.6*1000000</f>
        <v>1.0467187701232636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1661.5650000000001</v>
      </c>
      <c r="C18" s="22">
        <f>C5+C16</f>
        <v>0</v>
      </c>
      <c r="D18" s="22">
        <f>MAX((D5+D16),0)</f>
        <v>1604.2405579220413</v>
      </c>
      <c r="E18" s="22">
        <f>MAX((E5+E16),0)</f>
        <v>12.747309665996868</v>
      </c>
      <c r="F18" s="22">
        <f>MAX((F5+F16),0)</f>
        <v>763.28557070793192</v>
      </c>
      <c r="G18" s="22"/>
      <c r="H18" s="22"/>
      <c r="I18" s="22"/>
      <c r="J18" s="22">
        <f>MAX((J5+J16),0)</f>
        <v>4.3958213809675257</v>
      </c>
      <c r="K18" s="22"/>
      <c r="L18" s="22">
        <f>MAX((L5+L16),0)</f>
        <v>0</v>
      </c>
      <c r="M18" s="22"/>
      <c r="N18" s="22">
        <f>MAX((N5+N16),0)</f>
        <v>73.084066836386683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1.2285761840327898</v>
      </c>
      <c r="C20" s="26">
        <f ca="1">'EF ele_warmte'!B22</f>
        <v>0.22352095319609666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2041.3591872224424</v>
      </c>
      <c r="C22" s="24">
        <f ca="1">C18*C20</f>
        <v>0</v>
      </c>
      <c r="D22" s="24">
        <f>D18*D20</f>
        <v>324.05659270025234</v>
      </c>
      <c r="E22" s="24">
        <f>E18*E20</f>
        <v>2.893639294181289</v>
      </c>
      <c r="F22" s="24">
        <f>F18*F20</f>
        <v>203.79724737901785</v>
      </c>
      <c r="G22" s="24"/>
      <c r="H22" s="24"/>
      <c r="I22" s="24"/>
      <c r="J22" s="24">
        <f>J18*J20</f>
        <v>1.5561207688625041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252.667</v>
      </c>
      <c r="C30" s="40">
        <f>IF(ISERROR(B30*3.6/1000000/'E Balans VL '!Z18*100),0,B30*3.6/1000000/'E Balans VL '!Z18*100)</f>
        <v>1.4059228980267069E-2</v>
      </c>
      <c r="D30" s="240" t="s">
        <v>707</v>
      </c>
    </row>
    <row r="31" spans="1:18">
      <c r="A31" s="6" t="s">
        <v>33</v>
      </c>
      <c r="B31" s="38">
        <f>IF( ISERROR(IND_ander_ele_kWh/1000),0,IND_ander_ele_kWh/1000)</f>
        <v>833.55600000000004</v>
      </c>
      <c r="C31" s="40">
        <f>IF(ISERROR(B31*3.6/1000000/'E Balans VL '!Z19*100),0,B31*3.6/1000000/'E Balans VL '!Z19*100)</f>
        <v>3.8749829269612963E-2</v>
      </c>
      <c r="D31" s="240" t="s">
        <v>707</v>
      </c>
    </row>
    <row r="32" spans="1:18">
      <c r="A32" s="174" t="s">
        <v>41</v>
      </c>
      <c r="B32" s="38">
        <f>IF( ISERROR(IND_voed_ele_kWh/1000),0,IND_voed_ele_kWh/1000)</f>
        <v>541.24400000000003</v>
      </c>
      <c r="C32" s="40">
        <f>IF(ISERROR(B32*3.6/1000000/'E Balans VL '!Z20*100),0,B32*3.6/1000000/'E Balans VL '!Z20*100)</f>
        <v>1.9131882311449223E-2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34.097999999999999</v>
      </c>
      <c r="C37" s="40">
        <f>IF(ISERROR(B37*3.6/1000000/'E Balans VL '!Z15*100),0,B37*3.6/1000000/'E Balans VL '!Z15*100)</f>
        <v>2.5749027036275272E-4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6351.268</v>
      </c>
      <c r="C5" s="18">
        <f>'Eigen informatie GS &amp; warmtenet'!B60</f>
        <v>0</v>
      </c>
      <c r="D5" s="31">
        <f>IF(ISERROR(SUM(LB_lb_gas_kWh,LB_rest_gas_kWh)/1000),0,SUM(LB_lb_gas_kWh,LB_rest_gas_kWh)/1000)*0.902</f>
        <v>391686.55908096081</v>
      </c>
      <c r="E5" s="18">
        <f>B17*'E Balans VL '!I25/3.6*1000000/100</f>
        <v>59.83320004915322</v>
      </c>
      <c r="F5" s="18">
        <f>B17*('E Balans VL '!L25/3.6*1000000+'E Balans VL '!N25/3.6*1000000)/100</f>
        <v>20726.295284735261</v>
      </c>
      <c r="G5" s="19"/>
      <c r="H5" s="18"/>
      <c r="I5" s="18"/>
      <c r="J5" s="18">
        <f>('E Balans VL '!D25+'E Balans VL '!E25)/3.6*1000000*landbouw!B17/100</f>
        <v>785.68274416161773</v>
      </c>
      <c r="K5" s="18"/>
      <c r="L5" s="18">
        <f>L6*(-1)</f>
        <v>0</v>
      </c>
      <c r="M5" s="18"/>
      <c r="N5" s="18">
        <f>N6*(-1)</f>
        <v>28345.714285714286</v>
      </c>
      <c r="O5" s="18"/>
      <c r="P5" s="18"/>
      <c r="R5" s="33"/>
    </row>
    <row r="6" spans="1:18">
      <c r="A6" s="17" t="s">
        <v>502</v>
      </c>
      <c r="B6" s="18" t="s">
        <v>211</v>
      </c>
      <c r="C6" s="18">
        <f>'lokale energieproductie'!O92+'lokale energieproductie'!O61</f>
        <v>238433.57142857145</v>
      </c>
      <c r="D6" s="312">
        <f>('lokale energieproductie'!P61+'lokale energieproductie'!P92)*(-1)</f>
        <v>-448521.42857142864</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-28345.714285714286</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6351.268</v>
      </c>
      <c r="C8" s="22">
        <f>C5+C6</f>
        <v>238433.57142857145</v>
      </c>
      <c r="D8" s="22">
        <f>MAX((D5+D6),0)</f>
        <v>0</v>
      </c>
      <c r="E8" s="22">
        <f>MAX((E5+E6),0)</f>
        <v>59.83320004915322</v>
      </c>
      <c r="F8" s="22">
        <f>MAX((F5+F6),0)</f>
        <v>20726.295284735261</v>
      </c>
      <c r="G8" s="22"/>
      <c r="H8" s="22"/>
      <c r="I8" s="22"/>
      <c r="J8" s="22">
        <f>MAX((J5+J6),0)</f>
        <v>785.68274416161773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1.2285761840327898</v>
      </c>
      <c r="C10" s="32">
        <f ca="1">'EF ele_warmte'!B22</f>
        <v>0.22352095319609666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7803.0166032095685</v>
      </c>
      <c r="C12" s="24">
        <f ca="1">C8*C10</f>
        <v>53294.899159663888</v>
      </c>
      <c r="D12" s="24">
        <f>D8*D10</f>
        <v>0</v>
      </c>
      <c r="E12" s="24">
        <f>E8*E10</f>
        <v>13.582136411157782</v>
      </c>
      <c r="F12" s="24">
        <f>F8*F10</f>
        <v>5533.9208410243145</v>
      </c>
      <c r="G12" s="24"/>
      <c r="H12" s="24"/>
      <c r="I12" s="24"/>
      <c r="J12" s="24">
        <f>J8*J10</f>
        <v>278.13169143321267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0.85986019718168827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813.77197724223902</v>
      </c>
      <c r="C26" s="250">
        <f>B26*'GWP N2O_CH4'!B5</f>
        <v>17089.211522087018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506.85278815727878</v>
      </c>
      <c r="C27" s="250">
        <f>B27*'GWP N2O_CH4'!B5</f>
        <v>10643.908551302855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21.491385204071257</v>
      </c>
      <c r="C28" s="250">
        <f>B28*'GWP N2O_CH4'!B4</f>
        <v>6662.3294132620895</v>
      </c>
      <c r="D28" s="51"/>
    </row>
    <row r="29" spans="1:4">
      <c r="A29" s="42" t="s">
        <v>277</v>
      </c>
      <c r="B29" s="250">
        <f>B34*'ha_N2O bodem landbouw'!B4</f>
        <v>13.689135567976638</v>
      </c>
      <c r="C29" s="250">
        <f>B29*'GWP N2O_CH4'!B4</f>
        <v>4243.632026072758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3.6956356657132264E-3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4.0017306391404398E-6</v>
      </c>
      <c r="C5" s="447" t="s">
        <v>211</v>
      </c>
      <c r="D5" s="432">
        <f>SUM(D6:D11)</f>
        <v>1.0965245083421057E-5</v>
      </c>
      <c r="E5" s="432">
        <f>SUM(E6:E11)</f>
        <v>6.367675902486374E-4</v>
      </c>
      <c r="F5" s="445" t="s">
        <v>211</v>
      </c>
      <c r="G5" s="432">
        <f>SUM(G6:G11)</f>
        <v>0.12249667530726578</v>
      </c>
      <c r="H5" s="432">
        <f>SUM(H6:H11)</f>
        <v>2.4380164242034978E-2</v>
      </c>
      <c r="I5" s="447" t="s">
        <v>211</v>
      </c>
      <c r="J5" s="447" t="s">
        <v>211</v>
      </c>
      <c r="K5" s="447" t="s">
        <v>211</v>
      </c>
      <c r="L5" s="447" t="s">
        <v>211</v>
      </c>
      <c r="M5" s="432">
        <f>SUM(M6:M11)</f>
        <v>6.5700305707350028E-3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3.3866092170353092E-6</v>
      </c>
      <c r="C6" s="433"/>
      <c r="D6" s="433">
        <f>vkm_2011_GW_PW*SUMIFS(TableVerdeelsleutelVkm[CNG],TableVerdeelsleutelVkm[Voertuigtype],"Lichte voertuigen")*SUMIFS(TableECFTransport[EnergieConsumptieFactor (PJ per km)],TableECFTransport[Index],CONCATENATE($A6,"_CNG_CNG"))</f>
        <v>8.2701564239052809E-6</v>
      </c>
      <c r="E6" s="435">
        <f>vkm_2011_GW_PW*SUMIFS(TableVerdeelsleutelVkm[LPG],TableVerdeelsleutelVkm[Voertuigtype],"Lichte voertuigen")*SUMIFS(TableECFTransport[EnergieConsumptieFactor (PJ per km)],TableECFTransport[Index],CONCATENATE($A6,"_LPG_LPG"))</f>
        <v>4.9021213379007501E-4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7.0865930538216076E-2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1.8571924453595744E-2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4.0051918564456227E-3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2.9213708480487901E-2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1.1786592425116408E-5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1.3014616741476206E-3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6.1512142210513028E-7</v>
      </c>
      <c r="C8" s="433"/>
      <c r="D8" s="435">
        <f>vkm_2011_NGW_PW*SUMIFS(TableVerdeelsleutelVkm[CNG],TableVerdeelsleutelVkm[Voertuigtype],"Lichte voertuigen")*SUMIFS(TableECFTransport[EnergieConsumptieFactor (PJ per km)],TableECFTransport[Index],CONCATENATE($A8,"_CNG_CNG"))</f>
        <v>2.6950886595157756E-6</v>
      </c>
      <c r="E8" s="435">
        <f>vkm_2011_NGW_PW*SUMIFS(TableVerdeelsleutelVkm[LPG],TableVerdeelsleutelVkm[Voertuigtype],"Lichte voertuigen")*SUMIFS(TableECFTransport[EnergieConsumptieFactor (PJ per km)],TableECFTransport[Index],CONCATENATE($A8,"_LPG_LPG"))</f>
        <v>1.4655545645856239E-4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2.0014393317960278E-2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5.7956091674131217E-3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1.1563457721764309E-3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2.4026429706015271E-3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8.4402860099778731E-7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1.0703126796532839E-4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1.1115918442056778</v>
      </c>
      <c r="C14" s="22"/>
      <c r="D14" s="22">
        <f t="shared" ref="D14:M14" si="0">((D5)*10^9/3600)+D12</f>
        <v>3.0459014120614047</v>
      </c>
      <c r="E14" s="22">
        <f t="shared" si="0"/>
        <v>176.87988618017704</v>
      </c>
      <c r="F14" s="22"/>
      <c r="G14" s="22">
        <f t="shared" si="0"/>
        <v>34026.854252018275</v>
      </c>
      <c r="H14" s="22">
        <f t="shared" si="0"/>
        <v>6772.2678450097164</v>
      </c>
      <c r="I14" s="22"/>
      <c r="J14" s="22"/>
      <c r="K14" s="22"/>
      <c r="L14" s="22"/>
      <c r="M14" s="22">
        <f t="shared" si="0"/>
        <v>1825.0084918708342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1.2285761840327898</v>
      </c>
      <c r="C16" s="57">
        <f ca="1">'EF ele_warmte'!B22</f>
        <v>0.22352095319609666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1.3656752661561831</v>
      </c>
      <c r="C18" s="24"/>
      <c r="D18" s="24">
        <f t="shared" ref="D18:M18" si="1">D14*D16</f>
        <v>0.61527208523640375</v>
      </c>
      <c r="E18" s="24">
        <f t="shared" si="1"/>
        <v>40.15173416290019</v>
      </c>
      <c r="F18" s="24"/>
      <c r="G18" s="24">
        <f t="shared" si="1"/>
        <v>9085.1700852888807</v>
      </c>
      <c r="H18" s="24">
        <f t="shared" si="1"/>
        <v>1686.2946934074193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3.3324454887730575E-3</v>
      </c>
      <c r="H50" s="323">
        <f t="shared" si="2"/>
        <v>0</v>
      </c>
      <c r="I50" s="323">
        <f t="shared" si="2"/>
        <v>0</v>
      </c>
      <c r="J50" s="323">
        <f t="shared" si="2"/>
        <v>0</v>
      </c>
      <c r="K50" s="323">
        <f t="shared" si="2"/>
        <v>0</v>
      </c>
      <c r="L50" s="323">
        <f t="shared" si="2"/>
        <v>0</v>
      </c>
      <c r="M50" s="323">
        <f t="shared" si="2"/>
        <v>1.4633317862471532E-4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3.3324454887730575E-3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1.4633317862471532E-4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925.67930243696037</v>
      </c>
      <c r="H54" s="22">
        <f t="shared" si="3"/>
        <v>0</v>
      </c>
      <c r="I54" s="22">
        <f t="shared" si="3"/>
        <v>0</v>
      </c>
      <c r="J54" s="22">
        <f t="shared" si="3"/>
        <v>0</v>
      </c>
      <c r="K54" s="22">
        <f t="shared" si="3"/>
        <v>0</v>
      </c>
      <c r="L54" s="22">
        <f t="shared" si="3"/>
        <v>0</v>
      </c>
      <c r="M54" s="22">
        <f t="shared" si="3"/>
        <v>40.648105173532031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1.2285761840327898</v>
      </c>
      <c r="C56" s="57">
        <f ca="1">'EF ele_warmte'!B22</f>
        <v>0.22352095319609666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247.15637375066842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10961.396000000001</v>
      </c>
      <c r="D10" s="688">
        <f ca="1">tertiair!C16</f>
        <v>0</v>
      </c>
      <c r="E10" s="688">
        <f ca="1">tertiair!D16</f>
        <v>19901.138785905023</v>
      </c>
      <c r="F10" s="688">
        <f>tertiair!E16</f>
        <v>82.590130274343167</v>
      </c>
      <c r="G10" s="688">
        <f ca="1">tertiair!F16</f>
        <v>1846.4070176621685</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32791.531933841536</v>
      </c>
      <c r="S10" s="68"/>
    </row>
    <row r="11" spans="1:19" s="457" customFormat="1">
      <c r="A11" s="803" t="s">
        <v>225</v>
      </c>
      <c r="B11" s="808"/>
      <c r="C11" s="688">
        <f>huishoudens!B8</f>
        <v>14766.950322299754</v>
      </c>
      <c r="D11" s="688">
        <f>huishoudens!C8</f>
        <v>0</v>
      </c>
      <c r="E11" s="688">
        <f>huishoudens!D8</f>
        <v>43522.448228139066</v>
      </c>
      <c r="F11" s="688">
        <f>huishoudens!E8</f>
        <v>4369.0393196363666</v>
      </c>
      <c r="G11" s="688">
        <f>huishoudens!F8</f>
        <v>2883.9970947159782</v>
      </c>
      <c r="H11" s="688">
        <f>huishoudens!G8</f>
        <v>0</v>
      </c>
      <c r="I11" s="688">
        <f>huishoudens!H8</f>
        <v>0</v>
      </c>
      <c r="J11" s="688">
        <f>huishoudens!I8</f>
        <v>0</v>
      </c>
      <c r="K11" s="688">
        <f>huishoudens!J8</f>
        <v>0</v>
      </c>
      <c r="L11" s="688">
        <f>huishoudens!K8</f>
        <v>0</v>
      </c>
      <c r="M11" s="688">
        <f>huishoudens!L8</f>
        <v>0</v>
      </c>
      <c r="N11" s="688">
        <f>huishoudens!M8</f>
        <v>0</v>
      </c>
      <c r="O11" s="688">
        <f>huishoudens!N8</f>
        <v>18918.187449043271</v>
      </c>
      <c r="P11" s="688">
        <f>huishoudens!O8</f>
        <v>37.520000000000003</v>
      </c>
      <c r="Q11" s="689">
        <f>huishoudens!P8</f>
        <v>76.266666666666666</v>
      </c>
      <c r="R11" s="691">
        <f>SUM(C11:Q11)</f>
        <v>84574.409080501093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1661.5650000000001</v>
      </c>
      <c r="D13" s="688">
        <f>industrie!C18</f>
        <v>0</v>
      </c>
      <c r="E13" s="688">
        <f>industrie!D18</f>
        <v>1604.2405579220413</v>
      </c>
      <c r="F13" s="688">
        <f>industrie!E18</f>
        <v>12.747309665996868</v>
      </c>
      <c r="G13" s="688">
        <f>industrie!F18</f>
        <v>763.28557070793192</v>
      </c>
      <c r="H13" s="688">
        <f>industrie!G18</f>
        <v>0</v>
      </c>
      <c r="I13" s="688">
        <f>industrie!H18</f>
        <v>0</v>
      </c>
      <c r="J13" s="688">
        <f>industrie!I18</f>
        <v>0</v>
      </c>
      <c r="K13" s="688">
        <f>industrie!J18</f>
        <v>4.3958213809675257</v>
      </c>
      <c r="L13" s="688">
        <f>industrie!K18</f>
        <v>0</v>
      </c>
      <c r="M13" s="688">
        <f>industrie!L18</f>
        <v>0</v>
      </c>
      <c r="N13" s="688">
        <f>industrie!M18</f>
        <v>0</v>
      </c>
      <c r="O13" s="688">
        <f>industrie!N18</f>
        <v>73.084066836386683</v>
      </c>
      <c r="P13" s="688">
        <f>industrie!O18</f>
        <v>0</v>
      </c>
      <c r="Q13" s="689">
        <f>industrie!P18</f>
        <v>0</v>
      </c>
      <c r="R13" s="691">
        <f>SUM(C13:Q13)</f>
        <v>4119.3183265133248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27389.911322299751</v>
      </c>
      <c r="D16" s="721">
        <f t="shared" ref="D16:R16" ca="1" si="0">SUM(D9:D15)</f>
        <v>0</v>
      </c>
      <c r="E16" s="721">
        <f t="shared" ca="1" si="0"/>
        <v>65027.827571966132</v>
      </c>
      <c r="F16" s="721">
        <f t="shared" si="0"/>
        <v>4464.3767595767067</v>
      </c>
      <c r="G16" s="721">
        <f t="shared" ca="1" si="0"/>
        <v>5493.6896830860778</v>
      </c>
      <c r="H16" s="721">
        <f t="shared" si="0"/>
        <v>0</v>
      </c>
      <c r="I16" s="721">
        <f t="shared" si="0"/>
        <v>0</v>
      </c>
      <c r="J16" s="721">
        <f t="shared" si="0"/>
        <v>0</v>
      </c>
      <c r="K16" s="721">
        <f t="shared" si="0"/>
        <v>4.3958213809675257</v>
      </c>
      <c r="L16" s="721">
        <f t="shared" si="0"/>
        <v>0</v>
      </c>
      <c r="M16" s="721">
        <f t="shared" ca="1" si="0"/>
        <v>0</v>
      </c>
      <c r="N16" s="721">
        <f t="shared" si="0"/>
        <v>0</v>
      </c>
      <c r="O16" s="721">
        <f t="shared" ca="1" si="0"/>
        <v>18991.271515879656</v>
      </c>
      <c r="P16" s="721">
        <f t="shared" si="0"/>
        <v>37.520000000000003</v>
      </c>
      <c r="Q16" s="721">
        <f t="shared" si="0"/>
        <v>76.266666666666666</v>
      </c>
      <c r="R16" s="721">
        <f t="shared" ca="1" si="0"/>
        <v>121485.25934085595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925.67930243696037</v>
      </c>
      <c r="I19" s="688">
        <f>transport!H54</f>
        <v>0</v>
      </c>
      <c r="J19" s="688">
        <f>transport!I54</f>
        <v>0</v>
      </c>
      <c r="K19" s="688">
        <f>transport!J54</f>
        <v>0</v>
      </c>
      <c r="L19" s="688">
        <f>transport!K54</f>
        <v>0</v>
      </c>
      <c r="M19" s="688">
        <f>transport!L54</f>
        <v>0</v>
      </c>
      <c r="N19" s="688">
        <f>transport!M54</f>
        <v>40.648105173532031</v>
      </c>
      <c r="O19" s="688">
        <f>transport!N54</f>
        <v>0</v>
      </c>
      <c r="P19" s="688">
        <f>transport!O54</f>
        <v>0</v>
      </c>
      <c r="Q19" s="689">
        <f>transport!P54</f>
        <v>0</v>
      </c>
      <c r="R19" s="691">
        <f>SUM(C19:Q19)</f>
        <v>966.3274076104924</v>
      </c>
      <c r="S19" s="68"/>
    </row>
    <row r="20" spans="1:19" s="457" customFormat="1">
      <c r="A20" s="803" t="s">
        <v>307</v>
      </c>
      <c r="B20" s="808"/>
      <c r="C20" s="688">
        <f>transport!B14</f>
        <v>1.1115918442056778</v>
      </c>
      <c r="D20" s="688">
        <f>transport!C14</f>
        <v>0</v>
      </c>
      <c r="E20" s="688">
        <f>transport!D14</f>
        <v>3.0459014120614047</v>
      </c>
      <c r="F20" s="688">
        <f>transport!E14</f>
        <v>176.87988618017704</v>
      </c>
      <c r="G20" s="688">
        <f>transport!F14</f>
        <v>0</v>
      </c>
      <c r="H20" s="688">
        <f>transport!G14</f>
        <v>34026.854252018275</v>
      </c>
      <c r="I20" s="688">
        <f>transport!H14</f>
        <v>6772.2678450097164</v>
      </c>
      <c r="J20" s="688">
        <f>transport!I14</f>
        <v>0</v>
      </c>
      <c r="K20" s="688">
        <f>transport!J14</f>
        <v>0</v>
      </c>
      <c r="L20" s="688">
        <f>transport!K14</f>
        <v>0</v>
      </c>
      <c r="M20" s="688">
        <f>transport!L14</f>
        <v>0</v>
      </c>
      <c r="N20" s="688">
        <f>transport!M14</f>
        <v>1825.0084918708342</v>
      </c>
      <c r="O20" s="688">
        <f>transport!N14</f>
        <v>0</v>
      </c>
      <c r="P20" s="688">
        <f>transport!O14</f>
        <v>0</v>
      </c>
      <c r="Q20" s="689">
        <f>transport!P14</f>
        <v>0</v>
      </c>
      <c r="R20" s="691">
        <f>SUM(C20:Q20)</f>
        <v>42805.167968335263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1.1115918442056778</v>
      </c>
      <c r="D22" s="806">
        <f t="shared" ref="D22:R22" si="1">SUM(D18:D21)</f>
        <v>0</v>
      </c>
      <c r="E22" s="806">
        <f t="shared" si="1"/>
        <v>3.0459014120614047</v>
      </c>
      <c r="F22" s="806">
        <f t="shared" si="1"/>
        <v>176.87988618017704</v>
      </c>
      <c r="G22" s="806">
        <f t="shared" si="1"/>
        <v>0</v>
      </c>
      <c r="H22" s="806">
        <f t="shared" si="1"/>
        <v>34952.533554455236</v>
      </c>
      <c r="I22" s="806">
        <f t="shared" si="1"/>
        <v>6772.2678450097164</v>
      </c>
      <c r="J22" s="806">
        <f t="shared" si="1"/>
        <v>0</v>
      </c>
      <c r="K22" s="806">
        <f t="shared" si="1"/>
        <v>0</v>
      </c>
      <c r="L22" s="806">
        <f t="shared" si="1"/>
        <v>0</v>
      </c>
      <c r="M22" s="806">
        <f t="shared" si="1"/>
        <v>0</v>
      </c>
      <c r="N22" s="806">
        <f t="shared" si="1"/>
        <v>1865.6565970443662</v>
      </c>
      <c r="O22" s="806">
        <f t="shared" si="1"/>
        <v>0</v>
      </c>
      <c r="P22" s="806">
        <f t="shared" si="1"/>
        <v>0</v>
      </c>
      <c r="Q22" s="806">
        <f t="shared" si="1"/>
        <v>0</v>
      </c>
      <c r="R22" s="806">
        <f t="shared" si="1"/>
        <v>43771.495375945757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6351.268</v>
      </c>
      <c r="D24" s="688">
        <f>+landbouw!C8</f>
        <v>238433.57142857145</v>
      </c>
      <c r="E24" s="688">
        <f>+landbouw!D8</f>
        <v>0</v>
      </c>
      <c r="F24" s="688">
        <f>+landbouw!E8</f>
        <v>59.83320004915322</v>
      </c>
      <c r="G24" s="688">
        <f>+landbouw!F8</f>
        <v>20726.295284735261</v>
      </c>
      <c r="H24" s="688">
        <f>+landbouw!G8</f>
        <v>0</v>
      </c>
      <c r="I24" s="688">
        <f>+landbouw!H8</f>
        <v>0</v>
      </c>
      <c r="J24" s="688">
        <f>+landbouw!I8</f>
        <v>0</v>
      </c>
      <c r="K24" s="688">
        <f>+landbouw!J8</f>
        <v>785.68274416161773</v>
      </c>
      <c r="L24" s="688">
        <f>+landbouw!K8</f>
        <v>0</v>
      </c>
      <c r="M24" s="688">
        <f>+landbouw!L8</f>
        <v>0</v>
      </c>
      <c r="N24" s="688">
        <f>+landbouw!M8</f>
        <v>0</v>
      </c>
      <c r="O24" s="688">
        <f>+landbouw!N8</f>
        <v>0</v>
      </c>
      <c r="P24" s="688">
        <f>+landbouw!O8</f>
        <v>0</v>
      </c>
      <c r="Q24" s="689">
        <f>+landbouw!P8</f>
        <v>0</v>
      </c>
      <c r="R24" s="691">
        <f>SUM(C24:Q24)</f>
        <v>266356.65065751749</v>
      </c>
      <c r="S24" s="68"/>
    </row>
    <row r="25" spans="1:19" s="457" customFormat="1" ht="15" thickBot="1">
      <c r="A25" s="825" t="s">
        <v>912</v>
      </c>
      <c r="B25" s="1001"/>
      <c r="C25" s="1002">
        <f>IF(Onbekend_ele_kWh="---",0,Onbekend_ele_kWh)/1000+IF(REST_rest_ele_kWh="---",0,REST_rest_ele_kWh)/1000</f>
        <v>153.16300000000001</v>
      </c>
      <c r="D25" s="1002"/>
      <c r="E25" s="1002">
        <f>IF(onbekend_gas_kWh="---",0,onbekend_gas_kWh)/1000+IF(REST_rest_gas_kWh="---",0,REST_rest_gas_kWh)/1000</f>
        <v>430.35511481986401</v>
      </c>
      <c r="F25" s="1002"/>
      <c r="G25" s="1002"/>
      <c r="H25" s="1002"/>
      <c r="I25" s="1002"/>
      <c r="J25" s="1002"/>
      <c r="K25" s="1002"/>
      <c r="L25" s="1002"/>
      <c r="M25" s="1002"/>
      <c r="N25" s="1002"/>
      <c r="O25" s="1002"/>
      <c r="P25" s="1002"/>
      <c r="Q25" s="1003"/>
      <c r="R25" s="691">
        <f>SUM(C25:Q25)</f>
        <v>583.51811481986397</v>
      </c>
      <c r="S25" s="68"/>
    </row>
    <row r="26" spans="1:19" s="457" customFormat="1" ht="15.75" thickBot="1">
      <c r="A26" s="694" t="s">
        <v>913</v>
      </c>
      <c r="B26" s="811"/>
      <c r="C26" s="806">
        <f>SUM(C24:C25)</f>
        <v>6504.4310000000005</v>
      </c>
      <c r="D26" s="806">
        <f t="shared" ref="D26:R26" si="2">SUM(D24:D25)</f>
        <v>238433.57142857145</v>
      </c>
      <c r="E26" s="806">
        <f t="shared" si="2"/>
        <v>430.35511481986401</v>
      </c>
      <c r="F26" s="806">
        <f t="shared" si="2"/>
        <v>59.83320004915322</v>
      </c>
      <c r="G26" s="806">
        <f t="shared" si="2"/>
        <v>20726.295284735261</v>
      </c>
      <c r="H26" s="806">
        <f t="shared" si="2"/>
        <v>0</v>
      </c>
      <c r="I26" s="806">
        <f t="shared" si="2"/>
        <v>0</v>
      </c>
      <c r="J26" s="806">
        <f t="shared" si="2"/>
        <v>0</v>
      </c>
      <c r="K26" s="806">
        <f t="shared" si="2"/>
        <v>785.68274416161773</v>
      </c>
      <c r="L26" s="806">
        <f t="shared" si="2"/>
        <v>0</v>
      </c>
      <c r="M26" s="806">
        <f t="shared" si="2"/>
        <v>0</v>
      </c>
      <c r="N26" s="806">
        <f t="shared" si="2"/>
        <v>0</v>
      </c>
      <c r="O26" s="806">
        <f t="shared" si="2"/>
        <v>0</v>
      </c>
      <c r="P26" s="806">
        <f t="shared" si="2"/>
        <v>0</v>
      </c>
      <c r="Q26" s="806">
        <f t="shared" si="2"/>
        <v>0</v>
      </c>
      <c r="R26" s="806">
        <f t="shared" si="2"/>
        <v>266940.16877233738</v>
      </c>
      <c r="S26" s="68"/>
    </row>
    <row r="27" spans="1:19" s="457" customFormat="1" ht="17.25" thickTop="1" thickBot="1">
      <c r="A27" s="695" t="s">
        <v>116</v>
      </c>
      <c r="B27" s="798"/>
      <c r="C27" s="696">
        <f ca="1">C22+C16+C26</f>
        <v>33895.45391414396</v>
      </c>
      <c r="D27" s="696">
        <f t="shared" ref="D27:R27" ca="1" si="3">D22+D16+D26</f>
        <v>238433.57142857145</v>
      </c>
      <c r="E27" s="696">
        <f t="shared" ca="1" si="3"/>
        <v>65461.228588198064</v>
      </c>
      <c r="F27" s="696">
        <f t="shared" si="3"/>
        <v>4701.0898458060365</v>
      </c>
      <c r="G27" s="696">
        <f t="shared" ca="1" si="3"/>
        <v>26219.98496782134</v>
      </c>
      <c r="H27" s="696">
        <f t="shared" si="3"/>
        <v>34952.533554455236</v>
      </c>
      <c r="I27" s="696">
        <f t="shared" si="3"/>
        <v>6772.2678450097164</v>
      </c>
      <c r="J27" s="696">
        <f t="shared" si="3"/>
        <v>0</v>
      </c>
      <c r="K27" s="696">
        <f t="shared" si="3"/>
        <v>790.07856554258524</v>
      </c>
      <c r="L27" s="696">
        <f t="shared" si="3"/>
        <v>0</v>
      </c>
      <c r="M27" s="696">
        <f t="shared" ca="1" si="3"/>
        <v>0</v>
      </c>
      <c r="N27" s="696">
        <f t="shared" si="3"/>
        <v>1865.6565970443662</v>
      </c>
      <c r="O27" s="696">
        <f t="shared" ca="1" si="3"/>
        <v>18991.271515879656</v>
      </c>
      <c r="P27" s="696">
        <f t="shared" si="3"/>
        <v>37.520000000000003</v>
      </c>
      <c r="Q27" s="696">
        <f t="shared" si="3"/>
        <v>76.266666666666666</v>
      </c>
      <c r="R27" s="696">
        <f t="shared" ca="1" si="3"/>
        <v>432196.92348913907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13466.910069352287</v>
      </c>
      <c r="D40" s="688">
        <f ca="1">tertiair!C20</f>
        <v>0</v>
      </c>
      <c r="E40" s="688">
        <f ca="1">tertiair!D20</f>
        <v>4020.030034752815</v>
      </c>
      <c r="F40" s="688">
        <f>tertiair!E20</f>
        <v>18.747959572275899</v>
      </c>
      <c r="G40" s="688">
        <f ca="1">tertiair!F20</f>
        <v>492.99067371579901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17998.678737393177</v>
      </c>
    </row>
    <row r="41" spans="1:18">
      <c r="A41" s="816" t="s">
        <v>225</v>
      </c>
      <c r="B41" s="823"/>
      <c r="C41" s="688">
        <f ca="1">huishoudens!B12</f>
        <v>18142.323476772806</v>
      </c>
      <c r="D41" s="688">
        <f ca="1">huishoudens!C12</f>
        <v>0</v>
      </c>
      <c r="E41" s="688">
        <f>huishoudens!D12</f>
        <v>8791.5345420840913</v>
      </c>
      <c r="F41" s="688">
        <f>huishoudens!E12</f>
        <v>991.77192555745523</v>
      </c>
      <c r="G41" s="688">
        <f>huishoudens!F12</f>
        <v>770.02722428916627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28695.657168703518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2041.3591872224424</v>
      </c>
      <c r="D43" s="688">
        <f ca="1">industrie!C22</f>
        <v>0</v>
      </c>
      <c r="E43" s="688">
        <f>industrie!D22</f>
        <v>324.05659270025234</v>
      </c>
      <c r="F43" s="688">
        <f>industrie!E22</f>
        <v>2.893639294181289</v>
      </c>
      <c r="G43" s="688">
        <f>industrie!F22</f>
        <v>203.79724737901785</v>
      </c>
      <c r="H43" s="688">
        <f>industrie!G22</f>
        <v>0</v>
      </c>
      <c r="I43" s="688">
        <f>industrie!H22</f>
        <v>0</v>
      </c>
      <c r="J43" s="688">
        <f>industrie!I22</f>
        <v>0</v>
      </c>
      <c r="K43" s="688">
        <f>industrie!J22</f>
        <v>1.5561207688625041</v>
      </c>
      <c r="L43" s="688">
        <f>industrie!K22</f>
        <v>0</v>
      </c>
      <c r="M43" s="688">
        <f>industrie!L22</f>
        <v>0</v>
      </c>
      <c r="N43" s="688">
        <f>industrie!M22</f>
        <v>0</v>
      </c>
      <c r="O43" s="688">
        <f>industrie!N22</f>
        <v>0</v>
      </c>
      <c r="P43" s="688">
        <f>industrie!O22</f>
        <v>0</v>
      </c>
      <c r="Q43" s="763">
        <f>industrie!P22</f>
        <v>0</v>
      </c>
      <c r="R43" s="843">
        <f t="shared" ca="1" si="4"/>
        <v>2573.6627873647562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33650.592733347534</v>
      </c>
      <c r="D46" s="721">
        <f t="shared" ref="D46:Q46" ca="1" si="5">SUM(D39:D45)</f>
        <v>0</v>
      </c>
      <c r="E46" s="721">
        <f t="shared" ca="1" si="5"/>
        <v>13135.621169537158</v>
      </c>
      <c r="F46" s="721">
        <f t="shared" si="5"/>
        <v>1013.4135244239125</v>
      </c>
      <c r="G46" s="721">
        <f t="shared" ca="1" si="5"/>
        <v>1466.815145383983</v>
      </c>
      <c r="H46" s="721">
        <f t="shared" si="5"/>
        <v>0</v>
      </c>
      <c r="I46" s="721">
        <f t="shared" si="5"/>
        <v>0</v>
      </c>
      <c r="J46" s="721">
        <f t="shared" si="5"/>
        <v>0</v>
      </c>
      <c r="K46" s="721">
        <f t="shared" si="5"/>
        <v>1.5561207688625041</v>
      </c>
      <c r="L46" s="721">
        <f t="shared" si="5"/>
        <v>0</v>
      </c>
      <c r="M46" s="721">
        <f t="shared" ca="1" si="5"/>
        <v>0</v>
      </c>
      <c r="N46" s="721">
        <f t="shared" si="5"/>
        <v>0</v>
      </c>
      <c r="O46" s="721">
        <f t="shared" ca="1" si="5"/>
        <v>0</v>
      </c>
      <c r="P46" s="721">
        <f t="shared" si="5"/>
        <v>0</v>
      </c>
      <c r="Q46" s="721">
        <f t="shared" si="5"/>
        <v>0</v>
      </c>
      <c r="R46" s="721">
        <f ca="1">SUM(R39:R45)</f>
        <v>49267.99869346145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247.15637375066842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247.15637375066842</v>
      </c>
    </row>
    <row r="50" spans="1:18">
      <c r="A50" s="819" t="s">
        <v>307</v>
      </c>
      <c r="B50" s="829"/>
      <c r="C50" s="1008">
        <f ca="1">transport!B18</f>
        <v>1.3656752661561831</v>
      </c>
      <c r="D50" s="1008">
        <f>transport!C18</f>
        <v>0</v>
      </c>
      <c r="E50" s="1008">
        <f>transport!D18</f>
        <v>0.61527208523640375</v>
      </c>
      <c r="F50" s="1008">
        <f>transport!E18</f>
        <v>40.15173416290019</v>
      </c>
      <c r="G50" s="1008">
        <f>transport!F18</f>
        <v>0</v>
      </c>
      <c r="H50" s="1008">
        <f>transport!G18</f>
        <v>9085.1700852888807</v>
      </c>
      <c r="I50" s="1008">
        <f>transport!H18</f>
        <v>1686.2946934074193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10813.597460210593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1.3656752661561831</v>
      </c>
      <c r="D52" s="721">
        <f t="shared" ref="D52:Q52" ca="1" si="6">SUM(D48:D51)</f>
        <v>0</v>
      </c>
      <c r="E52" s="721">
        <f t="shared" si="6"/>
        <v>0.61527208523640375</v>
      </c>
      <c r="F52" s="721">
        <f t="shared" si="6"/>
        <v>40.15173416290019</v>
      </c>
      <c r="G52" s="721">
        <f t="shared" si="6"/>
        <v>0</v>
      </c>
      <c r="H52" s="721">
        <f t="shared" si="6"/>
        <v>9332.3264590395484</v>
      </c>
      <c r="I52" s="721">
        <f t="shared" si="6"/>
        <v>1686.2946934074193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11060.75383396126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7803.0166032095685</v>
      </c>
      <c r="D54" s="1008">
        <f ca="1">+landbouw!C12</f>
        <v>53294.899159663888</v>
      </c>
      <c r="E54" s="1008">
        <f>+landbouw!D12</f>
        <v>0</v>
      </c>
      <c r="F54" s="1008">
        <f>+landbouw!E12</f>
        <v>13.582136411157782</v>
      </c>
      <c r="G54" s="1008">
        <f>+landbouw!F12</f>
        <v>5533.9208410243145</v>
      </c>
      <c r="H54" s="1008">
        <f>+landbouw!G12</f>
        <v>0</v>
      </c>
      <c r="I54" s="1008">
        <f>+landbouw!H12</f>
        <v>0</v>
      </c>
      <c r="J54" s="1008">
        <f>+landbouw!I12</f>
        <v>0</v>
      </c>
      <c r="K54" s="1008">
        <f>+landbouw!J12</f>
        <v>278.13169143321267</v>
      </c>
      <c r="L54" s="1008">
        <f>+landbouw!K12</f>
        <v>0</v>
      </c>
      <c r="M54" s="1008">
        <f>+landbouw!L12</f>
        <v>0</v>
      </c>
      <c r="N54" s="1008">
        <f>+landbouw!M12</f>
        <v>0</v>
      </c>
      <c r="O54" s="1008">
        <f>+landbouw!N12</f>
        <v>0</v>
      </c>
      <c r="P54" s="1008">
        <f>+landbouw!O12</f>
        <v>0</v>
      </c>
      <c r="Q54" s="1009">
        <f>+landbouw!P12</f>
        <v>0</v>
      </c>
      <c r="R54" s="720">
        <f ca="1">SUM(C54:Q54)</f>
        <v>66923.550431742129</v>
      </c>
    </row>
    <row r="55" spans="1:18" ht="15" thickBot="1">
      <c r="A55" s="819" t="s">
        <v>912</v>
      </c>
      <c r="B55" s="829"/>
      <c r="C55" s="1008">
        <f ca="1">C25*'EF ele_warmte'!B12</f>
        <v>188.17241407501419</v>
      </c>
      <c r="D55" s="1008"/>
      <c r="E55" s="1008">
        <f>E25*EF_CO2_aardgas</f>
        <v>86.93173319361253</v>
      </c>
      <c r="F55" s="1008"/>
      <c r="G55" s="1008"/>
      <c r="H55" s="1008"/>
      <c r="I55" s="1008"/>
      <c r="J55" s="1008"/>
      <c r="K55" s="1008"/>
      <c r="L55" s="1008"/>
      <c r="M55" s="1008"/>
      <c r="N55" s="1008"/>
      <c r="O55" s="1008"/>
      <c r="P55" s="1008"/>
      <c r="Q55" s="1009"/>
      <c r="R55" s="720">
        <f ca="1">SUM(C55:Q55)</f>
        <v>275.10414726862672</v>
      </c>
    </row>
    <row r="56" spans="1:18" ht="15.75" thickBot="1">
      <c r="A56" s="817" t="s">
        <v>913</v>
      </c>
      <c r="B56" s="830"/>
      <c r="C56" s="721">
        <f ca="1">SUM(C54:C55)</f>
        <v>7991.1890172845824</v>
      </c>
      <c r="D56" s="721">
        <f t="shared" ref="D56:Q56" ca="1" si="7">SUM(D54:D55)</f>
        <v>53294.899159663888</v>
      </c>
      <c r="E56" s="721">
        <f t="shared" si="7"/>
        <v>86.93173319361253</v>
      </c>
      <c r="F56" s="721">
        <f t="shared" si="7"/>
        <v>13.582136411157782</v>
      </c>
      <c r="G56" s="721">
        <f t="shared" si="7"/>
        <v>5533.9208410243145</v>
      </c>
      <c r="H56" s="721">
        <f t="shared" si="7"/>
        <v>0</v>
      </c>
      <c r="I56" s="721">
        <f t="shared" si="7"/>
        <v>0</v>
      </c>
      <c r="J56" s="721">
        <f t="shared" si="7"/>
        <v>0</v>
      </c>
      <c r="K56" s="721">
        <f t="shared" si="7"/>
        <v>278.13169143321267</v>
      </c>
      <c r="L56" s="721">
        <f t="shared" si="7"/>
        <v>0</v>
      </c>
      <c r="M56" s="721">
        <f t="shared" si="7"/>
        <v>0</v>
      </c>
      <c r="N56" s="721">
        <f t="shared" si="7"/>
        <v>0</v>
      </c>
      <c r="O56" s="721">
        <f t="shared" si="7"/>
        <v>0</v>
      </c>
      <c r="P56" s="721">
        <f t="shared" si="7"/>
        <v>0</v>
      </c>
      <c r="Q56" s="722">
        <f t="shared" si="7"/>
        <v>0</v>
      </c>
      <c r="R56" s="723">
        <f ca="1">SUM(R54:R55)</f>
        <v>67198.654579010763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41643.147425898271</v>
      </c>
      <c r="D61" s="729">
        <f t="shared" ref="D61:Q61" ca="1" si="8">D46+D52+D56</f>
        <v>53294.899159663888</v>
      </c>
      <c r="E61" s="729">
        <f t="shared" ca="1" si="8"/>
        <v>13223.168174816008</v>
      </c>
      <c r="F61" s="729">
        <f t="shared" si="8"/>
        <v>1067.1473949979704</v>
      </c>
      <c r="G61" s="729">
        <f t="shared" ca="1" si="8"/>
        <v>7000.7359864082973</v>
      </c>
      <c r="H61" s="729">
        <f t="shared" si="8"/>
        <v>9332.3264590395484</v>
      </c>
      <c r="I61" s="729">
        <f t="shared" si="8"/>
        <v>1686.2946934074193</v>
      </c>
      <c r="J61" s="729">
        <f t="shared" si="8"/>
        <v>0</v>
      </c>
      <c r="K61" s="729">
        <f t="shared" si="8"/>
        <v>279.68781220207518</v>
      </c>
      <c r="L61" s="729">
        <f t="shared" si="8"/>
        <v>0</v>
      </c>
      <c r="M61" s="729">
        <f t="shared" ca="1" si="8"/>
        <v>0</v>
      </c>
      <c r="N61" s="729">
        <f t="shared" si="8"/>
        <v>0</v>
      </c>
      <c r="O61" s="729">
        <f t="shared" ca="1" si="8"/>
        <v>0</v>
      </c>
      <c r="P61" s="729">
        <f t="shared" si="8"/>
        <v>0</v>
      </c>
      <c r="Q61" s="729">
        <f t="shared" si="8"/>
        <v>0</v>
      </c>
      <c r="R61" s="729">
        <f ca="1">R46+R52+R56</f>
        <v>127527.40710643347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1.2285761840327896</v>
      </c>
      <c r="D63" s="773">
        <f t="shared" ca="1" si="9"/>
        <v>0.22352095319609666</v>
      </c>
      <c r="E63" s="1010">
        <f t="shared" ca="1" si="9"/>
        <v>0.20199999999999999</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2704.295479150418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9921</v>
      </c>
      <c r="C76" s="739">
        <f>'lokale energieproductie'!B8*IFERROR(SUM(D76:H76)/SUM(D76:O76),0)</f>
        <v>156982.5</v>
      </c>
      <c r="D76" s="1020">
        <f>'lokale energieproductie'!C8</f>
        <v>184685.29411764705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11671.764705882351</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37306.429411764708</v>
      </c>
      <c r="R76" s="846">
        <v>0</v>
      </c>
    </row>
    <row r="77" spans="1:18" ht="30.75" thickBot="1">
      <c r="A77" s="742" t="s">
        <v>353</v>
      </c>
      <c r="B77" s="739">
        <f>'lokale energieproductie'!B9*IFERROR(SUM(I77:O77)/SUM(D77:O77),0)</f>
        <v>1647</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4705.7142857142862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14272.295479150418</v>
      </c>
      <c r="C78" s="744">
        <f>SUM(C72:C77)</f>
        <v>156982.5</v>
      </c>
      <c r="D78" s="745">
        <f t="shared" ref="D78:H78" si="10">SUM(D76:D77)</f>
        <v>184685.29411764705</v>
      </c>
      <c r="E78" s="745">
        <f t="shared" si="10"/>
        <v>0</v>
      </c>
      <c r="F78" s="745">
        <f t="shared" si="10"/>
        <v>0</v>
      </c>
      <c r="G78" s="745">
        <f t="shared" si="10"/>
        <v>0</v>
      </c>
      <c r="H78" s="745">
        <f t="shared" si="10"/>
        <v>0</v>
      </c>
      <c r="I78" s="745">
        <f>SUM(I76:I77)</f>
        <v>0</v>
      </c>
      <c r="J78" s="745">
        <f>SUM(J76:J77)</f>
        <v>16377.478991596638</v>
      </c>
      <c r="K78" s="745">
        <f t="shared" ref="K78:L78" si="11">SUM(K76:K77)</f>
        <v>0</v>
      </c>
      <c r="L78" s="745">
        <f t="shared" si="11"/>
        <v>0</v>
      </c>
      <c r="M78" s="745">
        <f>SUM(M76:M77)</f>
        <v>0</v>
      </c>
      <c r="N78" s="745">
        <f>SUM(N76:N77)</f>
        <v>0</v>
      </c>
      <c r="O78" s="854">
        <f>SUM(O76:O77)</f>
        <v>0</v>
      </c>
      <c r="P78" s="746">
        <v>0</v>
      </c>
      <c r="Q78" s="746">
        <f>SUM(Q76:Q77)</f>
        <v>37306.429411764708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14172.857142857141</v>
      </c>
      <c r="C87" s="755">
        <f>'lokale energieproductie'!B17*IFERROR(SUM(D87:H87)/SUM(D87:O87),0)</f>
        <v>224260.71428571432</v>
      </c>
      <c r="D87" s="766">
        <f>'lokale energieproductie'!C17</f>
        <v>263836.13445378159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16673.949579831933</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53294.899159663888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14172.857142857141</v>
      </c>
      <c r="C90" s="744">
        <f>SUM(C87:C89)</f>
        <v>224260.71428571432</v>
      </c>
      <c r="D90" s="744">
        <f t="shared" ref="D90:H90" si="12">SUM(D87:D89)</f>
        <v>263836.13445378159</v>
      </c>
      <c r="E90" s="744">
        <f t="shared" si="12"/>
        <v>0</v>
      </c>
      <c r="F90" s="744">
        <f t="shared" si="12"/>
        <v>0</v>
      </c>
      <c r="G90" s="744">
        <f t="shared" si="12"/>
        <v>0</v>
      </c>
      <c r="H90" s="744">
        <f t="shared" si="12"/>
        <v>0</v>
      </c>
      <c r="I90" s="744">
        <f>SUM(I87:I89)</f>
        <v>0</v>
      </c>
      <c r="J90" s="744">
        <f>SUM(J87:J89)</f>
        <v>16673.949579831933</v>
      </c>
      <c r="K90" s="744">
        <f t="shared" ref="K90:L90" si="13">SUM(K87:K89)</f>
        <v>0</v>
      </c>
      <c r="L90" s="744">
        <f t="shared" si="13"/>
        <v>0</v>
      </c>
      <c r="M90" s="744">
        <f>SUM(M87:M89)</f>
        <v>0</v>
      </c>
      <c r="N90" s="744">
        <f>SUM(N87:N89)</f>
        <v>0</v>
      </c>
      <c r="O90" s="744">
        <f>SUM(O87:O89)</f>
        <v>0</v>
      </c>
      <c r="P90" s="744">
        <v>0</v>
      </c>
      <c r="Q90" s="744">
        <f>SUM(Q87:Q89)</f>
        <v>53294.899159663888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2704.295479150418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166903.5</v>
      </c>
      <c r="C8" s="558">
        <f>B101</f>
        <v>184685.29411764705</v>
      </c>
      <c r="D8" s="991"/>
      <c r="E8" s="991">
        <f>E101</f>
        <v>0</v>
      </c>
      <c r="F8" s="992"/>
      <c r="G8" s="559"/>
      <c r="H8" s="991">
        <f>I101</f>
        <v>0</v>
      </c>
      <c r="I8" s="991">
        <f>G101+F101</f>
        <v>0</v>
      </c>
      <c r="J8" s="991">
        <f>H101+D101+C101</f>
        <v>11671.764705882351</v>
      </c>
      <c r="K8" s="991"/>
      <c r="L8" s="991"/>
      <c r="M8" s="991"/>
      <c r="N8" s="560"/>
      <c r="O8" s="561">
        <f>C8*$C$12+D8*$D$12+E8*$E$12+F8*$F$12+G8*$G$12+H8*$H$12+I8*$I$12+J8*$J$12</f>
        <v>37306.429411764708</v>
      </c>
      <c r="P8" s="1236"/>
      <c r="Q8" s="1237"/>
      <c r="S8" s="1028"/>
      <c r="T8" s="1257"/>
      <c r="U8" s="1257"/>
    </row>
    <row r="9" spans="1:21" s="546" customFormat="1" ht="17.45" customHeight="1" thickBot="1">
      <c r="A9" s="562" t="s">
        <v>248</v>
      </c>
      <c r="B9" s="993">
        <f>N89+'Eigen informatie GS &amp; warmtenet'!B12</f>
        <v>1647</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171254.79547915043</v>
      </c>
      <c r="C10" s="570">
        <f t="shared" ref="C10:L10" si="0">SUM(C8:C9)</f>
        <v>184685.29411764705</v>
      </c>
      <c r="D10" s="570">
        <f t="shared" si="0"/>
        <v>0</v>
      </c>
      <c r="E10" s="570">
        <f t="shared" si="0"/>
        <v>0</v>
      </c>
      <c r="F10" s="570">
        <f t="shared" si="0"/>
        <v>0</v>
      </c>
      <c r="G10" s="570">
        <f t="shared" si="0"/>
        <v>0</v>
      </c>
      <c r="H10" s="570">
        <f t="shared" si="0"/>
        <v>0</v>
      </c>
      <c r="I10" s="570">
        <f t="shared" si="0"/>
        <v>0</v>
      </c>
      <c r="J10" s="570">
        <f t="shared" si="0"/>
        <v>16377.478991596638</v>
      </c>
      <c r="K10" s="570">
        <f t="shared" si="0"/>
        <v>0</v>
      </c>
      <c r="L10" s="570">
        <f t="shared" si="0"/>
        <v>0</v>
      </c>
      <c r="M10" s="995"/>
      <c r="N10" s="995"/>
      <c r="O10" s="571">
        <f>SUM(O4:O9)</f>
        <v>37306.429411764708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238433.57142857145</v>
      </c>
      <c r="C17" s="582">
        <f>B102</f>
        <v>263836.13445378159</v>
      </c>
      <c r="D17" s="583"/>
      <c r="E17" s="583">
        <f>E102</f>
        <v>0</v>
      </c>
      <c r="F17" s="584"/>
      <c r="G17" s="585"/>
      <c r="H17" s="582">
        <f>I102</f>
        <v>0</v>
      </c>
      <c r="I17" s="583">
        <f>G102+F102</f>
        <v>0</v>
      </c>
      <c r="J17" s="583">
        <f>H102+D102+C102</f>
        <v>16673.949579831933</v>
      </c>
      <c r="K17" s="583"/>
      <c r="L17" s="583"/>
      <c r="M17" s="583"/>
      <c r="N17" s="998"/>
      <c r="O17" s="586">
        <f>C17*$C$22+E17*$E$22+H17*$H$22+I17*$I$22+J17*$J$22+D17*$D$22+F17*$F$22+G17*$G$22+K17*$K$22+L17*$L$22</f>
        <v>53294.899159663888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238433.57142857145</v>
      </c>
      <c r="C20" s="569">
        <f>SUM(C17:C19)</f>
        <v>263836.13445378159</v>
      </c>
      <c r="D20" s="569">
        <f t="shared" ref="D20:L20" si="1">SUM(D17:D19)</f>
        <v>0</v>
      </c>
      <c r="E20" s="569">
        <f t="shared" si="1"/>
        <v>0</v>
      </c>
      <c r="F20" s="569">
        <f t="shared" si="1"/>
        <v>0</v>
      </c>
      <c r="G20" s="569">
        <f t="shared" si="1"/>
        <v>0</v>
      </c>
      <c r="H20" s="569">
        <f t="shared" si="1"/>
        <v>0</v>
      </c>
      <c r="I20" s="569">
        <f t="shared" si="1"/>
        <v>0</v>
      </c>
      <c r="J20" s="569">
        <f t="shared" si="1"/>
        <v>16673.949579831933</v>
      </c>
      <c r="K20" s="569">
        <f t="shared" si="1"/>
        <v>0</v>
      </c>
      <c r="L20" s="569">
        <f t="shared" si="1"/>
        <v>0</v>
      </c>
      <c r="M20" s="569"/>
      <c r="N20" s="569"/>
      <c r="O20" s="590">
        <f>SUM(O17:O19)</f>
        <v>53294.899159663888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13023</v>
      </c>
      <c r="C28" s="789">
        <v>2330</v>
      </c>
      <c r="D28" s="642" t="s">
        <v>946</v>
      </c>
      <c r="E28" s="641" t="s">
        <v>947</v>
      </c>
      <c r="F28" s="641" t="s">
        <v>948</v>
      </c>
      <c r="G28" s="641" t="s">
        <v>949</v>
      </c>
      <c r="H28" s="641" t="s">
        <v>950</v>
      </c>
      <c r="I28" s="641" t="s">
        <v>947</v>
      </c>
      <c r="J28" s="788">
        <v>38838</v>
      </c>
      <c r="K28" s="788">
        <v>38808</v>
      </c>
      <c r="L28" s="641" t="s">
        <v>951</v>
      </c>
      <c r="M28" s="641">
        <v>7083</v>
      </c>
      <c r="N28" s="641">
        <v>31873.5</v>
      </c>
      <c r="O28" s="641">
        <v>45533.571428571428</v>
      </c>
      <c r="P28" s="641">
        <v>91067.14285714287</v>
      </c>
      <c r="Q28" s="641">
        <v>0</v>
      </c>
      <c r="R28" s="641">
        <v>0</v>
      </c>
      <c r="S28" s="641">
        <v>0</v>
      </c>
      <c r="T28" s="641">
        <v>0</v>
      </c>
      <c r="U28" s="641">
        <v>0</v>
      </c>
      <c r="V28" s="641">
        <v>0</v>
      </c>
      <c r="W28" s="641"/>
      <c r="X28" s="641">
        <v>10</v>
      </c>
      <c r="Y28" s="641" t="s">
        <v>112</v>
      </c>
      <c r="Z28" s="643" t="s">
        <v>112</v>
      </c>
    </row>
    <row r="29" spans="1:26" s="595" customFormat="1" ht="38.25">
      <c r="A29" s="594"/>
      <c r="B29" s="789">
        <v>13023</v>
      </c>
      <c r="C29" s="789">
        <v>2330</v>
      </c>
      <c r="D29" s="642" t="s">
        <v>952</v>
      </c>
      <c r="E29" s="641" t="s">
        <v>953</v>
      </c>
      <c r="F29" s="641" t="s">
        <v>954</v>
      </c>
      <c r="G29" s="641" t="s">
        <v>949</v>
      </c>
      <c r="H29" s="641" t="s">
        <v>950</v>
      </c>
      <c r="I29" s="641" t="s">
        <v>953</v>
      </c>
      <c r="J29" s="788">
        <v>38852</v>
      </c>
      <c r="K29" s="788">
        <v>38473</v>
      </c>
      <c r="L29" s="641" t="s">
        <v>951</v>
      </c>
      <c r="M29" s="641">
        <v>2758</v>
      </c>
      <c r="N29" s="641">
        <v>12411</v>
      </c>
      <c r="O29" s="641">
        <v>17730</v>
      </c>
      <c r="P29" s="641">
        <v>35460</v>
      </c>
      <c r="Q29" s="641">
        <v>0</v>
      </c>
      <c r="R29" s="641">
        <v>0</v>
      </c>
      <c r="S29" s="641">
        <v>0</v>
      </c>
      <c r="T29" s="641">
        <v>0</v>
      </c>
      <c r="U29" s="641">
        <v>0</v>
      </c>
      <c r="V29" s="641">
        <v>0</v>
      </c>
      <c r="W29" s="641"/>
      <c r="X29" s="641">
        <v>10</v>
      </c>
      <c r="Y29" s="641" t="s">
        <v>112</v>
      </c>
      <c r="Z29" s="643" t="s">
        <v>112</v>
      </c>
    </row>
    <row r="30" spans="1:26" s="595" customFormat="1" ht="25.5">
      <c r="A30" s="594"/>
      <c r="B30" s="789">
        <v>13023</v>
      </c>
      <c r="C30" s="789">
        <v>2330</v>
      </c>
      <c r="D30" s="642" t="s">
        <v>955</v>
      </c>
      <c r="E30" s="641" t="s">
        <v>956</v>
      </c>
      <c r="F30" s="641" t="s">
        <v>957</v>
      </c>
      <c r="G30" s="641" t="s">
        <v>949</v>
      </c>
      <c r="H30" s="641" t="s">
        <v>950</v>
      </c>
      <c r="I30" s="641" t="s">
        <v>958</v>
      </c>
      <c r="J30" s="788">
        <v>39027</v>
      </c>
      <c r="K30" s="788">
        <v>39071</v>
      </c>
      <c r="L30" s="641" t="s">
        <v>951</v>
      </c>
      <c r="M30" s="641">
        <v>2000</v>
      </c>
      <c r="N30" s="641">
        <v>9000</v>
      </c>
      <c r="O30" s="641">
        <v>12857.142857142857</v>
      </c>
      <c r="P30" s="641">
        <v>25714.285714285717</v>
      </c>
      <c r="Q30" s="641">
        <v>0</v>
      </c>
      <c r="R30" s="641">
        <v>0</v>
      </c>
      <c r="S30" s="641">
        <v>0</v>
      </c>
      <c r="T30" s="641">
        <v>0</v>
      </c>
      <c r="U30" s="641">
        <v>0</v>
      </c>
      <c r="V30" s="641">
        <v>0</v>
      </c>
      <c r="W30" s="641"/>
      <c r="X30" s="641">
        <v>10</v>
      </c>
      <c r="Y30" s="641" t="s">
        <v>112</v>
      </c>
      <c r="Z30" s="643" t="s">
        <v>112</v>
      </c>
    </row>
    <row r="31" spans="1:26" s="595" customFormat="1" ht="38.25">
      <c r="A31" s="594"/>
      <c r="B31" s="789">
        <v>13023</v>
      </c>
      <c r="C31" s="789">
        <v>2330</v>
      </c>
      <c r="D31" s="642" t="s">
        <v>959</v>
      </c>
      <c r="E31" s="641" t="s">
        <v>960</v>
      </c>
      <c r="F31" s="641" t="s">
        <v>961</v>
      </c>
      <c r="G31" s="641" t="s">
        <v>949</v>
      </c>
      <c r="H31" s="641" t="s">
        <v>950</v>
      </c>
      <c r="I31" s="641" t="s">
        <v>960</v>
      </c>
      <c r="J31" s="788">
        <v>39233</v>
      </c>
      <c r="K31" s="788">
        <v>39233</v>
      </c>
      <c r="L31" s="641" t="s">
        <v>951</v>
      </c>
      <c r="M31" s="641">
        <v>3256</v>
      </c>
      <c r="N31" s="641">
        <v>14651.999999999998</v>
      </c>
      <c r="O31" s="641">
        <v>20931.428571428569</v>
      </c>
      <c r="P31" s="641">
        <v>41862.857142857138</v>
      </c>
      <c r="Q31" s="641">
        <v>0</v>
      </c>
      <c r="R31" s="641">
        <v>0</v>
      </c>
      <c r="S31" s="641">
        <v>0</v>
      </c>
      <c r="T31" s="641">
        <v>0</v>
      </c>
      <c r="U31" s="641">
        <v>0</v>
      </c>
      <c r="V31" s="641">
        <v>0</v>
      </c>
      <c r="W31" s="641"/>
      <c r="X31" s="641">
        <v>10</v>
      </c>
      <c r="Y31" s="641" t="s">
        <v>112</v>
      </c>
      <c r="Z31" s="643" t="s">
        <v>112</v>
      </c>
    </row>
    <row r="32" spans="1:26" s="595" customFormat="1" ht="25.5">
      <c r="A32" s="594"/>
      <c r="B32" s="789">
        <v>13023</v>
      </c>
      <c r="C32" s="789">
        <v>2330</v>
      </c>
      <c r="D32" s="642" t="s">
        <v>962</v>
      </c>
      <c r="E32" s="641" t="s">
        <v>963</v>
      </c>
      <c r="F32" s="641" t="s">
        <v>964</v>
      </c>
      <c r="G32" s="641" t="s">
        <v>949</v>
      </c>
      <c r="H32" s="641" t="s">
        <v>950</v>
      </c>
      <c r="I32" s="641" t="s">
        <v>963</v>
      </c>
      <c r="J32" s="788">
        <v>40009</v>
      </c>
      <c r="K32" s="788">
        <v>39504</v>
      </c>
      <c r="L32" s="641" t="s">
        <v>951</v>
      </c>
      <c r="M32" s="641">
        <v>3183</v>
      </c>
      <c r="N32" s="641">
        <v>14323.5</v>
      </c>
      <c r="O32" s="641">
        <v>20462.142857142859</v>
      </c>
      <c r="P32" s="641">
        <v>40924.285714285717</v>
      </c>
      <c r="Q32" s="641">
        <v>0</v>
      </c>
      <c r="R32" s="641">
        <v>0</v>
      </c>
      <c r="S32" s="641">
        <v>0</v>
      </c>
      <c r="T32" s="641">
        <v>0</v>
      </c>
      <c r="U32" s="641">
        <v>0</v>
      </c>
      <c r="V32" s="641">
        <v>0</v>
      </c>
      <c r="W32" s="641"/>
      <c r="X32" s="641">
        <v>10</v>
      </c>
      <c r="Y32" s="641" t="s">
        <v>112</v>
      </c>
      <c r="Z32" s="643" t="s">
        <v>112</v>
      </c>
    </row>
    <row r="33" spans="1:26" s="595" customFormat="1" ht="25.5">
      <c r="A33" s="594"/>
      <c r="B33" s="789">
        <v>13023</v>
      </c>
      <c r="C33" s="789">
        <v>2330</v>
      </c>
      <c r="D33" s="642" t="s">
        <v>965</v>
      </c>
      <c r="E33" s="641" t="s">
        <v>966</v>
      </c>
      <c r="F33" s="641" t="s">
        <v>967</v>
      </c>
      <c r="G33" s="641" t="s">
        <v>949</v>
      </c>
      <c r="H33" s="641" t="s">
        <v>950</v>
      </c>
      <c r="I33" s="641" t="s">
        <v>966</v>
      </c>
      <c r="J33" s="788">
        <v>40267</v>
      </c>
      <c r="K33" s="788">
        <v>40267</v>
      </c>
      <c r="L33" s="641" t="s">
        <v>951</v>
      </c>
      <c r="M33" s="641">
        <v>8020</v>
      </c>
      <c r="N33" s="641">
        <v>36090</v>
      </c>
      <c r="O33" s="641">
        <v>51557.142857142855</v>
      </c>
      <c r="P33" s="641">
        <v>103114.28571428572</v>
      </c>
      <c r="Q33" s="641">
        <v>0</v>
      </c>
      <c r="R33" s="641">
        <v>0</v>
      </c>
      <c r="S33" s="641">
        <v>0</v>
      </c>
      <c r="T33" s="641">
        <v>0</v>
      </c>
      <c r="U33" s="641">
        <v>0</v>
      </c>
      <c r="V33" s="641">
        <v>0</v>
      </c>
      <c r="W33" s="641"/>
      <c r="X33" s="641">
        <v>10</v>
      </c>
      <c r="Y33" s="641" t="s">
        <v>112</v>
      </c>
      <c r="Z33" s="643" t="s">
        <v>112</v>
      </c>
    </row>
    <row r="34" spans="1:26" s="595" customFormat="1" ht="25.5">
      <c r="A34" s="594"/>
      <c r="B34" s="789">
        <v>13023</v>
      </c>
      <c r="C34" s="789">
        <v>2330</v>
      </c>
      <c r="D34" s="642" t="s">
        <v>968</v>
      </c>
      <c r="E34" s="641" t="s">
        <v>969</v>
      </c>
      <c r="F34" s="641" t="s">
        <v>970</v>
      </c>
      <c r="G34" s="641" t="s">
        <v>949</v>
      </c>
      <c r="H34" s="641" t="s">
        <v>950</v>
      </c>
      <c r="I34" s="641" t="s">
        <v>969</v>
      </c>
      <c r="J34" s="788">
        <v>40364</v>
      </c>
      <c r="K34" s="788">
        <v>40364</v>
      </c>
      <c r="L34" s="641" t="s">
        <v>951</v>
      </c>
      <c r="M34" s="641">
        <v>8585</v>
      </c>
      <c r="N34" s="641">
        <v>38632.500000000007</v>
      </c>
      <c r="O34" s="641">
        <v>55189.285714285725</v>
      </c>
      <c r="P34" s="641">
        <v>110378.57142857145</v>
      </c>
      <c r="Q34" s="641">
        <v>0</v>
      </c>
      <c r="R34" s="641">
        <v>0</v>
      </c>
      <c r="S34" s="641">
        <v>0</v>
      </c>
      <c r="T34" s="641">
        <v>0</v>
      </c>
      <c r="U34" s="641">
        <v>0</v>
      </c>
      <c r="V34" s="641">
        <v>0</v>
      </c>
      <c r="W34" s="641"/>
      <c r="X34" s="641">
        <v>10</v>
      </c>
      <c r="Y34" s="641" t="s">
        <v>112</v>
      </c>
      <c r="Z34" s="643" t="s">
        <v>112</v>
      </c>
    </row>
    <row r="35" spans="1:26" s="595" customFormat="1" ht="25.5">
      <c r="A35" s="594"/>
      <c r="B35" s="789">
        <v>13023</v>
      </c>
      <c r="C35" s="789">
        <v>2330</v>
      </c>
      <c r="D35" s="642" t="s">
        <v>971</v>
      </c>
      <c r="E35" s="641" t="s">
        <v>972</v>
      </c>
      <c r="F35" s="641" t="s">
        <v>973</v>
      </c>
      <c r="G35" s="641" t="s">
        <v>949</v>
      </c>
      <c r="H35" s="641" t="s">
        <v>950</v>
      </c>
      <c r="I35" s="641" t="s">
        <v>974</v>
      </c>
      <c r="J35" s="788">
        <v>40987</v>
      </c>
      <c r="K35" s="788">
        <v>40987</v>
      </c>
      <c r="L35" s="641" t="s">
        <v>951</v>
      </c>
      <c r="M35" s="641">
        <v>6614</v>
      </c>
      <c r="N35" s="641">
        <v>9921</v>
      </c>
      <c r="O35" s="641">
        <v>14172.857142857143</v>
      </c>
      <c r="P35" s="641">
        <v>0</v>
      </c>
      <c r="Q35" s="641">
        <v>28345.714285714286</v>
      </c>
      <c r="R35" s="641">
        <v>0</v>
      </c>
      <c r="S35" s="641">
        <v>0</v>
      </c>
      <c r="T35" s="641">
        <v>0</v>
      </c>
      <c r="U35" s="641">
        <v>0</v>
      </c>
      <c r="V35" s="641">
        <v>0</v>
      </c>
      <c r="W35" s="641"/>
      <c r="X35" s="641">
        <v>10</v>
      </c>
      <c r="Y35" s="641" t="s">
        <v>112</v>
      </c>
      <c r="Z35" s="643" t="s">
        <v>112</v>
      </c>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41499</v>
      </c>
      <c r="N58" s="599">
        <f>SUM(N28:N57)</f>
        <v>166903.5</v>
      </c>
      <c r="O58" s="599">
        <f t="shared" ref="O58:W58" si="2">SUM(O28:O57)</f>
        <v>238433.57142857145</v>
      </c>
      <c r="P58" s="599">
        <f t="shared" si="2"/>
        <v>448521.42857142864</v>
      </c>
      <c r="Q58" s="599">
        <f t="shared" si="2"/>
        <v>28345.714285714286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41499</v>
      </c>
      <c r="N61" s="604">
        <f t="shared" si="4"/>
        <v>166903.5</v>
      </c>
      <c r="O61" s="604">
        <f t="shared" si="4"/>
        <v>238433.57142857145</v>
      </c>
      <c r="P61" s="604">
        <f t="shared" si="4"/>
        <v>448521.42857142864</v>
      </c>
      <c r="Q61" s="604">
        <f t="shared" si="4"/>
        <v>28345.714285714286</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13023</v>
      </c>
      <c r="C64" s="789">
        <v>2330</v>
      </c>
      <c r="D64" s="644" t="s">
        <v>975</v>
      </c>
      <c r="E64" s="644" t="s">
        <v>976</v>
      </c>
      <c r="F64" s="644" t="s">
        <v>977</v>
      </c>
      <c r="G64" s="644" t="s">
        <v>978</v>
      </c>
      <c r="H64" s="644" t="s">
        <v>979</v>
      </c>
      <c r="I64" s="644" t="s">
        <v>980</v>
      </c>
      <c r="J64" s="788">
        <v>37656</v>
      </c>
      <c r="K64" s="788">
        <v>37653</v>
      </c>
      <c r="L64" s="644" t="s">
        <v>951</v>
      </c>
      <c r="M64" s="644">
        <v>366</v>
      </c>
      <c r="N64" s="644">
        <v>1647</v>
      </c>
      <c r="O64" s="644">
        <v>0</v>
      </c>
      <c r="P64" s="644">
        <v>0</v>
      </c>
      <c r="Q64" s="644">
        <v>0</v>
      </c>
      <c r="R64" s="644">
        <v>4705.7142857142862</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366</v>
      </c>
      <c r="N89" s="599">
        <f t="shared" ref="N89:W89" si="5">SUM(N64:N88)</f>
        <v>1647</v>
      </c>
      <c r="O89" s="599">
        <f t="shared" si="5"/>
        <v>0</v>
      </c>
      <c r="P89" s="599">
        <f t="shared" si="5"/>
        <v>0</v>
      </c>
      <c r="Q89" s="599">
        <f t="shared" si="5"/>
        <v>0</v>
      </c>
      <c r="R89" s="599">
        <f t="shared" si="5"/>
        <v>4705.7142857142862</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366</v>
      </c>
      <c r="N91" s="599">
        <f t="shared" si="7"/>
        <v>1647</v>
      </c>
      <c r="O91" s="599">
        <f t="shared" si="7"/>
        <v>0</v>
      </c>
      <c r="P91" s="599">
        <f t="shared" si="7"/>
        <v>0</v>
      </c>
      <c r="Q91" s="599">
        <f t="shared" si="7"/>
        <v>0</v>
      </c>
      <c r="R91" s="599">
        <f t="shared" si="7"/>
        <v>4705.7142857142862</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0.41176470588235287</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184685.29411764705</v>
      </c>
      <c r="C101" s="633">
        <f t="shared" si="9"/>
        <v>11671.764705882351</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263836.13445378159</v>
      </c>
      <c r="C102" s="636">
        <f t="shared" si="10"/>
        <v>16673.949579831933</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14766.950322299754</v>
      </c>
      <c r="C4" s="461">
        <f>huishoudens!C8</f>
        <v>0</v>
      </c>
      <c r="D4" s="461">
        <f>huishoudens!D8</f>
        <v>43522.448228139066</v>
      </c>
      <c r="E4" s="461">
        <f>huishoudens!E8</f>
        <v>4369.0393196363666</v>
      </c>
      <c r="F4" s="461">
        <f>huishoudens!F8</f>
        <v>2883.9970947159782</v>
      </c>
      <c r="G4" s="461">
        <f>huishoudens!G8</f>
        <v>0</v>
      </c>
      <c r="H4" s="461">
        <f>huishoudens!H8</f>
        <v>0</v>
      </c>
      <c r="I4" s="461">
        <f>huishoudens!I8</f>
        <v>0</v>
      </c>
      <c r="J4" s="461">
        <f>huishoudens!J8</f>
        <v>0</v>
      </c>
      <c r="K4" s="461">
        <f>huishoudens!K8</f>
        <v>0</v>
      </c>
      <c r="L4" s="461">
        <f>huishoudens!L8</f>
        <v>0</v>
      </c>
      <c r="M4" s="461">
        <f>huishoudens!M8</f>
        <v>0</v>
      </c>
      <c r="N4" s="461">
        <f>huishoudens!N8</f>
        <v>18918.187449043271</v>
      </c>
      <c r="O4" s="461">
        <f>huishoudens!O8</f>
        <v>37.520000000000003</v>
      </c>
      <c r="P4" s="462">
        <f>huishoudens!P8</f>
        <v>76.266666666666666</v>
      </c>
      <c r="Q4" s="463">
        <f>SUM(B4:P4)</f>
        <v>84574.409080501093</v>
      </c>
    </row>
    <row r="5" spans="1:17">
      <c r="A5" s="460" t="s">
        <v>156</v>
      </c>
      <c r="B5" s="461">
        <f ca="1">tertiair!B16</f>
        <v>10576.199000000001</v>
      </c>
      <c r="C5" s="461">
        <f ca="1">tertiair!C16</f>
        <v>0</v>
      </c>
      <c r="D5" s="461">
        <f ca="1">tertiair!D16</f>
        <v>19901.138785905023</v>
      </c>
      <c r="E5" s="461">
        <f>tertiair!E16</f>
        <v>82.590130274343167</v>
      </c>
      <c r="F5" s="461">
        <f ca="1">tertiair!F16</f>
        <v>1846.4070176621685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32406.334933841536</v>
      </c>
    </row>
    <row r="6" spans="1:17">
      <c r="A6" s="460" t="s">
        <v>194</v>
      </c>
      <c r="B6" s="461">
        <f>'openbare verlichting'!B8</f>
        <v>385.197</v>
      </c>
      <c r="C6" s="461"/>
      <c r="D6" s="461"/>
      <c r="E6" s="461"/>
      <c r="F6" s="461"/>
      <c r="G6" s="461"/>
      <c r="H6" s="461"/>
      <c r="I6" s="461"/>
      <c r="J6" s="461"/>
      <c r="K6" s="461"/>
      <c r="L6" s="461"/>
      <c r="M6" s="461"/>
      <c r="N6" s="461"/>
      <c r="O6" s="461"/>
      <c r="P6" s="462"/>
      <c r="Q6" s="460">
        <f t="shared" si="0"/>
        <v>385.197</v>
      </c>
    </row>
    <row r="7" spans="1:17">
      <c r="A7" s="460" t="s">
        <v>112</v>
      </c>
      <c r="B7" s="461">
        <f>landbouw!B8</f>
        <v>6351.268</v>
      </c>
      <c r="C7" s="461">
        <f>landbouw!C8</f>
        <v>238433.57142857145</v>
      </c>
      <c r="D7" s="461">
        <f>landbouw!D8</f>
        <v>0</v>
      </c>
      <c r="E7" s="461">
        <f>landbouw!E8</f>
        <v>59.83320004915322</v>
      </c>
      <c r="F7" s="461">
        <f>landbouw!F8</f>
        <v>20726.295284735261</v>
      </c>
      <c r="G7" s="461">
        <f>landbouw!G8</f>
        <v>0</v>
      </c>
      <c r="H7" s="461">
        <f>landbouw!H8</f>
        <v>0</v>
      </c>
      <c r="I7" s="461">
        <f>landbouw!I8</f>
        <v>0</v>
      </c>
      <c r="J7" s="461">
        <f>landbouw!J8</f>
        <v>785.68274416161773</v>
      </c>
      <c r="K7" s="461">
        <f>landbouw!K8</f>
        <v>0</v>
      </c>
      <c r="L7" s="461">
        <f>landbouw!L8</f>
        <v>0</v>
      </c>
      <c r="M7" s="461">
        <f>landbouw!M8</f>
        <v>0</v>
      </c>
      <c r="N7" s="461">
        <f>landbouw!N8</f>
        <v>0</v>
      </c>
      <c r="O7" s="461">
        <f>landbouw!O8</f>
        <v>0</v>
      </c>
      <c r="P7" s="462">
        <f>landbouw!P8</f>
        <v>0</v>
      </c>
      <c r="Q7" s="460">
        <f t="shared" si="0"/>
        <v>266356.65065751749</v>
      </c>
    </row>
    <row r="8" spans="1:17">
      <c r="A8" s="460" t="s">
        <v>685</v>
      </c>
      <c r="B8" s="461">
        <f>industrie!B18</f>
        <v>1661.5650000000001</v>
      </c>
      <c r="C8" s="461">
        <f>industrie!C18</f>
        <v>0</v>
      </c>
      <c r="D8" s="461">
        <f>industrie!D18</f>
        <v>1604.2405579220413</v>
      </c>
      <c r="E8" s="461">
        <f>industrie!E18</f>
        <v>12.747309665996868</v>
      </c>
      <c r="F8" s="461">
        <f>industrie!F18</f>
        <v>763.28557070793192</v>
      </c>
      <c r="G8" s="461">
        <f>industrie!G18</f>
        <v>0</v>
      </c>
      <c r="H8" s="461">
        <f>industrie!H18</f>
        <v>0</v>
      </c>
      <c r="I8" s="461">
        <f>industrie!I18</f>
        <v>0</v>
      </c>
      <c r="J8" s="461">
        <f>industrie!J18</f>
        <v>4.3958213809675257</v>
      </c>
      <c r="K8" s="461">
        <f>industrie!K18</f>
        <v>0</v>
      </c>
      <c r="L8" s="461">
        <f>industrie!L18</f>
        <v>0</v>
      </c>
      <c r="M8" s="461">
        <f>industrie!M18</f>
        <v>0</v>
      </c>
      <c r="N8" s="461">
        <f>industrie!N18</f>
        <v>73.084066836386683</v>
      </c>
      <c r="O8" s="461">
        <f>industrie!O18</f>
        <v>0</v>
      </c>
      <c r="P8" s="462">
        <f>industrie!P18</f>
        <v>0</v>
      </c>
      <c r="Q8" s="460">
        <f t="shared" si="0"/>
        <v>4119.3183265133248</v>
      </c>
    </row>
    <row r="9" spans="1:17" s="466" customFormat="1">
      <c r="A9" s="464" t="s">
        <v>579</v>
      </c>
      <c r="B9" s="465">
        <f>transport!B14</f>
        <v>1.1115918442056778</v>
      </c>
      <c r="C9" s="465">
        <f>transport!C14</f>
        <v>0</v>
      </c>
      <c r="D9" s="465">
        <f>transport!D14</f>
        <v>3.0459014120614047</v>
      </c>
      <c r="E9" s="465">
        <f>transport!E14</f>
        <v>176.87988618017704</v>
      </c>
      <c r="F9" s="465">
        <f>transport!F14</f>
        <v>0</v>
      </c>
      <c r="G9" s="465">
        <f>transport!G14</f>
        <v>34026.854252018275</v>
      </c>
      <c r="H9" s="465">
        <f>transport!H14</f>
        <v>6772.2678450097164</v>
      </c>
      <c r="I9" s="465">
        <f>transport!I14</f>
        <v>0</v>
      </c>
      <c r="J9" s="465">
        <f>transport!J14</f>
        <v>0</v>
      </c>
      <c r="K9" s="465">
        <f>transport!K14</f>
        <v>0</v>
      </c>
      <c r="L9" s="465">
        <f>transport!L14</f>
        <v>0</v>
      </c>
      <c r="M9" s="465">
        <f>transport!M14</f>
        <v>1825.0084918708342</v>
      </c>
      <c r="N9" s="465">
        <f>transport!N14</f>
        <v>0</v>
      </c>
      <c r="O9" s="465">
        <f>transport!O14</f>
        <v>0</v>
      </c>
      <c r="P9" s="465">
        <f>transport!P14</f>
        <v>0</v>
      </c>
      <c r="Q9" s="464">
        <f>SUM(B9:P9)</f>
        <v>42805.167968335263</v>
      </c>
    </row>
    <row r="10" spans="1:17">
      <c r="A10" s="460" t="s">
        <v>569</v>
      </c>
      <c r="B10" s="461">
        <f>transport!B54</f>
        <v>0</v>
      </c>
      <c r="C10" s="461">
        <f>transport!C54</f>
        <v>0</v>
      </c>
      <c r="D10" s="461">
        <f>transport!D54</f>
        <v>0</v>
      </c>
      <c r="E10" s="461">
        <f>transport!E54</f>
        <v>0</v>
      </c>
      <c r="F10" s="461">
        <f>transport!F54</f>
        <v>0</v>
      </c>
      <c r="G10" s="461">
        <f>transport!G54</f>
        <v>925.67930243696037</v>
      </c>
      <c r="H10" s="461">
        <f>transport!H54</f>
        <v>0</v>
      </c>
      <c r="I10" s="461">
        <f>transport!I54</f>
        <v>0</v>
      </c>
      <c r="J10" s="461">
        <f>transport!J54</f>
        <v>0</v>
      </c>
      <c r="K10" s="461">
        <f>transport!K54</f>
        <v>0</v>
      </c>
      <c r="L10" s="461">
        <f>transport!L54</f>
        <v>0</v>
      </c>
      <c r="M10" s="461">
        <f>transport!M54</f>
        <v>40.648105173532031</v>
      </c>
      <c r="N10" s="461">
        <f>transport!N54</f>
        <v>0</v>
      </c>
      <c r="O10" s="461">
        <f>transport!O54</f>
        <v>0</v>
      </c>
      <c r="P10" s="462">
        <f>transport!P54</f>
        <v>0</v>
      </c>
      <c r="Q10" s="460">
        <f t="shared" si="0"/>
        <v>966.3274076104924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153.16300000000001</v>
      </c>
      <c r="C14" s="468"/>
      <c r="D14" s="468">
        <f>'SEAP template'!E25</f>
        <v>430.35511481986401</v>
      </c>
      <c r="E14" s="468"/>
      <c r="F14" s="468"/>
      <c r="G14" s="468"/>
      <c r="H14" s="468"/>
      <c r="I14" s="468"/>
      <c r="J14" s="468"/>
      <c r="K14" s="468"/>
      <c r="L14" s="468"/>
      <c r="M14" s="468"/>
      <c r="N14" s="468"/>
      <c r="O14" s="468"/>
      <c r="P14" s="469"/>
      <c r="Q14" s="460">
        <f t="shared" si="0"/>
        <v>583.51811481986397</v>
      </c>
    </row>
    <row r="15" spans="1:17" s="473" customFormat="1">
      <c r="A15" s="470" t="s">
        <v>573</v>
      </c>
      <c r="B15" s="471">
        <f ca="1">SUM(B4:B14)</f>
        <v>33895.45391414396</v>
      </c>
      <c r="C15" s="471">
        <f t="shared" ref="C15:Q15" ca="1" si="1">SUM(C4:C14)</f>
        <v>238433.57142857145</v>
      </c>
      <c r="D15" s="471">
        <f t="shared" ca="1" si="1"/>
        <v>65461.228588198064</v>
      </c>
      <c r="E15" s="471">
        <f t="shared" si="1"/>
        <v>4701.0898458060374</v>
      </c>
      <c r="F15" s="471">
        <f t="shared" ca="1" si="1"/>
        <v>26219.98496782134</v>
      </c>
      <c r="G15" s="471">
        <f t="shared" si="1"/>
        <v>34952.533554455236</v>
      </c>
      <c r="H15" s="471">
        <f t="shared" si="1"/>
        <v>6772.2678450097164</v>
      </c>
      <c r="I15" s="471">
        <f t="shared" si="1"/>
        <v>0</v>
      </c>
      <c r="J15" s="471">
        <f t="shared" si="1"/>
        <v>790.07856554258524</v>
      </c>
      <c r="K15" s="471">
        <f t="shared" si="1"/>
        <v>0</v>
      </c>
      <c r="L15" s="471">
        <f t="shared" ca="1" si="1"/>
        <v>0</v>
      </c>
      <c r="M15" s="471">
        <f t="shared" si="1"/>
        <v>1865.6565970443662</v>
      </c>
      <c r="N15" s="471">
        <f t="shared" ca="1" si="1"/>
        <v>18991.271515879656</v>
      </c>
      <c r="O15" s="471">
        <f t="shared" si="1"/>
        <v>37.520000000000003</v>
      </c>
      <c r="P15" s="471">
        <f t="shared" si="1"/>
        <v>76.266666666666666</v>
      </c>
      <c r="Q15" s="471">
        <f t="shared" ca="1" si="1"/>
        <v>432196.92348913912</v>
      </c>
    </row>
    <row r="17" spans="1:17">
      <c r="A17" s="474" t="s">
        <v>574</v>
      </c>
      <c r="B17" s="778">
        <f ca="1">huishoudens!B10</f>
        <v>1.2285761840327898</v>
      </c>
      <c r="C17" s="778">
        <f ca="1">huishoudens!C10</f>
        <v>0.22352095319609666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18142.323476772806</v>
      </c>
      <c r="C22" s="461">
        <f t="shared" ref="C22:C32" ca="1" si="3">C4*$C$17</f>
        <v>0</v>
      </c>
      <c r="D22" s="461">
        <f t="shared" ref="D22:D32" si="4">D4*$D$17</f>
        <v>8791.5345420840913</v>
      </c>
      <c r="E22" s="461">
        <f t="shared" ref="E22:E32" si="5">E4*$E$17</f>
        <v>991.77192555745523</v>
      </c>
      <c r="F22" s="461">
        <f t="shared" ref="F22:F32" si="6">F4*$F$17</f>
        <v>770.02722428916627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28695.657168703518</v>
      </c>
    </row>
    <row r="23" spans="1:17">
      <c r="A23" s="460" t="s">
        <v>156</v>
      </c>
      <c r="B23" s="461">
        <f t="shared" ca="1" si="2"/>
        <v>12993.666208991408</v>
      </c>
      <c r="C23" s="461">
        <f t="shared" ca="1" si="3"/>
        <v>0</v>
      </c>
      <c r="D23" s="461">
        <f t="shared" ca="1" si="4"/>
        <v>4020.030034752815</v>
      </c>
      <c r="E23" s="461">
        <f t="shared" si="5"/>
        <v>18.747959572275899</v>
      </c>
      <c r="F23" s="461">
        <f t="shared" ca="1" si="6"/>
        <v>492.99067371579901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17525.434877032298</v>
      </c>
    </row>
    <row r="24" spans="1:17">
      <c r="A24" s="460" t="s">
        <v>194</v>
      </c>
      <c r="B24" s="461">
        <f t="shared" ca="1" si="2"/>
        <v>473.24386036087856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473.24386036087856</v>
      </c>
    </row>
    <row r="25" spans="1:17">
      <c r="A25" s="460" t="s">
        <v>112</v>
      </c>
      <c r="B25" s="461">
        <f t="shared" ca="1" si="2"/>
        <v>7803.0166032095685</v>
      </c>
      <c r="C25" s="461">
        <f t="shared" ca="1" si="3"/>
        <v>53294.899159663888</v>
      </c>
      <c r="D25" s="461">
        <f t="shared" si="4"/>
        <v>0</v>
      </c>
      <c r="E25" s="461">
        <f t="shared" si="5"/>
        <v>13.582136411157782</v>
      </c>
      <c r="F25" s="461">
        <f t="shared" si="6"/>
        <v>5533.9208410243145</v>
      </c>
      <c r="G25" s="461">
        <f t="shared" si="7"/>
        <v>0</v>
      </c>
      <c r="H25" s="461">
        <f t="shared" si="8"/>
        <v>0</v>
      </c>
      <c r="I25" s="461">
        <f t="shared" si="9"/>
        <v>0</v>
      </c>
      <c r="J25" s="461">
        <f t="shared" si="10"/>
        <v>278.13169143321267</v>
      </c>
      <c r="K25" s="461">
        <f t="shared" si="11"/>
        <v>0</v>
      </c>
      <c r="L25" s="461">
        <f t="shared" si="12"/>
        <v>0</v>
      </c>
      <c r="M25" s="461">
        <f t="shared" si="13"/>
        <v>0</v>
      </c>
      <c r="N25" s="461">
        <f t="shared" si="14"/>
        <v>0</v>
      </c>
      <c r="O25" s="461">
        <f t="shared" si="15"/>
        <v>0</v>
      </c>
      <c r="P25" s="462">
        <f t="shared" si="16"/>
        <v>0</v>
      </c>
      <c r="Q25" s="460">
        <f t="shared" ca="1" si="17"/>
        <v>66923.550431742129</v>
      </c>
    </row>
    <row r="26" spans="1:17">
      <c r="A26" s="460" t="s">
        <v>685</v>
      </c>
      <c r="B26" s="461">
        <f t="shared" ca="1" si="2"/>
        <v>2041.3591872224424</v>
      </c>
      <c r="C26" s="461">
        <f t="shared" ca="1" si="3"/>
        <v>0</v>
      </c>
      <c r="D26" s="461">
        <f t="shared" si="4"/>
        <v>324.05659270025234</v>
      </c>
      <c r="E26" s="461">
        <f t="shared" si="5"/>
        <v>2.893639294181289</v>
      </c>
      <c r="F26" s="461">
        <f t="shared" si="6"/>
        <v>203.79724737901785</v>
      </c>
      <c r="G26" s="461">
        <f t="shared" si="7"/>
        <v>0</v>
      </c>
      <c r="H26" s="461">
        <f t="shared" si="8"/>
        <v>0</v>
      </c>
      <c r="I26" s="461">
        <f t="shared" si="9"/>
        <v>0</v>
      </c>
      <c r="J26" s="461">
        <f t="shared" si="10"/>
        <v>1.5561207688625041</v>
      </c>
      <c r="K26" s="461">
        <f t="shared" si="11"/>
        <v>0</v>
      </c>
      <c r="L26" s="461">
        <f t="shared" si="12"/>
        <v>0</v>
      </c>
      <c r="M26" s="461">
        <f t="shared" si="13"/>
        <v>0</v>
      </c>
      <c r="N26" s="461">
        <f t="shared" si="14"/>
        <v>0</v>
      </c>
      <c r="O26" s="461">
        <f t="shared" si="15"/>
        <v>0</v>
      </c>
      <c r="P26" s="462">
        <f t="shared" si="16"/>
        <v>0</v>
      </c>
      <c r="Q26" s="460">
        <f t="shared" ca="1" si="17"/>
        <v>2573.6627873647562</v>
      </c>
    </row>
    <row r="27" spans="1:17" s="466" customFormat="1">
      <c r="A27" s="464" t="s">
        <v>579</v>
      </c>
      <c r="B27" s="772">
        <f t="shared" ca="1" si="2"/>
        <v>1.3656752661561831</v>
      </c>
      <c r="C27" s="465">
        <f t="shared" ca="1" si="3"/>
        <v>0</v>
      </c>
      <c r="D27" s="465">
        <f t="shared" si="4"/>
        <v>0.61527208523640375</v>
      </c>
      <c r="E27" s="465">
        <f t="shared" si="5"/>
        <v>40.15173416290019</v>
      </c>
      <c r="F27" s="465">
        <f t="shared" si="6"/>
        <v>0</v>
      </c>
      <c r="G27" s="465">
        <f t="shared" si="7"/>
        <v>9085.1700852888807</v>
      </c>
      <c r="H27" s="465">
        <f t="shared" si="8"/>
        <v>1686.2946934074193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10813.597460210593</v>
      </c>
    </row>
    <row r="28" spans="1:17">
      <c r="A28" s="460" t="s">
        <v>569</v>
      </c>
      <c r="B28" s="461">
        <f t="shared" ca="1" si="2"/>
        <v>0</v>
      </c>
      <c r="C28" s="461">
        <f t="shared" ca="1" si="3"/>
        <v>0</v>
      </c>
      <c r="D28" s="461">
        <f t="shared" si="4"/>
        <v>0</v>
      </c>
      <c r="E28" s="461">
        <f t="shared" si="5"/>
        <v>0</v>
      </c>
      <c r="F28" s="461">
        <f t="shared" si="6"/>
        <v>0</v>
      </c>
      <c r="G28" s="461">
        <f t="shared" si="7"/>
        <v>247.15637375066842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247.15637375066842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188.17241407501419</v>
      </c>
      <c r="C32" s="461">
        <f t="shared" ca="1" si="3"/>
        <v>0</v>
      </c>
      <c r="D32" s="461">
        <f t="shared" si="4"/>
        <v>86.93173319361253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275.10414726862672</v>
      </c>
    </row>
    <row r="33" spans="1:17" s="473" customFormat="1">
      <c r="A33" s="470" t="s">
        <v>573</v>
      </c>
      <c r="B33" s="471">
        <f ca="1">SUM(B22:B32)</f>
        <v>41643.147425898278</v>
      </c>
      <c r="C33" s="471">
        <f t="shared" ref="C33:Q33" ca="1" si="18">SUM(C22:C32)</f>
        <v>53294.899159663888</v>
      </c>
      <c r="D33" s="471">
        <f t="shared" ca="1" si="18"/>
        <v>13223.168174816008</v>
      </c>
      <c r="E33" s="471">
        <f t="shared" si="18"/>
        <v>1067.1473949979702</v>
      </c>
      <c r="F33" s="471">
        <f t="shared" ca="1" si="18"/>
        <v>7000.7359864082973</v>
      </c>
      <c r="G33" s="471">
        <f t="shared" si="18"/>
        <v>9332.3264590395484</v>
      </c>
      <c r="H33" s="471">
        <f t="shared" si="18"/>
        <v>1686.2946934074193</v>
      </c>
      <c r="I33" s="471">
        <f t="shared" si="18"/>
        <v>0</v>
      </c>
      <c r="J33" s="471">
        <f t="shared" si="18"/>
        <v>279.68781220207518</v>
      </c>
      <c r="K33" s="471">
        <f t="shared" si="18"/>
        <v>0</v>
      </c>
      <c r="L33" s="471">
        <f t="shared" ca="1" si="18"/>
        <v>0</v>
      </c>
      <c r="M33" s="471">
        <f t="shared" si="18"/>
        <v>0</v>
      </c>
      <c r="N33" s="471">
        <f t="shared" ca="1" si="18"/>
        <v>0</v>
      </c>
      <c r="O33" s="471">
        <f t="shared" si="18"/>
        <v>0</v>
      </c>
      <c r="P33" s="471">
        <f t="shared" si="18"/>
        <v>0</v>
      </c>
      <c r="Q33" s="471">
        <f t="shared" ca="1" si="18"/>
        <v>127527.40710643346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2704.295479150418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9921</v>
      </c>
      <c r="C8" s="1037">
        <f>'SEAP template'!C76</f>
        <v>156982.5</v>
      </c>
      <c r="D8" s="1037">
        <f>'SEAP template'!D76</f>
        <v>184685.29411764705</v>
      </c>
      <c r="E8" s="1037">
        <f>'SEAP template'!E76</f>
        <v>0</v>
      </c>
      <c r="F8" s="1037">
        <f>'SEAP template'!F76</f>
        <v>0</v>
      </c>
      <c r="G8" s="1037">
        <f>'SEAP template'!G76</f>
        <v>0</v>
      </c>
      <c r="H8" s="1037">
        <f>'SEAP template'!H76</f>
        <v>0</v>
      </c>
      <c r="I8" s="1037">
        <f>'SEAP template'!I76</f>
        <v>0</v>
      </c>
      <c r="J8" s="1037">
        <f>'SEAP template'!J76</f>
        <v>11671.764705882351</v>
      </c>
      <c r="K8" s="1037">
        <f>'SEAP template'!K76</f>
        <v>0</v>
      </c>
      <c r="L8" s="1037">
        <f>'SEAP template'!L76</f>
        <v>0</v>
      </c>
      <c r="M8" s="1037">
        <f>'SEAP template'!M76</f>
        <v>0</v>
      </c>
      <c r="N8" s="1037">
        <f>'SEAP template'!N76</f>
        <v>0</v>
      </c>
      <c r="O8" s="1037">
        <f>'SEAP template'!O76</f>
        <v>0</v>
      </c>
      <c r="P8" s="1038">
        <f>'SEAP template'!Q76</f>
        <v>37306.429411764708</v>
      </c>
    </row>
    <row r="9" spans="1:16">
      <c r="A9" s="1040" t="s">
        <v>925</v>
      </c>
      <c r="B9" s="1037">
        <f>'SEAP template'!B77</f>
        <v>1647</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4705.7142857142862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14272.295479150418</v>
      </c>
      <c r="C10" s="1041">
        <f>SUM(C4:C9)</f>
        <v>156982.5</v>
      </c>
      <c r="D10" s="1041">
        <f t="shared" ref="D10:H10" si="0">SUM(D8:D9)</f>
        <v>184685.29411764705</v>
      </c>
      <c r="E10" s="1041">
        <f t="shared" si="0"/>
        <v>0</v>
      </c>
      <c r="F10" s="1041">
        <f t="shared" si="0"/>
        <v>0</v>
      </c>
      <c r="G10" s="1041">
        <f t="shared" si="0"/>
        <v>0</v>
      </c>
      <c r="H10" s="1041">
        <f t="shared" si="0"/>
        <v>0</v>
      </c>
      <c r="I10" s="1041">
        <f>SUM(I8:I9)</f>
        <v>0</v>
      </c>
      <c r="J10" s="1041">
        <f>SUM(J8:J9)</f>
        <v>16377.478991596638</v>
      </c>
      <c r="K10" s="1041">
        <f t="shared" ref="K10:L10" si="1">SUM(K8:K9)</f>
        <v>0</v>
      </c>
      <c r="L10" s="1041">
        <f t="shared" si="1"/>
        <v>0</v>
      </c>
      <c r="M10" s="1041">
        <f>SUM(M8:M9)</f>
        <v>0</v>
      </c>
      <c r="N10" s="1041">
        <f>SUM(N8:N9)</f>
        <v>0</v>
      </c>
      <c r="O10" s="1041">
        <f>SUM(O8:O9)</f>
        <v>0</v>
      </c>
      <c r="P10" s="1041">
        <f>SUM(P8:P9)</f>
        <v>37306.429411764708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1.2285761840327898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14172.857142857141</v>
      </c>
      <c r="C17" s="1044">
        <f>'SEAP template'!C87</f>
        <v>224260.71428571432</v>
      </c>
      <c r="D17" s="1038">
        <f>'SEAP template'!D87</f>
        <v>263836.13445378159</v>
      </c>
      <c r="E17" s="1038">
        <f>'SEAP template'!E87</f>
        <v>0</v>
      </c>
      <c r="F17" s="1038">
        <f>'SEAP template'!F87</f>
        <v>0</v>
      </c>
      <c r="G17" s="1038">
        <f>'SEAP template'!G87</f>
        <v>0</v>
      </c>
      <c r="H17" s="1038">
        <f>'SEAP template'!H87</f>
        <v>0</v>
      </c>
      <c r="I17" s="1038">
        <f>'SEAP template'!I87</f>
        <v>0</v>
      </c>
      <c r="J17" s="1038">
        <f>'SEAP template'!J87</f>
        <v>16673.949579831933</v>
      </c>
      <c r="K17" s="1038">
        <f>'SEAP template'!K87</f>
        <v>0</v>
      </c>
      <c r="L17" s="1038">
        <f>'SEAP template'!L87</f>
        <v>0</v>
      </c>
      <c r="M17" s="1038">
        <f>'SEAP template'!M87</f>
        <v>0</v>
      </c>
      <c r="N17" s="1038">
        <f>'SEAP template'!N87</f>
        <v>0</v>
      </c>
      <c r="O17" s="1038">
        <f>'SEAP template'!O87</f>
        <v>0</v>
      </c>
      <c r="P17" s="1038">
        <f>'SEAP template'!Q87</f>
        <v>53294.899159663888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14172.857142857141</v>
      </c>
      <c r="C20" s="1041">
        <f>SUM(C17:C19)</f>
        <v>224260.71428571432</v>
      </c>
      <c r="D20" s="1041">
        <f t="shared" ref="D20:H20" si="2">SUM(D17:D19)</f>
        <v>263836.13445378159</v>
      </c>
      <c r="E20" s="1041">
        <f t="shared" si="2"/>
        <v>0</v>
      </c>
      <c r="F20" s="1041">
        <f t="shared" si="2"/>
        <v>0</v>
      </c>
      <c r="G20" s="1041">
        <f t="shared" si="2"/>
        <v>0</v>
      </c>
      <c r="H20" s="1041">
        <f t="shared" si="2"/>
        <v>0</v>
      </c>
      <c r="I20" s="1041">
        <f>SUM(I17:I19)</f>
        <v>0</v>
      </c>
      <c r="J20" s="1041">
        <f>SUM(J17:J19)</f>
        <v>16673.949579831933</v>
      </c>
      <c r="K20" s="1041">
        <f t="shared" ref="K20:L20" si="3">SUM(K17:K19)</f>
        <v>0</v>
      </c>
      <c r="L20" s="1041">
        <f t="shared" si="3"/>
        <v>0</v>
      </c>
      <c r="M20" s="1041">
        <f>SUM(M17:M19)</f>
        <v>0</v>
      </c>
      <c r="N20" s="1041">
        <f>SUM(N17:N19)</f>
        <v>0</v>
      </c>
      <c r="O20" s="1041">
        <f>SUM(O17:O19)</f>
        <v>0</v>
      </c>
      <c r="P20" s="1041">
        <f>SUM(P17:P19)</f>
        <v>53294.899159663888</v>
      </c>
    </row>
    <row r="22" spans="1:16">
      <c r="A22" s="474" t="s">
        <v>933</v>
      </c>
      <c r="B22" s="778" t="s">
        <v>927</v>
      </c>
      <c r="C22" s="778">
        <f ca="1">'EF ele_warmte'!B22</f>
        <v>0.22352095319609666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1.2285761840327898</v>
      </c>
      <c r="C17" s="510">
        <f ca="1">'EF ele_warmte'!B22</f>
        <v>0.22352095319609666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2019-06-29T16:11:32Z</dcterms:modified>
</cp:coreProperties>
</file>