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K9"/>
  <c r="I9"/>
  <c r="G9"/>
  <c r="F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D20"/>
  <c r="B17"/>
  <c r="B20" s="1"/>
  <c r="G12"/>
  <c r="F12"/>
  <c r="E12"/>
  <c r="D12"/>
  <c r="C12"/>
  <c r="L10"/>
  <c r="K10"/>
  <c r="G10"/>
  <c r="F10"/>
  <c r="D10"/>
  <c r="B6"/>
  <c r="B5"/>
  <c r="B4"/>
  <c r="B8" l="1"/>
  <c r="B98"/>
  <c r="G102" s="1"/>
  <c r="B10"/>
  <c r="O18"/>
  <c r="O19"/>
  <c r="I101"/>
  <c r="H8" s="1"/>
  <c r="H10" s="1"/>
  <c r="E101"/>
  <c r="E8" s="1"/>
  <c r="E10" s="1"/>
  <c r="G101"/>
  <c r="C101"/>
  <c r="H101"/>
  <c r="D101"/>
  <c r="F101"/>
  <c r="B101"/>
  <c r="C8" s="1"/>
  <c r="N6" i="17"/>
  <c r="L6"/>
  <c r="F6"/>
  <c r="D6"/>
  <c r="C6"/>
  <c r="N16" i="16"/>
  <c r="L16"/>
  <c r="F16"/>
  <c r="D16"/>
  <c r="C16"/>
  <c r="B16"/>
  <c r="B13" i="15"/>
  <c r="C102" i="18" l="1"/>
  <c r="H102"/>
  <c r="D102"/>
  <c r="F102"/>
  <c r="I17" s="1"/>
  <c r="B102"/>
  <c r="C17" s="1"/>
  <c r="D87" i="14" s="1"/>
  <c r="I102" i="18"/>
  <c r="H17" s="1"/>
  <c r="H20" s="1"/>
  <c r="E102"/>
  <c r="E17" s="1"/>
  <c r="E20" s="1"/>
  <c r="C10"/>
  <c r="I8"/>
  <c r="I1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P29"/>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H20" s="1"/>
  <c r="G87" i="14"/>
  <c r="G17" i="56" s="1"/>
  <c r="F87" i="14"/>
  <c r="F17" i="56" s="1"/>
  <c r="F20" s="1"/>
  <c r="E87" i="14"/>
  <c r="E17" i="56" s="1"/>
  <c r="E20" s="1"/>
  <c r="O77" i="14"/>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P26" s="1"/>
  <c r="N24"/>
  <c r="L24"/>
  <c r="J24"/>
  <c r="I24"/>
  <c r="I26" s="1"/>
  <c r="H24"/>
  <c r="Q50"/>
  <c r="P50"/>
  <c r="O50"/>
  <c r="M50"/>
  <c r="L50"/>
  <c r="K50"/>
  <c r="J50"/>
  <c r="G50"/>
  <c r="D50"/>
  <c r="Q49"/>
  <c r="Q52" s="1"/>
  <c r="P49"/>
  <c r="P52" s="1"/>
  <c r="Q20"/>
  <c r="P20"/>
  <c r="O20"/>
  <c r="M20"/>
  <c r="L20"/>
  <c r="K20"/>
  <c r="J20"/>
  <c r="G20"/>
  <c r="D20"/>
  <c r="Q19"/>
  <c r="P19"/>
  <c r="O19"/>
  <c r="M19"/>
  <c r="M22" s="1"/>
  <c r="L19"/>
  <c r="K19"/>
  <c r="K22" s="1"/>
  <c r="J19"/>
  <c r="I19"/>
  <c r="G19"/>
  <c r="F19"/>
  <c r="E19"/>
  <c r="D19"/>
  <c r="Q48"/>
  <c r="P48"/>
  <c r="O48"/>
  <c r="M48"/>
  <c r="L48"/>
  <c r="K48"/>
  <c r="J48"/>
  <c r="G48"/>
  <c r="D48"/>
  <c r="Q18"/>
  <c r="P18"/>
  <c r="P22" s="1"/>
  <c r="O18"/>
  <c r="M18"/>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Q56"/>
  <c r="I56"/>
  <c r="R44"/>
  <c r="Q26"/>
  <c r="N26"/>
  <c r="J26"/>
  <c r="E25"/>
  <c r="C25"/>
  <c r="B14" i="48" s="1"/>
  <c r="Q14" s="1"/>
  <c r="L26" i="14"/>
  <c r="H26"/>
  <c r="Q22"/>
  <c r="O22"/>
  <c r="G22"/>
  <c r="R12"/>
  <c r="F13" i="15"/>
  <c r="D13"/>
  <c r="C13"/>
  <c r="Q87" i="14" l="1"/>
  <c r="P17" i="56" s="1"/>
  <c r="P20" s="1"/>
  <c r="D17"/>
  <c r="I20" i="18"/>
  <c r="I87" i="14"/>
  <c r="I17" i="56" s="1"/>
  <c r="I20" s="1"/>
  <c r="N78" i="14"/>
  <c r="N8" i="56"/>
  <c r="N10" s="1"/>
  <c r="E8"/>
  <c r="E10" s="1"/>
  <c r="M78" i="14"/>
  <c r="M8" i="56"/>
  <c r="M10" s="1"/>
  <c r="F90" i="14"/>
  <c r="M20" i="56"/>
  <c r="Q89" i="14"/>
  <c r="P19" i="56" s="1"/>
  <c r="I76" i="14"/>
  <c r="I8" i="56" s="1"/>
  <c r="I10" s="1"/>
  <c r="C20" i="18"/>
  <c r="C77" i="14"/>
  <c r="C9" i="56" s="1"/>
  <c r="D9"/>
  <c r="D10" s="1"/>
  <c r="Q88" i="14"/>
  <c r="P18" i="56" s="1"/>
  <c r="D18"/>
  <c r="K90" i="14"/>
  <c r="K18" i="56"/>
  <c r="Q76" i="14"/>
  <c r="P8" i="56" s="1"/>
  <c r="Q11" i="48"/>
  <c r="F78" i="14"/>
  <c r="C88"/>
  <c r="C18" i="56" s="1"/>
  <c r="G20"/>
  <c r="H78" i="14"/>
  <c r="H9" i="56"/>
  <c r="H10" s="1"/>
  <c r="K78" i="14"/>
  <c r="K8" i="56"/>
  <c r="K10" s="1"/>
  <c r="O78" i="14"/>
  <c r="O9" i="56"/>
  <c r="O10" s="1"/>
  <c r="L90" i="14"/>
  <c r="L17" i="56"/>
  <c r="L20" s="1"/>
  <c r="G90" i="14"/>
  <c r="G18" i="56"/>
  <c r="O90" i="14"/>
  <c r="O18" i="56"/>
  <c r="O20" s="1"/>
  <c r="K20"/>
  <c r="L78" i="14"/>
  <c r="J76"/>
  <c r="N20" i="56"/>
  <c r="D78" i="14"/>
  <c r="Q77"/>
  <c r="O17" i="18"/>
  <c r="O20" s="1"/>
  <c r="J87" i="14"/>
  <c r="C87" s="1"/>
  <c r="C17" i="56" s="1"/>
  <c r="C20" s="1"/>
  <c r="B88" i="14"/>
  <c r="B18" i="56" s="1"/>
  <c r="C89" i="14"/>
  <c r="C19" i="56" s="1"/>
  <c r="B89" i="14"/>
  <c r="B19" i="56" s="1"/>
  <c r="B77" i="14"/>
  <c r="B9" i="56" s="1"/>
  <c r="O8" i="18"/>
  <c r="O10" s="1"/>
  <c r="N13" i="15"/>
  <c r="L13"/>
  <c r="O24" i="48"/>
  <c r="O30"/>
  <c r="P24"/>
  <c r="P30"/>
  <c r="R9" i="14"/>
  <c r="E78"/>
  <c r="I78"/>
  <c r="E55"/>
  <c r="R25"/>
  <c r="E90"/>
  <c r="I90"/>
  <c r="M90"/>
  <c r="D90"/>
  <c r="Q78" l="1"/>
  <c r="B9" i="6" s="1"/>
  <c r="P9" i="56"/>
  <c r="P10" s="1"/>
  <c r="J8"/>
  <c r="J10" s="1"/>
  <c r="J78" i="14"/>
  <c r="D20" i="56"/>
  <c r="Q90" i="14"/>
  <c r="B17" i="6" s="1"/>
  <c r="C76" i="14"/>
  <c r="J90"/>
  <c r="J17" i="56"/>
  <c r="J20" s="1"/>
  <c r="B76" i="14"/>
  <c r="C90"/>
  <c r="B87"/>
  <c r="B8" i="56" l="1"/>
  <c r="B10" s="1"/>
  <c r="B78" i="14"/>
  <c r="B4" i="6" s="1"/>
  <c r="B90" i="14"/>
  <c r="B17" i="56"/>
  <c r="B20" s="1"/>
  <c r="C8"/>
  <c r="C10" s="1"/>
  <c r="C78" i="14"/>
  <c r="D5" i="17"/>
  <c r="H14" i="15" l="1"/>
  <c r="H16" s="1"/>
  <c r="G14"/>
  <c r="G16" s="1"/>
  <c r="H10" i="14" l="1"/>
  <c r="H16" s="1"/>
  <c r="G5" i="48"/>
  <c r="H5"/>
  <c r="I10" i="14"/>
  <c r="I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I5" i="48" l="1"/>
  <c r="J10" i="14"/>
  <c r="J16" s="1"/>
  <c r="J27" s="1"/>
  <c r="J27" i="48"/>
  <c r="J24"/>
  <c r="J32"/>
  <c r="J29"/>
  <c r="J30"/>
  <c r="J31"/>
  <c r="J28"/>
  <c r="C24" i="14"/>
  <c r="C26" s="1"/>
  <c r="B7" i="48"/>
  <c r="P11" i="14"/>
  <c r="O4" i="48"/>
  <c r="I25"/>
  <c r="I32"/>
  <c r="I22"/>
  <c r="I31"/>
  <c r="I26"/>
  <c r="I29"/>
  <c r="I30"/>
  <c r="I24"/>
  <c r="I27"/>
  <c r="I28"/>
  <c r="E11" i="14"/>
  <c r="D4" i="48"/>
  <c r="D22" s="1"/>
  <c r="C4"/>
  <c r="D11" i="14"/>
  <c r="G25" i="48"/>
  <c r="G26"/>
  <c r="G32"/>
  <c r="G30"/>
  <c r="G29"/>
  <c r="G22"/>
  <c r="G24"/>
  <c r="G23"/>
  <c r="P4"/>
  <c r="Q11" i="14"/>
  <c r="B4" i="48"/>
  <c r="C11" i="14"/>
  <c r="N30" i="48"/>
  <c r="N28"/>
  <c r="N31"/>
  <c r="N24"/>
  <c r="N27"/>
  <c r="N32"/>
  <c r="N29"/>
  <c r="B10"/>
  <c r="C19" i="14"/>
  <c r="E28" i="48"/>
  <c r="E32"/>
  <c r="E31"/>
  <c r="E24"/>
  <c r="E29"/>
  <c r="E30"/>
  <c r="M12" i="13"/>
  <c r="N41" i="14" s="1"/>
  <c r="M17" i="48"/>
  <c r="K28"/>
  <c r="K32"/>
  <c r="K27"/>
  <c r="K31"/>
  <c r="K25"/>
  <c r="K29"/>
  <c r="K26"/>
  <c r="K22"/>
  <c r="K24"/>
  <c r="K30"/>
  <c r="H32"/>
  <c r="H25"/>
  <c r="H29"/>
  <c r="H26"/>
  <c r="H30"/>
  <c r="H28"/>
  <c r="H22"/>
  <c r="H24"/>
  <c r="H23"/>
  <c r="F28"/>
  <c r="F27"/>
  <c r="F30"/>
  <c r="F24"/>
  <c r="F32"/>
  <c r="F31"/>
  <c r="F29"/>
  <c r="K5"/>
  <c r="L10" i="14"/>
  <c r="L16" s="1"/>
  <c r="L27" s="1"/>
  <c r="D30" i="48"/>
  <c r="D31"/>
  <c r="D29"/>
  <c r="D28"/>
  <c r="D24"/>
  <c r="D32"/>
  <c r="L32"/>
  <c r="L31"/>
  <c r="L29"/>
  <c r="L27"/>
  <c r="L30"/>
  <c r="L28"/>
  <c r="L24"/>
  <c r="L22"/>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M25"/>
  <c r="M32"/>
  <c r="M22"/>
  <c r="M29"/>
  <c r="M30"/>
  <c r="M26"/>
  <c r="M24"/>
  <c r="M23"/>
  <c r="I23"/>
  <c r="I15"/>
  <c r="G11" i="14"/>
  <c r="F4" i="48"/>
  <c r="F22" s="1"/>
  <c r="H13"/>
  <c r="H31" s="1"/>
  <c r="I18" i="14"/>
  <c r="Q13"/>
  <c r="P8" i="48"/>
  <c r="P26" s="1"/>
  <c r="G13"/>
  <c r="H18" i="14"/>
  <c r="N18"/>
  <c r="M13" i="48"/>
  <c r="M31" s="1"/>
  <c r="P22"/>
  <c r="O22"/>
  <c r="J63" i="14"/>
  <c r="I33" i="48"/>
  <c r="J12" i="17"/>
  <c r="K54" i="14" s="1"/>
  <c r="K56" s="1"/>
  <c r="J7" i="48"/>
  <c r="J25" s="1"/>
  <c r="K24" i="14"/>
  <c r="K26" s="1"/>
  <c r="K15" i="48"/>
  <c r="K23"/>
  <c r="K33" s="1"/>
  <c r="J46" i="14"/>
  <c r="J61" s="1"/>
  <c r="Q16"/>
  <c r="Q27" s="1"/>
  <c r="L6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H9" i="48"/>
  <c r="I20" i="14"/>
  <c r="I22" s="1"/>
  <c r="I27" s="1"/>
  <c r="G31" i="48"/>
  <c r="Q13"/>
  <c r="P13" i="14"/>
  <c r="O8" i="48"/>
  <c r="O26" s="1"/>
  <c r="O33" s="1"/>
  <c r="R18" i="14"/>
  <c r="P16"/>
  <c r="P27" s="1"/>
  <c r="E20"/>
  <c r="E22" s="1"/>
  <c r="D9" i="48"/>
  <c r="D27" s="1"/>
  <c r="G10"/>
  <c r="H19" i="14"/>
  <c r="R19" s="1"/>
  <c r="Q46"/>
  <c r="Q61" s="1"/>
  <c r="Q63" s="1"/>
  <c r="I52"/>
  <c r="I61" s="1"/>
  <c r="P15" i="48"/>
  <c r="P33"/>
  <c r="N19" i="14"/>
  <c r="M10" i="48"/>
  <c r="M28" s="1"/>
  <c r="C20" i="14"/>
  <c r="B9" i="48"/>
  <c r="J4"/>
  <c r="K11" i="14"/>
  <c r="E7" i="48"/>
  <c r="E25" s="1"/>
  <c r="F24" i="14"/>
  <c r="F26" s="1"/>
  <c r="D18" i="22"/>
  <c r="E50" i="14" s="1"/>
  <c r="E52" s="1"/>
  <c r="M14" i="22"/>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N22" l="1"/>
  <c r="N27" s="1"/>
  <c r="N63" s="1"/>
  <c r="G9" i="48"/>
  <c r="H20" i="14"/>
  <c r="R20" s="1"/>
  <c r="R22" s="1"/>
  <c r="E22" i="48"/>
  <c r="Q4"/>
  <c r="M9"/>
  <c r="N20" i="14"/>
  <c r="H27" i="48"/>
  <c r="H33" s="1"/>
  <c r="H15"/>
  <c r="I63" i="14"/>
  <c r="Q9" i="48"/>
  <c r="K10" i="14"/>
  <c r="J5" i="48"/>
  <c r="J23" s="1"/>
  <c r="G28"/>
  <c r="Q10"/>
  <c r="E46" i="14"/>
  <c r="E61" s="1"/>
  <c r="C22"/>
  <c r="J22" i="48"/>
  <c r="F10" i="14"/>
  <c r="E5" i="48"/>
  <c r="E23" s="1"/>
  <c r="G18" i="22"/>
  <c r="H50" i="14" s="1"/>
  <c r="H52" s="1"/>
  <c r="H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H63" l="1"/>
  <c r="F16"/>
  <c r="F27" s="1"/>
  <c r="F63" s="1"/>
  <c r="G27" i="48"/>
  <c r="G33" s="1"/>
  <c r="G15"/>
  <c r="H22" i="14"/>
  <c r="H27" s="1"/>
  <c r="F13"/>
  <c r="E8" i="48"/>
  <c r="E26" s="1"/>
  <c r="E63" i="14"/>
  <c r="K16"/>
  <c r="K27" s="1"/>
  <c r="E33" i="48"/>
  <c r="J8"/>
  <c r="K13" i="14"/>
  <c r="M27" i="48"/>
  <c r="M33" s="1"/>
  <c r="M15"/>
  <c r="E15"/>
  <c r="Q5"/>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<sst xmlns="http://schemas.openxmlformats.org/spreadsheetml/2006/main" count="2501" uniqueCount="958">
  <si>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</si>
  <si>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</si>
  <si>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</si>
  <si>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</si>
  <si>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</si>
  <si>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</si>
  <si>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</si>
  <si>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</si>
  <si>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</si>
  <si>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</si>
  <si>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</si>
  <si>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</si>
  <si>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</si>
  <si>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</si>
  <si>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</si>
  <si>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</si>
  <si>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</si>
  <si>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</si>
  <si>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</si>
  <si>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</si>
  <si>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</si>
  <si>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</si>
  <si>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</si>
  <si>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</si>
  <si>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</si>
  <si>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</si>
  <si>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</si>
  <si>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</si>
  <si>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</si>
  <si>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</si>
  <si>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</si>
  <si>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</si>
  <si>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</si>
  <si>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</si>
  <si>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</si>
  <si>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</si>
  <si>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</si>
  <si>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</si>
  <si>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</si>
  <si>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</si>
  <si>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</si>
  <si>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</si>
  <si>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</si>
  <si>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</si>
  <si>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</si>
  <si>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</si>
  <si>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</si>
  <si>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</si>
  <si>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</si>
  <si>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</si>
  <si>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</si>
  <si>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</si>
  <si>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</si>
  <si>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</si>
  <si>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</si>
  <si>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</si>
  <si>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</si>
  <si>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</si>
  <si>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</si>
  <si>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</si>
  <si>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</si>
  <si>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</si>
  <si>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</si>
  <si>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</si>
  <si>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</si>
  <si>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</si>
  <si>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</si>
  <si>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</si>
  <si>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</si>
  <si>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</si>
  <si>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</si>
  <si>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</si>
  <si>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</si>
  <si>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</si>
  <si>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</si>
  <si>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</si>
  <si>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</si>
  <si>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</si>
  <si>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</si>
  <si>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</si>
  <si>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</si>
  <si>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</si>
  <si>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</si>
  <si>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</si>
  <si>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</si>
  <si>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</si>
  <si>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</si>
  <si>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</si>
  <si>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</si>
  <si>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</si>
  <si>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</si>
  <si>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</si>
  <si>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</si>
  <si>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</si>
  <si>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</si>
  <si>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</si>
  <si>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</si>
  <si>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</si>
  <si>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</si>
  <si>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</si>
  <si>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</si>
  <si>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</si>
  <si>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</si>
  <si>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</si>
  <si>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</si>
  <si>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</si>
  <si>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</si>
  <si>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</si>
  <si>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</si>
  <si>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</si>
  <si>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</si>
  <si>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</si>
  <si>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</si>
  <si>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</si>
  <si>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</si>
  <si>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</si>
  <si>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</si>
  <si>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</si>
  <si>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</si>
  <si>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</si>
  <si>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</si>
  <si>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</si>
  <si>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</si>
  <si>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</si>
  <si>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</si>
  <si>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</si>
  <si>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</si>
  <si>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</si>
  <si>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</si>
  <si>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</si>
  <si>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</si>
  <si>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</si>
  <si>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</si>
  <si>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</si>
  <si>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</si>
  <si>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</si>
  <si>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</si>
  <si>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</si>
  <si>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</si>
  <si>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</si>
  <si>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</si>
  <si>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</si>
  <si>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</si>
  <si>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</si>
  <si>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</si>
  <si>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</si>
  <si>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</si>
  <si>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</si>
  <si>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</si>
  <si>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</si>
  <si>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</si>
  <si>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</si>
  <si>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</si>
  <si>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</si>
  <si>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</si>
  <si>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</si>
  <si>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</si>
  <si>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</si>
  <si>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</si>
  <si>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</si>
  <si>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</si>
  <si>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</si>
  <si>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</si>
  <si>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</si>
  <si>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</si>
  <si>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</si>
  <si>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</si>
  <si>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</si>
  <si>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</si>
  <si>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</si>
  <si>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</si>
  <si>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</si>
  <si>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</si>
  <si>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</si>
  <si>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</si>
  <si>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</si>
  <si>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</si>
  <si>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</si>
  <si>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</si>
  <si>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</si>
  <si>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</si>
  <si>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</si>
  <si>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</si>
  <si>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</si>
  <si>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</si>
  <si>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</si>
  <si>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</si>
  <si>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</si>
  <si>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</si>
  <si>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</si>
  <si>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</si>
  <si>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</si>
  <si>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</si>
  <si>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</si>
  <si>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</si>
  <si>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</si>
  <si>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</si>
  <si>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</si>
  <si>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</si>
  <si>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</si>
  <si>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</si>
  <si>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</si>
  <si>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</si>
  <si>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</si>
  <si>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</si>
  <si>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</si>
  <si>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</si>
  <si>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</si>
  <si>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</si>
  <si>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</si>
  <si>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</si>
  <si>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</si>
  <si>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</si>
  <si>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</si>
  <si>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</si>
  <si>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</si>
  <si>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</si>
  <si>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</si>
  <si>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</si>
  <si>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</si>
  <si>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</si>
  <si>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</si>
  <si>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</si>
  <si>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</si>
  <si>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</si>
  <si>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</si>
  <si>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</si>
  <si>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</si>
  <si>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</si>
  <si>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</si>
  <si>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</si>
  <si>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</si>
  <si>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</si>
  <si>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</si>
  <si>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</si>
  <si>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</si>
  <si>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</si>
  <si>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</si>
  <si>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</si>
  <si>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</si>
  <si>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</si>
  <si>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</si>
  <si>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</si>
  <si>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</si>
  <si>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</si>
  <si>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</si>
  <si>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</si>
  <si>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</si>
  <si>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</si>
  <si>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</si>
  <si>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</si>
  <si>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</si>
  <si>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</si>
  <si>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</si>
  <si>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</si>
  <si>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</si>
  <si>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</si>
  <si>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</si>
  <si>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</si>
  <si>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</si>
  <si>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</si>
  <si>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</si>
  <si>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</si>
  <si>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</si>
  <si>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</si>
  <si>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</si>
  <si>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</si>
  <si>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</si>
  <si>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</si>
  <si>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</si>
  <si>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</si>
  <si>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</si>
  <si>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</si>
  <si>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</si>
  <si>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</si>
  <si>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</si>
  <si>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</si>
  <si>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</si>
  <si>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</si>
  <si>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</si>
  <si>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</si>
  <si>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</si>
  <si>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</si>
  <si>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</si>
  <si>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</si>
  <si>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</si>
  <si>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</si>
  <si>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</si>
  <si>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</si>
  <si>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</si>
  <si>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</si>
  <si>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</si>
  <si>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</si>
  <si>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</si>
  <si>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</si>
  <si>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</si>
  <si>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</si>
  <si>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</si>
  <si>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</si>
  <si>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</si>
  <si>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</si>
  <si>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</si>
  <si>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</si>
  <si>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</si>
  <si>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</si>
  <si>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</si>
  <si>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</si>
  <si>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</si>
  <si>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</si>
  <si>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</si>
  <si>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</si>
  <si>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</si>
  <si>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</si>
  <si>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</si>
  <si>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</si>
  <si>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</si>
  <si>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</si>
  <si>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</si>
  <si>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</si>
  <si>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</si>
  <si>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</si>
  <si>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</si>
  <si>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</si>
  <si>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</si>
  <si>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</si>
  <si>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</si>
  <si>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</si>
  <si>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</si>
  <si>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</si>
  <si>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</si>
  <si>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</si>
  <si>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</si>
  <si>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</si>
  <si>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</si>
  <si>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</si>
  <si>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</si>
  <si>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</si>
  <si>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</si>
  <si>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</si>
  <si>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</si>
  <si>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</si>
  <si>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</si>
  <si>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</si>
  <si>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</si>
  <si>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</si>
  <si>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</si>
  <si>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</si>
  <si>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</si>
  <si>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</si>
  <si>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</si>
  <si>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</si>
  <si>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</si>
  <si>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</si>
  <si>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</si>
  <si>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</si>
  <si>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</si>
  <si>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</si>
  <si>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</si>
  <si>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</si>
  <si>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</si>
  <si>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</si>
  <si>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</si>
  <si>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</si>
  <si>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</si>
  <si>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</si>
  <si>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</si>
  <si>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</si>
  <si>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</si>
  <si>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</si>
  <si>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</si>
  <si>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</si>
  <si>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</si>
  <si>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</si>
  <si>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</si>
  <si>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</si>
  <si>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</si>
  <si>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</si>
  <si>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</si>
  <si>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</si>
  <si>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</si>
  <si>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</si>
  <si>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</si>
  <si>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</si>
  <si>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</si>
  <si>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</si>
  <si>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</si>
  <si>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</si>
  <si>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</si>
  <si>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</si>
  <si>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</si>
  <si>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</si>
  <si>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</si>
  <si>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</si>
  <si>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</si>
  <si>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</si>
  <si>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</si>
  <si>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</si>
  <si>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</si>
  <si>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</si>
  <si>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</si>
  <si>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</si>
  <si>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</si>
  <si>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</si>
  <si>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</si>
  <si>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</si>
  <si>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</si>
  <si>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</si>
  <si>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</si>
  <si>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</si>
  <si>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</si>
  <si>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</si>
  <si>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</si>
  <si>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</si>
  <si>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</si>
  <si>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</si>
  <si>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</si>
  <si>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</si>
  <si>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</si>
  <si>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</si>
  <si>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</si>
  <si>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</si>
  <si>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</si>
  <si>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</si>
  <si>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</si>
  <si>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</si>
  <si>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</si>
  <si>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</si>
  <si>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</si>
  <si>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</si>
  <si>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</si>
  <si>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</si>
  <si>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</si>
  <si>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</si>
  <si>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</si>
  <si>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</si>
  <si>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</si>
  <si>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</si>
  <si>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</si>
  <si>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</si>
  <si>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</si>
  <si>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</si>
  <si>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</si>
  <si>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</si>
  <si>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</si>
  <si>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</si>
  <si>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</si>
  <si>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</si>
  <si>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</si>
  <si>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</si>
  <si>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</si>
  <si>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</si>
  <si>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</si>
  <si>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</si>
  <si>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</si>
  <si>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</si>
  <si>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</si>
  <si>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</si>
  <si>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</si>
  <si>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</si>
  <si>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</si>
  <si>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</si>
  <si>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</si>
  <si>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</si>
  <si>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</si>
  <si>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</si>
  <si>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</si>
  <si>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</si>
  <si>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</si>
  <si>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</si>
  <si>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</si>
  <si>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</si>
  <si>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</si>
  <si>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</si>
  <si>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</si>
  <si>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</si>
  <si>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</si>
  <si>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</si>
  <si>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</si>
  <si>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</si>
  <si>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</si>
  <si>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</si>
  <si>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</si>
  <si>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</si>
  <si>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</si>
  <si>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</si>
  <si>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</si>
  <si>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</si>
  <si>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</si>
  <si>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</si>
  <si>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</si>
  <si>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</si>
  <si>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</si>
  <si>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</si>
  <si>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</si>
  <si>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</si>
  <si>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</si>
  <si>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</si>
  <si>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</si>
  <si>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</si>
  <si>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</si>
  <si>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</si>
  <si>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</si>
  <si>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</si>
  <si>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</si>
  <si>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</si>
  <si>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</si>
  <si>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</si>
  <si>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</si>
  <si>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</si>
  <si>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</si>
  <si>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</si>
  <si>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</si>
  <si>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</si>
  <si>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</si>
  <si>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</si>
  <si>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</si>
  <si>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</si>
  <si>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</si>
  <si>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</si>
  <si>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</si>
  <si>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</si>
  <si>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</si>
  <si>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</si>
  <si>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</si>
  <si>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</si>
  <si>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</si>
  <si>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</si>
  <si>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</si>
  <si>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</si>
  <si>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</si>
  <si>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</si>
  <si>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</si>
  <si>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</si>
  <si>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</si>
  <si>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</si>
  <si>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</si>
  <si>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</si>
  <si>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</si>
  <si>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</si>
  <si>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</si>
  <si>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</si>
  <si>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</si>
  <si>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</si>
  <si>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</si>
  <si>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</si>
  <si>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</si>
  <si>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</si>
  <si>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</si>
  <si>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</si>
  <si>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</si>
  <si>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</si>
  <si>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</si>
  <si>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</si>
  <si>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</si>
  <si>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</si>
  <si>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</si>
  <si>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</si>
  <si>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</si>
  <si>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</si>
  <si>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</si>
  <si>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</si>
  <si>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</si>
  <si>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</si>
  <si>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</si>
  <si>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</si>
  <si>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</si>
  <si>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</si>
  <si>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</si>
  <si>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</si>
  <si>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</si>
  <si>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</si>
  <si>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</si>
  <si>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</si>
  <si>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</si>
  <si>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</si>
  <si>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</si>
  <si>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</si>
  <si>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</si>
  <si>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</si>
  <si>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</si>
  <si>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</si>
  <si>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</si>
  <si>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</si>
  <si>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</si>
  <si>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</si>
  <si>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</si>
  <si>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</si>
  <si>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</si>
  <si>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</si>
  <si>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</si>
  <si>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</si>
  <si>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</si>
  <si>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</si>
  <si>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</si>
  <si>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</si>
  <si>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</si>
  <si>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</si>
  <si>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</si>
  <si>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</si>
  <si>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</si>
  <si>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</si>
  <si>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</si>
  <si>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</si>
  <si>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</si>
  <si>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</si>
  <si>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</si>
  <si>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</si>
  <si>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</si>
  <si>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</si>
  <si>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</si>
  <si>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</si>
  <si>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</si>
  <si>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</si>
  <si>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</si>
  <si>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</si>
  <si>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</si>
  <si>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</si>
  <si>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</si>
  <si>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</si>
  <si>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</si>
  <si>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</si>
  <si>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</si>
  <si>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</si>
  <si>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</si>
  <si>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</si>
  <si>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</si>
  <si>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</si>
  <si>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</si>
  <si>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</si>
  <si>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</si>
  <si>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</si>
  <si>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</si>
  <si>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</si>
  <si>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</si>
  <si>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</si>
  <si>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</si>
  <si>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</si>
  <si>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</si>
  <si>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</si>
  <si>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</si>
  <si>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</si>
  <si>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</si>
  <si>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</si>
  <si>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</si>
  <si>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</si>
  <si>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</si>
  <si>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</si>
  <si>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</si>
  <si>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</si>
  <si>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</si>
  <si>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</si>
  <si>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</si>
  <si>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</si>
  <si>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</si>
  <si>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</si>
  <si>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</si>
  <si>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</si>
  <si>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</si>
  <si>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</si>
  <si>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</si>
  <si>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</si>
  <si>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</si>
  <si>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</si>
  <si>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</si>
  <si>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</si>
  <si>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</si>
  <si>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</si>
  <si>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</si>
  <si>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</si>
  <si>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</si>
  <si>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</si>
  <si>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</si>
  <si>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</si>
  <si>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</si>
  <si>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</si>
  <si>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</si>
  <si>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</si>
  <si>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</si>
  <si>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</si>
  <si>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</si>
  <si>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</si>
  <si>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</si>
  <si>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</si>
  <si>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</si>
  <si>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</si>
  <si>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</si>
  <si>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</si>
  <si>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</si>
  <si>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</si>
  <si>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</si>
  <si>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</si>
  <si>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</si>
  <si>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</si>
  <si>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</si>
  <si>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</si>
  <si>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</si>
  <si>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</si>
  <si>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</si>
  <si>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</si>
  <si>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</si>
  <si>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</si>
  <si>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</si>
  <si>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</si>
  <si>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</si>
  <si>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</si>
  <si>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</si>
  <si>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</si>
  <si>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</si>
  <si>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</si>
  <si>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</si>
  <si>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</si>
  <si>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</si>
  <si>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</si>
  <si>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</si>
  <si>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</si>
  <si>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</si>
  <si>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</si>
  <si>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</si>
  <si>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</si>
  <si>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</si>
  <si>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</si>
  <si>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</si>
  <si>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</si>
  <si>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</si>
  <si>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</si>
  <si>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</si>
  <si>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</si>
  <si>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</si>
  <si>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</si>
  <si>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</si>
  <si>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</si>
  <si>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</si>
  <si>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</si>
  <si>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</si>
  <si>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</si>
  <si>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</si>
  <si>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</si>
  <si>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</si>
  <si>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</si>
  <si>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</si>
  <si>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</si>
  <si>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</si>
  <si>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</si>
  <si>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</si>
  <si>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</si>
  <si>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</si>
  <si>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</si>
  <si>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</si>
  <si>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</si>
  <si>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</si>
  <si>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</si>
  <si>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</si>
  <si>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</si>
  <si>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</si>
  <si>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</si>
  <si>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</si>
  <si>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</si>
  <si>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</si>
  <si>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</si>
  <si>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</si>
  <si>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</si>
  <si>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</si>
  <si>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</si>
  <si>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</si>
  <si>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</si>
  <si>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</si>
  <si>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</si>
  <si>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</si>
  <si>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</si>
  <si>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</si>
  <si>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</si>
  <si>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</si>
  <si>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</si>
  <si>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</si>
  <si>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</si>
  <si>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</si>
  <si>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</si>
  <si>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</si>
  <si>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</si>
  <si>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</si>
  <si>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</si>
  <si>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</si>
  <si>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</si>
  <si>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</si>
  <si>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</si>
  <si>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</si>
  <si>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</si>
  <si>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</si>
  <si>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</si>
  <si>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</si>
  <si>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</si>
  <si>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</si>
  <si>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</si>
  <si>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</si>
  <si>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</si>
  <si>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</si>
  <si>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</si>
  <si>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</si>
  <si>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</si>
  <si>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</si>
  <si>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</si>
  <si>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</si>
  <si>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</si>
  <si>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</si>
  <si>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</si>
  <si>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</si>
  <si>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</si>
  <si>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</si>
  <si>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</si>
  <si>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</si>
  <si>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</si>
  <si>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</si>
  <si>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</si>
  <si>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</si>
  <si>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</si>
  <si>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</si>
  <si>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</si>
  <si>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</si>
  <si>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</si>
  <si>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</si>
  <si>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</si>
  <si>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</si>
  <si>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</si>
  <si>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</si>
  <si>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</si>
  <si>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</si>
  <si>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</si>
  <si>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</si>
  <si>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</si>
  <si>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</si>
  <si>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</si>
  <si>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</si>
  <si>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</si>
  <si>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</si>
  <si>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</si>
  <si>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</si>
  <si>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</si>
  <si>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</si>
  <si>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</si>
  <si>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</si>
  <si>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</si>
  <si>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</si>
  <si>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</si>
  <si>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</si>
  <si>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</si>
  <si>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</si>
  <si>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</si>
  <si>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</si>
  <si>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</si>
  <si>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</si>
  <si>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</si>
  <si>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</si>
  <si>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</si>
  <si>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</si>
  <si>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</si>
  <si>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</si>
  <si>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</si>
  <si>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</si>
  <si>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</si>
  <si>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</si>
  <si>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</si>
  <si>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</si>
  <si>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</si>
  <si>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</si>
  <si>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</si>
  <si>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</si>
  <si>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</si>
  <si>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</si>
  <si>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</si>
  <si>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</si>
  <si>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</si>
  <si>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</si>
  <si>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</si>
  <si>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</si>
  <si>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</si>
  <si>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</si>
  <si>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</si>
  <si>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</si>
  <si>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</si>
  <si>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</si>
  <si>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</si>
  <si>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</si>
  <si>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</si>
  <si>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</si>
  <si>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</si>
  <si>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</si>
  <si>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</si>
  <si>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</si>
  <si>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</si>
  <si>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</si>
  <si>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</si>
  <si>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</si>
  <si>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</si>
  <si>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</si>
  <si>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</si>
  <si>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</si>
  <si>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</si>
  <si>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</si>
  <si>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</si>
  <si>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</si>
  <si>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</si>
  <si>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</si>
  <si>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</si>
  <si>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</si>
  <si>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</si>
  <si>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</si>
  <si>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</si>
  <si>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</si>
  <si>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</si>
  <si>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</si>
  <si>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</si>
  <si>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</si>
  <si>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</si>
  <si>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</si>
  <si>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</si>
  <si>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</si>
  <si>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</si>
  <si>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</si>
  <si>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</si>
  <si>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</si>
  <si>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</si>
  <si>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</si>
  <si>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</si>
  <si>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</si>
  <si>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</si>
  <si>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</si>
  <si>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</si>
  <si>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</si>
  <si>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</si>
  <si>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</si>
  <si>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</si>
  <si>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</si>
  <si>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</si>
  <si>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</si>
  <si>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</si>
  <si>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</si>
  <si>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</si>
  <si>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</si>
  <si>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</si>
  <si>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</si>
  <si>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13017</t>
  </si>
  <si>
    <t>KASTERLEE</t>
  </si>
  <si>
    <t>Paarden&amp;pony's 200 - 600 kg</t>
  </si>
  <si>
    <t>Paarden&amp;pony's &lt; 200 kg</t>
  </si>
  <si>
    <t>op basis van VEA (maart 2018) en Inventaris Hernieuwbare Energiebronnen (juni 2018)</t>
  </si>
  <si>
    <t>VEA (juni 2018)</t>
  </si>
  <si>
    <t>Bart Denaegel</t>
  </si>
  <si>
    <t>Hofdreef 23 , 2460 Tielen</t>
  </si>
  <si>
    <t>WKK-0386 Bart Denaegel</t>
  </si>
  <si>
    <t>stirlingmotor</t>
  </si>
  <si>
    <t>IVEKA</t>
  </si>
  <si>
    <t>Aquafin NV</t>
  </si>
  <si>
    <t>Dijkstraat 8, 2630 Aartselaar</t>
  </si>
  <si>
    <t>BGS-0045 RWZI Lichtaart</t>
  </si>
  <si>
    <t>biogas - RWZI</t>
  </si>
  <si>
    <t>niet WKK interne verbrandingsmotor (gas)</t>
  </si>
  <si>
    <t>Hoebenschot 200, 2460 Lichtaart</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</si>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</sst>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13017</v>
      </c>
      <c r="B6" s="397"/>
      <c r="C6" s="398"/>
    </row>
    <row r="7" spans="1:7" s="395" customFormat="1" ht="15.75" customHeight="1">
      <c r="A7" s="399" t="str">
        <f>txtMunicipality</f>
        <v>KASTERLEE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0.197789576484388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0.197789576484388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13017</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7168</v>
      </c>
      <c r="C9" s="338">
        <v>7667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3033</v>
      </c>
    </row>
    <row r="15" spans="1:6">
      <c r="A15" s="1286" t="s">
        <v>184</v>
      </c>
      <c r="B15" s="335">
        <v>12987</v>
      </c>
    </row>
    <row r="16" spans="1:6">
      <c r="A16" s="1286" t="s">
        <v>6</v>
      </c>
      <c r="B16" s="335">
        <v>2372</v>
      </c>
    </row>
    <row r="17" spans="1:6">
      <c r="A17" s="1286" t="s">
        <v>7</v>
      </c>
      <c r="B17" s="335">
        <v>239</v>
      </c>
    </row>
    <row r="18" spans="1:6">
      <c r="A18" s="1286" t="s">
        <v>8</v>
      </c>
      <c r="B18" s="335">
        <v>1404</v>
      </c>
    </row>
    <row r="19" spans="1:6">
      <c r="A19" s="1286" t="s">
        <v>9</v>
      </c>
      <c r="B19" s="335">
        <v>1227</v>
      </c>
    </row>
    <row r="20" spans="1:6">
      <c r="A20" s="1286" t="s">
        <v>10</v>
      </c>
      <c r="B20" s="335">
        <v>551</v>
      </c>
    </row>
    <row r="21" spans="1:6">
      <c r="A21" s="1286" t="s">
        <v>11</v>
      </c>
      <c r="B21" s="335">
        <v>11638</v>
      </c>
    </row>
    <row r="22" spans="1:6">
      <c r="A22" s="1286" t="s">
        <v>12</v>
      </c>
      <c r="B22" s="335">
        <v>23881</v>
      </c>
    </row>
    <row r="23" spans="1:6">
      <c r="A23" s="1286" t="s">
        <v>13</v>
      </c>
      <c r="B23" s="335">
        <v>579</v>
      </c>
    </row>
    <row r="24" spans="1:6">
      <c r="A24" s="1286" t="s">
        <v>14</v>
      </c>
      <c r="B24" s="335">
        <v>23</v>
      </c>
    </row>
    <row r="25" spans="1:6">
      <c r="A25" s="1286" t="s">
        <v>15</v>
      </c>
      <c r="B25" s="335">
        <v>2376</v>
      </c>
    </row>
    <row r="26" spans="1:6">
      <c r="A26" s="1286" t="s">
        <v>16</v>
      </c>
      <c r="B26" s="335">
        <v>217</v>
      </c>
    </row>
    <row r="27" spans="1:6">
      <c r="A27" s="1286" t="s">
        <v>17</v>
      </c>
      <c r="B27" s="335">
        <v>611</v>
      </c>
    </row>
    <row r="28" spans="1:6" s="341" customFormat="1">
      <c r="A28" s="1287" t="s">
        <v>18</v>
      </c>
      <c r="B28" s="1287">
        <v>557904</v>
      </c>
    </row>
    <row r="29" spans="1:6">
      <c r="A29" s="1287" t="s">
        <v>942</v>
      </c>
      <c r="B29" s="1287">
        <v>258</v>
      </c>
      <c r="C29" s="341"/>
      <c r="D29" s="341"/>
      <c r="E29" s="341"/>
      <c r="F29" s="341"/>
    </row>
    <row r="30" spans="1:6">
      <c r="A30" s="1282" t="s">
        <v>943</v>
      </c>
      <c r="B30" s="1282">
        <v>60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8814.8183621926</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73413.132517099206</v>
      </c>
      <c r="E38" s="335">
        <v>2</v>
      </c>
      <c r="F38" s="335">
        <v>13476.52579899</v>
      </c>
    </row>
    <row r="39" spans="1:6">
      <c r="A39" s="1286" t="s">
        <v>30</v>
      </c>
      <c r="B39" s="1286" t="s">
        <v>31</v>
      </c>
      <c r="C39" s="335">
        <v>3719</v>
      </c>
      <c r="D39" s="335">
        <v>74264558.474243596</v>
      </c>
      <c r="E39" s="335">
        <v>7035</v>
      </c>
      <c r="F39" s="335">
        <v>28997479.5139824</v>
      </c>
    </row>
    <row r="40" spans="1:6">
      <c r="A40" s="1286" t="s">
        <v>30</v>
      </c>
      <c r="B40" s="1286" t="s">
        <v>29</v>
      </c>
      <c r="C40" s="335">
        <v>0</v>
      </c>
      <c r="D40" s="335">
        <v>0</v>
      </c>
      <c r="E40" s="335">
        <v>0</v>
      </c>
      <c r="F40" s="335">
        <v>0</v>
      </c>
    </row>
    <row r="41" spans="1:6">
      <c r="A41" s="1286" t="s">
        <v>32</v>
      </c>
      <c r="B41" s="1286" t="s">
        <v>33</v>
      </c>
      <c r="C41" s="335">
        <v>60</v>
      </c>
      <c r="D41" s="335">
        <v>1605438.1544662199</v>
      </c>
      <c r="E41" s="335">
        <v>141</v>
      </c>
      <c r="F41" s="335">
        <v>1262423.4407520001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77998.703799665105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105322.711487284</v>
      </c>
    </row>
    <row r="48" spans="1:6">
      <c r="A48" s="1286" t="s">
        <v>32</v>
      </c>
      <c r="B48" s="1286" t="s">
        <v>29</v>
      </c>
      <c r="C48" s="335">
        <v>14</v>
      </c>
      <c r="D48" s="335">
        <v>1008540.0187041101</v>
      </c>
      <c r="E48" s="335">
        <v>19</v>
      </c>
      <c r="F48" s="335">
        <v>622862.82192299596</v>
      </c>
    </row>
    <row r="49" spans="1:6">
      <c r="A49" s="1286" t="s">
        <v>32</v>
      </c>
      <c r="B49" s="1286" t="s">
        <v>40</v>
      </c>
      <c r="C49" s="335">
        <v>0</v>
      </c>
      <c r="D49" s="335">
        <v>0</v>
      </c>
      <c r="E49" s="335">
        <v>0</v>
      </c>
      <c r="F49" s="335">
        <v>0</v>
      </c>
    </row>
    <row r="50" spans="1:6">
      <c r="A50" s="1286" t="s">
        <v>32</v>
      </c>
      <c r="B50" s="1286" t="s">
        <v>41</v>
      </c>
      <c r="C50" s="335">
        <v>7</v>
      </c>
      <c r="D50" s="335">
        <v>1767065.6369683701</v>
      </c>
      <c r="E50" s="335">
        <v>14</v>
      </c>
      <c r="F50" s="335">
        <v>11011769.819950201</v>
      </c>
    </row>
    <row r="51" spans="1:6">
      <c r="A51" s="1286" t="s">
        <v>42</v>
      </c>
      <c r="B51" s="1286" t="s">
        <v>43</v>
      </c>
      <c r="C51" s="335">
        <v>0</v>
      </c>
      <c r="D51" s="335">
        <v>0</v>
      </c>
      <c r="E51" s="335">
        <v>140</v>
      </c>
      <c r="F51" s="335">
        <v>3978874.6453896398</v>
      </c>
    </row>
    <row r="52" spans="1:6">
      <c r="A52" s="1286" t="s">
        <v>42</v>
      </c>
      <c r="B52" s="1286" t="s">
        <v>29</v>
      </c>
      <c r="C52" s="335">
        <v>6</v>
      </c>
      <c r="D52" s="335">
        <v>114754.509897146</v>
      </c>
      <c r="E52" s="335">
        <v>10</v>
      </c>
      <c r="F52" s="335">
        <v>244392.04954111399</v>
      </c>
    </row>
    <row r="53" spans="1:6">
      <c r="A53" s="1286" t="s">
        <v>44</v>
      </c>
      <c r="B53" s="1286" t="s">
        <v>45</v>
      </c>
      <c r="C53" s="335">
        <v>84</v>
      </c>
      <c r="D53" s="335">
        <v>4207120.7956968704</v>
      </c>
      <c r="E53" s="335">
        <v>206</v>
      </c>
      <c r="F53" s="335">
        <v>2096837.00340773</v>
      </c>
    </row>
    <row r="54" spans="1:6">
      <c r="A54" s="1286" t="s">
        <v>46</v>
      </c>
      <c r="B54" s="1286" t="s">
        <v>47</v>
      </c>
      <c r="C54" s="335">
        <v>0</v>
      </c>
      <c r="D54" s="335">
        <v>0</v>
      </c>
      <c r="E54" s="335">
        <v>1</v>
      </c>
      <c r="F54" s="335">
        <v>771561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20</v>
      </c>
      <c r="D57" s="335">
        <v>548545.24237039499</v>
      </c>
      <c r="E57" s="335">
        <v>132</v>
      </c>
      <c r="F57" s="335">
        <v>3526565.3173020999</v>
      </c>
    </row>
    <row r="58" spans="1:6">
      <c r="A58" s="1286" t="s">
        <v>49</v>
      </c>
      <c r="B58" s="1286" t="s">
        <v>51</v>
      </c>
      <c r="C58" s="335">
        <v>19</v>
      </c>
      <c r="D58" s="335">
        <v>874654.16219199903</v>
      </c>
      <c r="E58" s="335">
        <v>41</v>
      </c>
      <c r="F58" s="335">
        <v>484353.67224393401</v>
      </c>
    </row>
    <row r="59" spans="1:6">
      <c r="A59" s="1286" t="s">
        <v>49</v>
      </c>
      <c r="B59" s="1286" t="s">
        <v>52</v>
      </c>
      <c r="C59" s="335">
        <v>47</v>
      </c>
      <c r="D59" s="335">
        <v>1695039.9838958301</v>
      </c>
      <c r="E59" s="335">
        <v>133</v>
      </c>
      <c r="F59" s="335">
        <v>4387781.5594471497</v>
      </c>
    </row>
    <row r="60" spans="1:6">
      <c r="A60" s="1286" t="s">
        <v>49</v>
      </c>
      <c r="B60" s="1286" t="s">
        <v>53</v>
      </c>
      <c r="C60" s="335">
        <v>64</v>
      </c>
      <c r="D60" s="335">
        <v>6486132.0482197301</v>
      </c>
      <c r="E60" s="335">
        <v>113</v>
      </c>
      <c r="F60" s="335">
        <v>5138671.3665002296</v>
      </c>
    </row>
    <row r="61" spans="1:6">
      <c r="A61" s="1286" t="s">
        <v>49</v>
      </c>
      <c r="B61" s="1286" t="s">
        <v>54</v>
      </c>
      <c r="C61" s="335">
        <v>176</v>
      </c>
      <c r="D61" s="335">
        <v>6697304.66756419</v>
      </c>
      <c r="E61" s="335">
        <v>262</v>
      </c>
      <c r="F61" s="335">
        <v>2944419.42513033</v>
      </c>
    </row>
    <row r="62" spans="1:6">
      <c r="A62" s="1286" t="s">
        <v>49</v>
      </c>
      <c r="B62" s="1286" t="s">
        <v>55</v>
      </c>
      <c r="C62" s="335">
        <v>6</v>
      </c>
      <c r="D62" s="335">
        <v>512481.04159572697</v>
      </c>
      <c r="E62" s="335">
        <v>11</v>
      </c>
      <c r="F62" s="335">
        <v>214817.52745437899</v>
      </c>
    </row>
    <row r="63" spans="1:6">
      <c r="A63" s="1286" t="s">
        <v>49</v>
      </c>
      <c r="B63" s="1286" t="s">
        <v>29</v>
      </c>
      <c r="C63" s="335">
        <v>84</v>
      </c>
      <c r="D63" s="335">
        <v>8112684.0361605501</v>
      </c>
      <c r="E63" s="335">
        <v>101</v>
      </c>
      <c r="F63" s="335">
        <v>4824248.5700797103</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6</v>
      </c>
      <c r="F68" s="335">
        <v>49029.326185630103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98388397</v>
      </c>
      <c r="E73" s="335">
        <v>101761849.88358587</v>
      </c>
    </row>
    <row r="74" spans="1:6">
      <c r="A74" s="1286" t="s">
        <v>64</v>
      </c>
      <c r="B74" s="1286" t="s">
        <v>772</v>
      </c>
      <c r="C74" s="1297" t="s">
        <v>766</v>
      </c>
      <c r="D74" s="335">
        <v>6126421.2636336777</v>
      </c>
      <c r="E74" s="335">
        <v>6552691.0451444415</v>
      </c>
    </row>
    <row r="75" spans="1:6">
      <c r="A75" s="1286" t="s">
        <v>65</v>
      </c>
      <c r="B75" s="1286" t="s">
        <v>771</v>
      </c>
      <c r="C75" s="1297" t="s">
        <v>767</v>
      </c>
      <c r="D75" s="335">
        <v>19927790</v>
      </c>
      <c r="E75" s="335">
        <v>20716859.732806277</v>
      </c>
    </row>
    <row r="76" spans="1:6">
      <c r="A76" s="1286" t="s">
        <v>65</v>
      </c>
      <c r="B76" s="1286" t="s">
        <v>772</v>
      </c>
      <c r="C76" s="1297" t="s">
        <v>768</v>
      </c>
      <c r="D76" s="335">
        <v>837843.26363367762</v>
      </c>
      <c r="E76" s="335">
        <v>930877.7557174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419939.47273264476</v>
      </c>
      <c r="C83" s="335">
        <v>395306.43813928444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1092.608619630452</v>
      </c>
    </row>
    <row r="91" spans="1:6">
      <c r="A91" s="1286" t="s">
        <v>68</v>
      </c>
      <c r="B91" s="335">
        <v>4377.0723896563641</v>
      </c>
    </row>
    <row r="92" spans="1:6">
      <c r="A92" s="1282" t="s">
        <v>69</v>
      </c>
      <c r="B92" s="338">
        <v>1212.8429718926448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2144</v>
      </c>
    </row>
    <row r="98" spans="1:6">
      <c r="A98" s="1286" t="s">
        <v>72</v>
      </c>
      <c r="B98" s="335">
        <v>12</v>
      </c>
    </row>
    <row r="99" spans="1:6">
      <c r="A99" s="1286" t="s">
        <v>73</v>
      </c>
      <c r="B99" s="335">
        <v>63</v>
      </c>
    </row>
    <row r="100" spans="1:6">
      <c r="A100" s="1286" t="s">
        <v>74</v>
      </c>
      <c r="B100" s="335">
        <v>245</v>
      </c>
    </row>
    <row r="101" spans="1:6">
      <c r="A101" s="1286" t="s">
        <v>75</v>
      </c>
      <c r="B101" s="335">
        <v>193</v>
      </c>
    </row>
    <row r="102" spans="1:6">
      <c r="A102" s="1286" t="s">
        <v>76</v>
      </c>
      <c r="B102" s="335">
        <v>70</v>
      </c>
    </row>
    <row r="103" spans="1:6">
      <c r="A103" s="1286" t="s">
        <v>77</v>
      </c>
      <c r="B103" s="335">
        <v>116</v>
      </c>
    </row>
    <row r="104" spans="1:6">
      <c r="A104" s="1286" t="s">
        <v>78</v>
      </c>
      <c r="B104" s="335">
        <v>3477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21</v>
      </c>
      <c r="C123" s="335">
        <v>5</v>
      </c>
    </row>
    <row r="124" spans="1:6">
      <c r="A124" s="1282" t="s">
        <v>89</v>
      </c>
      <c r="B124" s="335">
        <v>2</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101</v>
      </c>
    </row>
    <row r="130" spans="1:6">
      <c r="A130" s="1286" t="s">
        <v>295</v>
      </c>
      <c r="B130" s="335">
        <v>0</v>
      </c>
    </row>
    <row r="131" spans="1:6">
      <c r="A131" s="1286" t="s">
        <v>296</v>
      </c>
      <c r="B131" s="335">
        <v>0</v>
      </c>
    </row>
    <row r="132" spans="1:6">
      <c r="A132" s="1282" t="s">
        <v>297</v>
      </c>
      <c r="B132" s="338">
        <v>14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76410.940914013627</v>
      </c>
      <c r="C3" s="44" t="s">
        <v>170</v>
      </c>
      <c r="D3" s="44"/>
      <c r="E3" s="157"/>
      <c r="F3" s="44"/>
      <c r="G3" s="44"/>
      <c r="H3" s="44"/>
      <c r="I3" s="44"/>
      <c r="J3" s="44"/>
      <c r="K3" s="97"/>
    </row>
    <row r="4" spans="1:11">
      <c r="A4" s="365" t="s">
        <v>171</v>
      </c>
      <c r="B4" s="50">
        <f>IF(ISERROR('SEAP template'!B78),0,'SEAP template'!B78)</f>
        <v>8025.0239811794609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0.197789576484388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771.56100000000004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771.56100000000004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0.197789576484388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152.6067234218709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28997.479513982402</v>
      </c>
      <c r="C5" s="18">
        <f>IF(ISERROR('Eigen informatie GS &amp; warmtenet'!B57),0,'Eigen informatie GS &amp; warmtenet'!B57)</f>
        <v>0</v>
      </c>
      <c r="D5" s="31">
        <f>(SUM(HH_hh_gas_kWh,HH_rest_gas_kWh)/1000)*0.902</f>
        <v>66986.631743767721</v>
      </c>
      <c r="E5" s="18">
        <f>B46*B57</f>
        <v>3747.8425344135726</v>
      </c>
      <c r="F5" s="18">
        <f>B51*B62</f>
        <v>40654.29169450757</v>
      </c>
      <c r="G5" s="19"/>
      <c r="H5" s="18"/>
      <c r="I5" s="18"/>
      <c r="J5" s="18">
        <f>B50*B61+C50*C61</f>
        <v>0</v>
      </c>
      <c r="K5" s="18"/>
      <c r="L5" s="18"/>
      <c r="M5" s="18"/>
      <c r="N5" s="18">
        <f>B48*B59+C48*C59</f>
        <v>37286.612534932421</v>
      </c>
      <c r="O5" s="18">
        <f>B69*B70*B71</f>
        <v>165.71333333333337</v>
      </c>
      <c r="P5" s="18">
        <f>B77*B78*B79/1000-B77*B78*B79/1000/B80</f>
        <v>705.4666666666667</v>
      </c>
    </row>
    <row r="6" spans="1:16">
      <c r="A6" s="17" t="s">
        <v>639</v>
      </c>
      <c r="B6" s="780">
        <f>kWh_PV_kleiner_dan_10kW</f>
        <v>4377.0723896563641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33374.551903638763</v>
      </c>
      <c r="C8" s="22">
        <f>C5</f>
        <v>0</v>
      </c>
      <c r="D8" s="22">
        <f>D5</f>
        <v>66986.631743767721</v>
      </c>
      <c r="E8" s="22">
        <f>E5</f>
        <v>3747.8425344135726</v>
      </c>
      <c r="F8" s="22">
        <f>F5</f>
        <v>40654.29169450757</v>
      </c>
      <c r="G8" s="22"/>
      <c r="H8" s="22"/>
      <c r="I8" s="22"/>
      <c r="J8" s="22">
        <f>J5</f>
        <v>0</v>
      </c>
      <c r="K8" s="22"/>
      <c r="L8" s="22">
        <f>L5</f>
        <v>0</v>
      </c>
      <c r="M8" s="22">
        <f>M5</f>
        <v>0</v>
      </c>
      <c r="N8" s="22">
        <f>N5</f>
        <v>37286.612534932421</v>
      </c>
      <c r="O8" s="22">
        <f>O5</f>
        <v>165.71333333333337</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0.197789576484388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6601.1384863769363</v>
      </c>
      <c r="C12" s="24">
        <f ca="1">C10*C8</f>
        <v>0</v>
      </c>
      <c r="D12" s="24">
        <f>D8*D10</f>
        <v>13531.29961224108</v>
      </c>
      <c r="E12" s="24">
        <f>E10*E8</f>
        <v>850.760255311881</v>
      </c>
      <c r="F12" s="24">
        <f>F10*F8</f>
        <v>10854.695882433522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2144</v>
      </c>
      <c r="C18" s="169" t="s">
        <v>111</v>
      </c>
      <c r="D18" s="231"/>
      <c r="E18" s="16"/>
    </row>
    <row r="19" spans="1:7">
      <c r="A19" s="174" t="s">
        <v>72</v>
      </c>
      <c r="B19" s="38">
        <f>aantalw2001_ander</f>
        <v>12</v>
      </c>
      <c r="C19" s="169" t="s">
        <v>111</v>
      </c>
      <c r="D19" s="232"/>
      <c r="E19" s="16"/>
    </row>
    <row r="20" spans="1:7">
      <c r="A20" s="174" t="s">
        <v>73</v>
      </c>
      <c r="B20" s="38">
        <f>aantalw2001_propaan</f>
        <v>63</v>
      </c>
      <c r="C20" s="170">
        <f>IF(ISERROR(B20/SUM($B$20,$B$21,$B$22)*100),0,B20/SUM($B$20,$B$21,$B$22)*100)</f>
        <v>12.574850299401197</v>
      </c>
      <c r="D20" s="232"/>
      <c r="E20" s="16"/>
    </row>
    <row r="21" spans="1:7">
      <c r="A21" s="174" t="s">
        <v>74</v>
      </c>
      <c r="B21" s="38">
        <f>aantalw2001_elektriciteit</f>
        <v>245</v>
      </c>
      <c r="C21" s="170">
        <f>IF(ISERROR(B21/SUM($B$20,$B$21,$B$22)*100),0,B21/SUM($B$20,$B$21,$B$22)*100)</f>
        <v>48.902195608782435</v>
      </c>
      <c r="D21" s="232"/>
      <c r="E21" s="16"/>
    </row>
    <row r="22" spans="1:7">
      <c r="A22" s="174" t="s">
        <v>75</v>
      </c>
      <c r="B22" s="38">
        <f>aantalw2001_hout</f>
        <v>193</v>
      </c>
      <c r="C22" s="170">
        <f>IF(ISERROR(B22/SUM($B$20,$B$21,$B$22)*100),0,B22/SUM($B$20,$B$21,$B$22)*100)</f>
        <v>38.522954091816366</v>
      </c>
      <c r="D22" s="232"/>
      <c r="E22" s="16"/>
    </row>
    <row r="23" spans="1:7">
      <c r="A23" s="174" t="s">
        <v>76</v>
      </c>
      <c r="B23" s="38">
        <f>aantalw2001_niet_gespec</f>
        <v>70</v>
      </c>
      <c r="C23" s="169" t="s">
        <v>111</v>
      </c>
      <c r="D23" s="231"/>
      <c r="E23" s="16"/>
    </row>
    <row r="24" spans="1:7">
      <c r="A24" s="174" t="s">
        <v>77</v>
      </c>
      <c r="B24" s="38">
        <f>aantalw2001_steenkool</f>
        <v>116</v>
      </c>
      <c r="C24" s="169" t="s">
        <v>111</v>
      </c>
      <c r="D24" s="232"/>
      <c r="E24" s="16"/>
    </row>
    <row r="25" spans="1:7">
      <c r="A25" s="174" t="s">
        <v>78</v>
      </c>
      <c r="B25" s="38">
        <f>aantalw2001_stookolie</f>
        <v>3477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7168</v>
      </c>
      <c r="C28" s="37"/>
      <c r="D28" s="231"/>
    </row>
    <row r="29" spans="1:7" s="16" customFormat="1">
      <c r="A29" s="233" t="s">
        <v>666</v>
      </c>
      <c r="B29" s="38">
        <f>SUM(HH_hh_gas_aantal,HH_rest_gas_aantal)</f>
        <v>3719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3719</v>
      </c>
      <c r="C32" s="170">
        <f>IF(ISERROR(B32/SUM($B$32,$B$34,$B$35,$B$36,$B$38,$B$39)*100),0,B32/SUM($B$32,$B$34,$B$35,$B$36,$B$38,$B$39)*100)</f>
        <v>52.152573271630907</v>
      </c>
      <c r="D32" s="236"/>
      <c r="G32" s="16"/>
    </row>
    <row r="33" spans="1:7">
      <c r="A33" s="174" t="s">
        <v>72</v>
      </c>
      <c r="B33" s="35" t="s">
        <v>111</v>
      </c>
      <c r="C33" s="170"/>
      <c r="D33" s="236"/>
      <c r="G33" s="16"/>
    </row>
    <row r="34" spans="1:7">
      <c r="A34" s="174" t="s">
        <v>73</v>
      </c>
      <c r="B34" s="34">
        <f>IF((($B$28-$B$32-$B$39-$B$77-$B$38)*C20/100)&lt;0,0,($B$28-$B$32-$B$39-$B$77-$B$38)*C20/100)</f>
        <v>170.07485029940119</v>
      </c>
      <c r="C34" s="170">
        <f>IF(ISERROR(B34/SUM($B$32,$B$34,$B$35,$B$36,$B$38,$B$39)*100),0,B34/SUM($B$32,$B$34,$B$35,$B$36,$B$38,$B$39)*100)</f>
        <v>2.3850070158379073</v>
      </c>
      <c r="D34" s="236"/>
      <c r="G34" s="16"/>
    </row>
    <row r="35" spans="1:7">
      <c r="A35" s="174" t="s">
        <v>74</v>
      </c>
      <c r="B35" s="34">
        <f>IF((($B$28-$B$32-$B$39-$B$77-$B$38)*C21/100)&lt;0,0,($B$28-$B$32-$B$39-$B$77-$B$38)*C21/100)</f>
        <v>661.40219560878245</v>
      </c>
      <c r="C35" s="170">
        <f>IF(ISERROR(B35/SUM($B$32,$B$34,$B$35,$B$36,$B$38,$B$39)*100),0,B35/SUM($B$32,$B$34,$B$35,$B$36,$B$38,$B$39)*100)</f>
        <v>9.2750272838140866</v>
      </c>
      <c r="D35" s="236"/>
      <c r="G35" s="16"/>
    </row>
    <row r="36" spans="1:7">
      <c r="A36" s="174" t="s">
        <v>75</v>
      </c>
      <c r="B36" s="34">
        <f>IF((($B$28-$B$32-$B$39-$B$77-$B$38)*C22/100)&lt;0,0,($B$28-$B$32-$B$39-$B$77-$B$38)*C22/100)</f>
        <v>521.02295409181636</v>
      </c>
      <c r="C36" s="170">
        <f>IF(ISERROR(B36/SUM($B$32,$B$34,$B$35,$B$36,$B$38,$B$39)*100),0,B36/SUM($B$32,$B$34,$B$35,$B$36,$B$38,$B$39)*100)</f>
        <v>7.3064500643923198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2059.5</v>
      </c>
      <c r="C39" s="170">
        <f>IF(ISERROR(B39/SUM($B$32,$B$34,$B$35,$B$36,$B$38,$B$39)*100),0,B39/SUM($B$32,$B$34,$B$35,$B$36,$B$38,$B$39)*100)</f>
        <v>28.880942364324781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3719</v>
      </c>
      <c r="C44" s="35" t="s">
        <v>111</v>
      </c>
      <c r="D44" s="177"/>
    </row>
    <row r="45" spans="1:7">
      <c r="A45" s="174" t="s">
        <v>72</v>
      </c>
      <c r="B45" s="34" t="str">
        <f t="shared" si="0"/>
        <v>-</v>
      </c>
      <c r="C45" s="35" t="s">
        <v>111</v>
      </c>
      <c r="D45" s="177"/>
    </row>
    <row r="46" spans="1:7">
      <c r="A46" s="174" t="s">
        <v>73</v>
      </c>
      <c r="B46" s="34">
        <f t="shared" si="0"/>
        <v>170.07485029940119</v>
      </c>
      <c r="C46" s="35" t="s">
        <v>111</v>
      </c>
      <c r="D46" s="177"/>
    </row>
    <row r="47" spans="1:7">
      <c r="A47" s="174" t="s">
        <v>74</v>
      </c>
      <c r="B47" s="34">
        <f t="shared" si="0"/>
        <v>661.40219560878245</v>
      </c>
      <c r="C47" s="35" t="s">
        <v>111</v>
      </c>
      <c r="D47" s="177"/>
    </row>
    <row r="48" spans="1:7">
      <c r="A48" s="174" t="s">
        <v>75</v>
      </c>
      <c r="B48" s="34">
        <f t="shared" si="0"/>
        <v>521.02295409181636</v>
      </c>
      <c r="C48" s="34">
        <f>B48*10</f>
        <v>5210.2295409181634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2059.5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21520.857438157833</v>
      </c>
      <c r="C5" s="18">
        <f>IF(ISERROR('Eigen informatie GS &amp; warmtenet'!B58),0,'Eigen informatie GS &amp; warmtenet'!B58)</f>
        <v>0</v>
      </c>
      <c r="D5" s="31">
        <f>SUM(D6:D12)</f>
        <v>22484.010746162578</v>
      </c>
      <c r="E5" s="18">
        <f>SUM(E6:E12)</f>
        <v>366.26737615380989</v>
      </c>
      <c r="F5" s="18">
        <f>SUM(F6:F12)</f>
        <v>4657.5875476272013</v>
      </c>
      <c r="G5" s="19"/>
      <c r="H5" s="18"/>
      <c r="I5" s="18"/>
      <c r="J5" s="18">
        <f>SUM(J6:J12)</f>
        <v>0</v>
      </c>
      <c r="K5" s="18"/>
      <c r="L5" s="18"/>
      <c r="M5" s="18"/>
      <c r="N5" s="18">
        <f>SUM(N6:N12)</f>
        <v>2379.4983194015749</v>
      </c>
      <c r="O5" s="18">
        <f>B38*B39*B40</f>
        <v>0</v>
      </c>
      <c r="P5" s="18">
        <f>B46*B47*B48/1000-B46*B47*B48/1000/B49</f>
        <v>0</v>
      </c>
      <c r="R5" s="33"/>
    </row>
    <row r="6" spans="1:18">
      <c r="A6" s="33" t="s">
        <v>54</v>
      </c>
      <c r="B6" s="38">
        <f>B26</f>
        <v>2944.4194251303302</v>
      </c>
      <c r="C6" s="34"/>
      <c r="D6" s="38">
        <f>IF(ISERROR(TER_kantoor_gas_kWh/1000),0,TER_kantoor_gas_kWh/1000)*0.902</f>
        <v>6040.9688101428992</v>
      </c>
      <c r="E6" s="34">
        <f>$C$26*'E Balans VL '!I12/100/3.6*1000000</f>
        <v>4.8323890393456121</v>
      </c>
      <c r="F6" s="34">
        <f>$C$26*('E Balans VL '!L12+'E Balans VL '!N12)/100/3.6*1000000</f>
        <v>347.07777179592597</v>
      </c>
      <c r="G6" s="35"/>
      <c r="H6" s="34"/>
      <c r="I6" s="34"/>
      <c r="J6" s="34">
        <f>$C$26*('E Balans VL '!D12+'E Balans VL '!E12)/100/3.6*1000000</f>
        <v>0</v>
      </c>
      <c r="K6" s="34"/>
      <c r="L6" s="34"/>
      <c r="M6" s="34"/>
      <c r="N6" s="34">
        <f>$C$26*'E Balans VL '!Y12/100/3.6*1000000</f>
        <v>0.59490600188013076</v>
      </c>
      <c r="O6" s="34"/>
      <c r="P6" s="34"/>
      <c r="R6" s="33"/>
    </row>
    <row r="7" spans="1:18">
      <c r="A7" s="33" t="s">
        <v>53</v>
      </c>
      <c r="B7" s="38">
        <f t="shared" ref="B7:B12" si="0">B27</f>
        <v>5138.6713665002299</v>
      </c>
      <c r="C7" s="34"/>
      <c r="D7" s="38">
        <f>IF(ISERROR(TER_horeca_gas_kWh/1000),0,TER_horeca_gas_kWh/1000)*0.902</f>
        <v>5850.4911074941965</v>
      </c>
      <c r="E7" s="34">
        <f>$C$27*'E Balans VL '!I9/100/3.6*1000000</f>
        <v>266.65985969964123</v>
      </c>
      <c r="F7" s="34">
        <f>$C$27*('E Balans VL '!L9+'E Balans VL '!N9)/100/3.6*1000000</f>
        <v>1172.648534473776</v>
      </c>
      <c r="G7" s="35"/>
      <c r="H7" s="34"/>
      <c r="I7" s="34"/>
      <c r="J7" s="34">
        <f>$C$27*('E Balans VL '!D9+'E Balans VL '!E9)/100/3.6*1000000</f>
        <v>0</v>
      </c>
      <c r="K7" s="34"/>
      <c r="L7" s="34"/>
      <c r="M7" s="34"/>
      <c r="N7" s="34">
        <f>$C$27*'E Balans VL '!Y9/100/3.6*1000000</f>
        <v>0.54264134140353248</v>
      </c>
      <c r="O7" s="34"/>
      <c r="P7" s="34"/>
      <c r="R7" s="33"/>
    </row>
    <row r="8" spans="1:18">
      <c r="A8" s="6" t="s">
        <v>52</v>
      </c>
      <c r="B8" s="38">
        <f t="shared" si="0"/>
        <v>4387.7815594471494</v>
      </c>
      <c r="C8" s="34"/>
      <c r="D8" s="38">
        <f>IF(ISERROR(TER_handel_gas_kWh/1000),0,TER_handel_gas_kWh/1000)*0.902</f>
        <v>1528.9260654740388</v>
      </c>
      <c r="E8" s="34">
        <f>$C$28*'E Balans VL '!I13/100/3.6*1000000</f>
        <v>23.628742884312853</v>
      </c>
      <c r="F8" s="34">
        <f>$C$28*('E Balans VL '!L13+'E Balans VL '!N13)/100/3.6*1000000</f>
        <v>894.79905309513401</v>
      </c>
      <c r="G8" s="35"/>
      <c r="H8" s="34"/>
      <c r="I8" s="34"/>
      <c r="J8" s="34">
        <f>$C$28*('E Balans VL '!D13+'E Balans VL '!E13)/100/3.6*1000000</f>
        <v>0</v>
      </c>
      <c r="K8" s="34"/>
      <c r="L8" s="34"/>
      <c r="M8" s="34"/>
      <c r="N8" s="34">
        <f>$C$28*'E Balans VL '!Y13/100/3.6*1000000</f>
        <v>21.818120574075994</v>
      </c>
      <c r="O8" s="34"/>
      <c r="P8" s="34"/>
      <c r="R8" s="33"/>
    </row>
    <row r="9" spans="1:18">
      <c r="A9" s="33" t="s">
        <v>51</v>
      </c>
      <c r="B9" s="38">
        <f t="shared" si="0"/>
        <v>484.353672243934</v>
      </c>
      <c r="C9" s="34"/>
      <c r="D9" s="38">
        <f>IF(ISERROR(TER_gezond_gas_kWh/1000),0,TER_gezond_gas_kWh/1000)*0.902</f>
        <v>788.93805429718316</v>
      </c>
      <c r="E9" s="34">
        <f>$C$29*'E Balans VL '!I10/100/3.6*1000000</f>
        <v>0.47999999724090364</v>
      </c>
      <c r="F9" s="34">
        <f>$C$29*('E Balans VL '!L10+'E Balans VL '!N10)/100/3.6*1000000</f>
        <v>168.05676330964585</v>
      </c>
      <c r="G9" s="35"/>
      <c r="H9" s="34"/>
      <c r="I9" s="34"/>
      <c r="J9" s="34">
        <f>$C$29*('E Balans VL '!D10+'E Balans VL '!E10)/100/3.6*1000000</f>
        <v>0</v>
      </c>
      <c r="K9" s="34"/>
      <c r="L9" s="34"/>
      <c r="M9" s="34"/>
      <c r="N9" s="34">
        <f>$C$29*'E Balans VL '!Y10/100/3.6*1000000</f>
        <v>4.1736336343685183</v>
      </c>
      <c r="O9" s="34"/>
      <c r="P9" s="34"/>
      <c r="R9" s="33"/>
    </row>
    <row r="10" spans="1:18">
      <c r="A10" s="33" t="s">
        <v>50</v>
      </c>
      <c r="B10" s="38">
        <f t="shared" si="0"/>
        <v>3526.5653173021001</v>
      </c>
      <c r="C10" s="34"/>
      <c r="D10" s="38">
        <f>IF(ISERROR(TER_ander_gas_kWh/1000),0,TER_ander_gas_kWh/1000)*0.902</f>
        <v>494.78780861809634</v>
      </c>
      <c r="E10" s="34">
        <f>$C$30*'E Balans VL '!I14/100/3.6*1000000</f>
        <v>28.850828846554922</v>
      </c>
      <c r="F10" s="34">
        <f>$C$30*('E Balans VL '!L14+'E Balans VL '!N14)/100/3.6*1000000</f>
        <v>1031.0241263587998</v>
      </c>
      <c r="G10" s="35"/>
      <c r="H10" s="34"/>
      <c r="I10" s="34"/>
      <c r="J10" s="34">
        <f>$C$30*('E Balans VL '!D14+'E Balans VL '!E14)/100/3.6*1000000</f>
        <v>0</v>
      </c>
      <c r="K10" s="34"/>
      <c r="L10" s="34"/>
      <c r="M10" s="34"/>
      <c r="N10" s="34">
        <f>$C$30*'E Balans VL '!Y14/100/3.6*1000000</f>
        <v>2034.365463616042</v>
      </c>
      <c r="O10" s="34"/>
      <c r="P10" s="34"/>
      <c r="R10" s="33"/>
    </row>
    <row r="11" spans="1:18">
      <c r="A11" s="33" t="s">
        <v>55</v>
      </c>
      <c r="B11" s="38">
        <f t="shared" si="0"/>
        <v>214.81752745437899</v>
      </c>
      <c r="C11" s="34"/>
      <c r="D11" s="38">
        <f>IF(ISERROR(TER_onderwijs_gas_kWh/1000),0,TER_onderwijs_gas_kWh/1000)*0.902</f>
        <v>462.25789951934576</v>
      </c>
      <c r="E11" s="34">
        <f>$C$31*'E Balans VL '!I11/100/3.6*1000000</f>
        <v>0.1324044598715004</v>
      </c>
      <c r="F11" s="34">
        <f>$C$31*('E Balans VL '!L11+'E Balans VL '!N11)/100/3.6*1000000</f>
        <v>83.051935012683074</v>
      </c>
      <c r="G11" s="35"/>
      <c r="H11" s="34"/>
      <c r="I11" s="34"/>
      <c r="J11" s="34">
        <f>$C$31*('E Balans VL '!D11+'E Balans VL '!E11)/100/3.6*1000000</f>
        <v>0</v>
      </c>
      <c r="K11" s="34"/>
      <c r="L11" s="34"/>
      <c r="M11" s="34"/>
      <c r="N11" s="34">
        <f>$C$31*'E Balans VL '!Y11/100/3.6*1000000</f>
        <v>0.69875538239586255</v>
      </c>
      <c r="O11" s="34"/>
      <c r="P11" s="34"/>
      <c r="R11" s="33"/>
    </row>
    <row r="12" spans="1:18">
      <c r="A12" s="33" t="s">
        <v>260</v>
      </c>
      <c r="B12" s="38">
        <f t="shared" si="0"/>
        <v>4824.2485700797106</v>
      </c>
      <c r="C12" s="34"/>
      <c r="D12" s="38">
        <f>IF(ISERROR(TER_rest_gas_kWh/1000),0,TER_rest_gas_kWh/1000)*0.902</f>
        <v>7317.6410006168162</v>
      </c>
      <c r="E12" s="34">
        <f>$C$32*'E Balans VL '!I8/100/3.6*1000000</f>
        <v>41.683151226842902</v>
      </c>
      <c r="F12" s="34">
        <f>$C$32*('E Balans VL '!L8+'E Balans VL '!N8)/100/3.6*1000000</f>
        <v>960.92936358123711</v>
      </c>
      <c r="G12" s="35"/>
      <c r="H12" s="34"/>
      <c r="I12" s="34"/>
      <c r="J12" s="34">
        <f>$C$32*('E Balans VL '!D8+'E Balans VL '!E8)/100/3.6*1000000</f>
        <v>0</v>
      </c>
      <c r="K12" s="34"/>
      <c r="L12" s="34"/>
      <c r="M12" s="34"/>
      <c r="N12" s="34">
        <f>$C$32*'E Balans VL '!Y8/100/3.6*1000000</f>
        <v>317.30479885140869</v>
      </c>
      <c r="O12" s="34"/>
      <c r="P12" s="34"/>
      <c r="R12" s="33"/>
    </row>
    <row r="13" spans="1:18">
      <c r="A13" s="17" t="s">
        <v>502</v>
      </c>
      <c r="B13" s="250">
        <f ca="1">'lokale energieproductie'!N91+'lokale energieproductie'!N60</f>
        <v>1341</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-3831.4285714285716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22861.857438157833</v>
      </c>
      <c r="C16" s="22">
        <f t="shared" ca="1" si="1"/>
        <v>0</v>
      </c>
      <c r="D16" s="22">
        <f t="shared" ca="1" si="1"/>
        <v>22484.010746162578</v>
      </c>
      <c r="E16" s="22">
        <f t="shared" si="1"/>
        <v>366.26737615380989</v>
      </c>
      <c r="F16" s="22">
        <f t="shared" ca="1" si="1"/>
        <v>4657.5875476272013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0.197789576484388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4521.8371003396933</v>
      </c>
      <c r="C20" s="24">
        <f t="shared" ref="C20:P20" ca="1" si="2">C16*C18</f>
        <v>0</v>
      </c>
      <c r="D20" s="24">
        <f t="shared" ca="1" si="2"/>
        <v>4541.7701707248407</v>
      </c>
      <c r="E20" s="24">
        <f t="shared" si="2"/>
        <v>83.142694386914854</v>
      </c>
      <c r="F20" s="24">
        <f t="shared" ca="1" si="2"/>
        <v>1243.5758752164629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2944.4194251303302</v>
      </c>
      <c r="C26" s="40">
        <f>IF(ISERROR(B26*3.6/1000000/'E Balans VL '!Z12*100),0,B26*3.6/1000000/'E Balans VL '!Z12*100)</f>
        <v>6.2566801249444082E-2</v>
      </c>
      <c r="D26" s="240" t="s">
        <v>707</v>
      </c>
      <c r="F26" s="6"/>
    </row>
    <row r="27" spans="1:18">
      <c r="A27" s="234" t="s">
        <v>53</v>
      </c>
      <c r="B27" s="34">
        <f>IF(ISERROR(TER_horeca_ele_kWh/1000),0,TER_horeca_ele_kWh/1000)</f>
        <v>5138.6713665002299</v>
      </c>
      <c r="C27" s="40">
        <f>IF(ISERROR(B27*3.6/1000000/'E Balans VL '!Z9*100),0,B27*3.6/1000000/'E Balans VL '!Z9*100)</f>
        <v>0.40445317371691863</v>
      </c>
      <c r="D27" s="240" t="s">
        <v>707</v>
      </c>
      <c r="F27" s="6"/>
    </row>
    <row r="28" spans="1:18">
      <c r="A28" s="174" t="s">
        <v>52</v>
      </c>
      <c r="B28" s="34">
        <f>IF(ISERROR(TER_handel_ele_kWh/1000),0,TER_handel_ele_kWh/1000)</f>
        <v>4387.7815594471494</v>
      </c>
      <c r="C28" s="40">
        <f>IF(ISERROR(B28*3.6/1000000/'E Balans VL '!Z13*100),0,B28*3.6/1000000/'E Balans VL '!Z13*100)</f>
        <v>0.12290410972809714</v>
      </c>
      <c r="D28" s="240" t="s">
        <v>707</v>
      </c>
      <c r="F28" s="6"/>
    </row>
    <row r="29" spans="1:18">
      <c r="A29" s="234" t="s">
        <v>51</v>
      </c>
      <c r="B29" s="34">
        <f>IF(ISERROR(TER_gezond_ele_kWh/1000),0,TER_gezond_ele_kWh/1000)</f>
        <v>484.353672243934</v>
      </c>
      <c r="C29" s="40">
        <f>IF(ISERROR(B29*3.6/1000000/'E Balans VL '!Z10*100),0,B29*3.6/1000000/'E Balans VL '!Z10*100)</f>
        <v>6.1963480945178388E-2</v>
      </c>
      <c r="D29" s="240" t="s">
        <v>707</v>
      </c>
      <c r="F29" s="6"/>
    </row>
    <row r="30" spans="1:18">
      <c r="A30" s="234" t="s">
        <v>50</v>
      </c>
      <c r="B30" s="34">
        <f>IF(ISERROR(TER_ander_ele_kWh/1000),0,TER_ander_ele_kWh/1000)</f>
        <v>3526.5653173021001</v>
      </c>
      <c r="C30" s="40">
        <f>IF(ISERROR(B30*3.6/1000000/'E Balans VL '!Z14*100),0,B30*3.6/1000000/'E Balans VL '!Z14*100)</f>
        <v>0.26375737037573888</v>
      </c>
      <c r="D30" s="240" t="s">
        <v>707</v>
      </c>
      <c r="F30" s="6"/>
    </row>
    <row r="31" spans="1:18">
      <c r="A31" s="234" t="s">
        <v>55</v>
      </c>
      <c r="B31" s="34">
        <f>IF(ISERROR(TER_onderwijs_ele_kWh/1000),0,TER_onderwijs_ele_kWh/1000)</f>
        <v>214.81752745437899</v>
      </c>
      <c r="C31" s="40">
        <f>IF(ISERROR(B31*3.6/1000000/'E Balans VL '!Z11*100),0,B31*3.6/1000000/'E Balans VL '!Z11*100)</f>
        <v>4.5358999181815157E-2</v>
      </c>
      <c r="D31" s="240" t="s">
        <v>707</v>
      </c>
    </row>
    <row r="32" spans="1:18">
      <c r="A32" s="234" t="s">
        <v>260</v>
      </c>
      <c r="B32" s="34">
        <f>IF(ISERROR(TER_rest_ele_kWh/1000),0,TER_rest_ele_kWh/1000)</f>
        <v>4824.2485700797106</v>
      </c>
      <c r="C32" s="40">
        <f>IF(ISERROR(B32*3.6/1000000/'E Balans VL '!Z8*100),0,B32*3.6/1000000/'E Balans VL '!Z8*100)</f>
        <v>3.9741831987111099E-2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13080.377497912146</v>
      </c>
      <c r="C5" s="18">
        <f>IF(ISERROR('Eigen informatie GS &amp; warmtenet'!B59),0,'Eigen informatie GS &amp; warmtenet'!B59)</f>
        <v>0</v>
      </c>
      <c r="D5" s="31">
        <f>SUM(D6:D15)</f>
        <v>3951.7015167451077</v>
      </c>
      <c r="E5" s="18">
        <f>SUM(E6:E15)</f>
        <v>125.4661191472216</v>
      </c>
      <c r="F5" s="18">
        <f>SUM(F6:F15)</f>
        <v>2377.6580804301648</v>
      </c>
      <c r="G5" s="19"/>
      <c r="H5" s="18"/>
      <c r="I5" s="18"/>
      <c r="J5" s="18">
        <f>SUM(J6:J15)</f>
        <v>4.5741132351522724</v>
      </c>
      <c r="K5" s="18"/>
      <c r="L5" s="18"/>
      <c r="M5" s="18"/>
      <c r="N5" s="18">
        <f>SUM(N6:N15)</f>
        <v>316.85032047527142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77.998703799665108</v>
      </c>
      <c r="C8" s="34"/>
      <c r="D8" s="38">
        <f>IF( ISERROR(IND_metaal_Gas_kWH/1000),0,IND_metaal_Gas_kWH/1000)*0.902</f>
        <v>0</v>
      </c>
      <c r="E8" s="34">
        <f>C30*'E Balans VL '!I18/100/3.6*1000000</f>
        <v>0.71032013917349568</v>
      </c>
      <c r="F8" s="34">
        <f>C30*'E Balans VL '!L18/100/3.6*1000000+C30*'E Balans VL '!N18/100/3.6*1000000</f>
        <v>10.287436698845545</v>
      </c>
      <c r="G8" s="35"/>
      <c r="H8" s="34"/>
      <c r="I8" s="34"/>
      <c r="J8" s="41">
        <f>C30*'E Balans VL '!D18/100/3.6*1000000+C30*'E Balans VL '!E18/100/3.6*1000000</f>
        <v>1.2790654922746028</v>
      </c>
      <c r="K8" s="34"/>
      <c r="L8" s="34"/>
      <c r="M8" s="34"/>
      <c r="N8" s="34">
        <f>C30*'E Balans VL '!Y18/100/3.6*1000000</f>
        <v>0.26805056005384681</v>
      </c>
      <c r="O8" s="34"/>
      <c r="P8" s="34"/>
      <c r="R8" s="33"/>
    </row>
    <row r="9" spans="1:18">
      <c r="A9" s="6" t="s">
        <v>33</v>
      </c>
      <c r="B9" s="38">
        <f t="shared" si="0"/>
        <v>1262.423440752</v>
      </c>
      <c r="C9" s="34"/>
      <c r="D9" s="38">
        <f>IF( ISERROR(IND_andere_gas_kWh/1000),0,IND_andere_gas_kWh/1000)*0.902</f>
        <v>1448.1052153285304</v>
      </c>
      <c r="E9" s="34">
        <f>C31*'E Balans VL '!I19/100/3.6*1000000</f>
        <v>7.2969961411256792</v>
      </c>
      <c r="F9" s="34">
        <f>C31*'E Balans VL '!L19/100/3.6*1000000+C31*'E Balans VL '!N19/100/3.6*1000000</f>
        <v>1004.3185925304007</v>
      </c>
      <c r="G9" s="35"/>
      <c r="H9" s="34"/>
      <c r="I9" s="34"/>
      <c r="J9" s="41">
        <f>C31*'E Balans VL '!D19/100/3.6*1000000+C31*'E Balans VL '!E19/100/3.6*1000000</f>
        <v>0.11941123489273266</v>
      </c>
      <c r="K9" s="34"/>
      <c r="L9" s="34"/>
      <c r="M9" s="34"/>
      <c r="N9" s="34">
        <f>C31*'E Balans VL '!Y19/100/3.6*1000000</f>
        <v>95.647680278773095</v>
      </c>
      <c r="O9" s="34"/>
      <c r="P9" s="34"/>
      <c r="R9" s="33"/>
    </row>
    <row r="10" spans="1:18">
      <c r="A10" s="6" t="s">
        <v>41</v>
      </c>
      <c r="B10" s="38">
        <f t="shared" si="0"/>
        <v>11011.769819950201</v>
      </c>
      <c r="C10" s="34"/>
      <c r="D10" s="38">
        <f>IF( ISERROR(IND_voed_gas_kWh/1000),0,IND_voed_gas_kWh/1000)*0.902</f>
        <v>1593.8932045454699</v>
      </c>
      <c r="E10" s="34">
        <f>C32*'E Balans VL '!I20/100/3.6*1000000</f>
        <v>108.2745057862022</v>
      </c>
      <c r="F10" s="34">
        <f>C32*'E Balans VL '!L20/100/3.6*1000000+C32*'E Balans VL '!N20/100/3.6*1000000</f>
        <v>1223.0007712210513</v>
      </c>
      <c r="G10" s="35"/>
      <c r="H10" s="34"/>
      <c r="I10" s="34"/>
      <c r="J10" s="41">
        <f>C32*'E Balans VL '!D20/100/3.6*1000000+C32*'E Balans VL '!E20/100/3.6*1000000</f>
        <v>4.3402383903118083E-2</v>
      </c>
      <c r="K10" s="34"/>
      <c r="L10" s="34"/>
      <c r="M10" s="34"/>
      <c r="N10" s="34">
        <f>C32*'E Balans VL '!Y20/100/3.6*1000000</f>
        <v>163.05840862053148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105.322711487284</v>
      </c>
      <c r="C13" s="34"/>
      <c r="D13" s="38">
        <f>IF( ISERROR(IND_papier_gas_kWh/1000),0,IND_papier_gas_kWh/1000)*0.902</f>
        <v>0</v>
      </c>
      <c r="E13" s="34">
        <f>C35*'E Balans VL '!I23/100/3.6*1000000</f>
        <v>3.5874442613155906</v>
      </c>
      <c r="F13" s="34">
        <f>C35*'E Balans VL '!L23/100/3.6*1000000+C35*'E Balans VL '!N23/100/3.6*1000000</f>
        <v>17.396840066869132</v>
      </c>
      <c r="G13" s="35"/>
      <c r="H13" s="34"/>
      <c r="I13" s="34"/>
      <c r="J13" s="41">
        <f>C35*'E Balans VL '!D23/100/3.6*1000000+C35*'E Balans VL '!E23/100/3.6*1000000</f>
        <v>0</v>
      </c>
      <c r="K13" s="34"/>
      <c r="L13" s="34"/>
      <c r="M13" s="34"/>
      <c r="N13" s="34">
        <f>C35*'E Balans VL '!Y23/100/3.6*1000000</f>
        <v>38.755933291156609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622.86282192299598</v>
      </c>
      <c r="C15" s="34"/>
      <c r="D15" s="38">
        <f>IF( ISERROR(IND_rest_gas_kWh/1000),0,IND_rest_gas_kWh/1000)*0.902</f>
        <v>909.70309687110728</v>
      </c>
      <c r="E15" s="34">
        <f>C37*'E Balans VL '!I15/100/3.6*1000000</f>
        <v>5.5968528194046314</v>
      </c>
      <c r="F15" s="34">
        <f>C37*'E Balans VL '!L15/100/3.6*1000000+C37*'E Balans VL '!N15/100/3.6*1000000</f>
        <v>122.65443991299801</v>
      </c>
      <c r="G15" s="35"/>
      <c r="H15" s="34"/>
      <c r="I15" s="34"/>
      <c r="J15" s="41">
        <f>C37*'E Balans VL '!D15/100/3.6*1000000+C37*'E Balans VL '!E15/100/3.6*1000000</f>
        <v>3.132234124081819</v>
      </c>
      <c r="K15" s="34"/>
      <c r="L15" s="34"/>
      <c r="M15" s="34"/>
      <c r="N15" s="34">
        <f>C37*'E Balans VL '!Y15/100/3.6*1000000</f>
        <v>19.1202477247564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13080.377497912146</v>
      </c>
      <c r="C18" s="22">
        <f>C5+C16</f>
        <v>0</v>
      </c>
      <c r="D18" s="22">
        <f>MAX((D5+D16),0)</f>
        <v>3951.7015167451077</v>
      </c>
      <c r="E18" s="22">
        <f>MAX((E5+E16),0)</f>
        <v>125.4661191472216</v>
      </c>
      <c r="F18" s="22">
        <f>MAX((F5+F16),0)</f>
        <v>2377.6580804301648</v>
      </c>
      <c r="G18" s="22"/>
      <c r="H18" s="22"/>
      <c r="I18" s="22"/>
      <c r="J18" s="22">
        <f>MAX((J5+J16),0)</f>
        <v>4.5741132351522724</v>
      </c>
      <c r="K18" s="22"/>
      <c r="L18" s="22">
        <f>MAX((L5+L16),0)</f>
        <v>0</v>
      </c>
      <c r="M18" s="22"/>
      <c r="N18" s="22">
        <f>MAX((N5+N16),0)</f>
        <v>316.85032047527142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0.197789576484388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2587.1623255679619</v>
      </c>
      <c r="C22" s="24">
        <f ca="1">C18*C20</f>
        <v>0</v>
      </c>
      <c r="D22" s="24">
        <f>D18*D20</f>
        <v>798.24370638251185</v>
      </c>
      <c r="E22" s="24">
        <f>E18*E20</f>
        <v>28.480809046419306</v>
      </c>
      <c r="F22" s="24">
        <f>F18*F20</f>
        <v>634.83470747485399</v>
      </c>
      <c r="G22" s="24"/>
      <c r="H22" s="24"/>
      <c r="I22" s="24"/>
      <c r="J22" s="24">
        <f>J18*J20</f>
        <v>1.6192360852439043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77.998703799665108</v>
      </c>
      <c r="C30" s="40">
        <f>IF(ISERROR(B30*3.6/1000000/'E Balans VL '!Z18*100),0,B30*3.6/1000000/'E Balans VL '!Z18*100)</f>
        <v>4.3401062935940144E-3</v>
      </c>
      <c r="D30" s="240" t="s">
        <v>707</v>
      </c>
    </row>
    <row r="31" spans="1:18">
      <c r="A31" s="6" t="s">
        <v>33</v>
      </c>
      <c r="B31" s="38">
        <f>IF( ISERROR(IND_ander_ele_kWh/1000),0,IND_ander_ele_kWh/1000)</f>
        <v>1262.423440752</v>
      </c>
      <c r="C31" s="40">
        <f>IF(ISERROR(B31*3.6/1000000/'E Balans VL '!Z19*100),0,B31*3.6/1000000/'E Balans VL '!Z19*100)</f>
        <v>5.8686750254448826E-2</v>
      </c>
      <c r="D31" s="240" t="s">
        <v>707</v>
      </c>
    </row>
    <row r="32" spans="1:18">
      <c r="A32" s="174" t="s">
        <v>41</v>
      </c>
      <c r="B32" s="38">
        <f>IF( ISERROR(IND_voed_ele_kWh/1000),0,IND_voed_ele_kWh/1000)</f>
        <v>11011.769819950201</v>
      </c>
      <c r="C32" s="40">
        <f>IF(ISERROR(B32*3.6/1000000/'E Balans VL '!Z20*100),0,B32*3.6/1000000/'E Balans VL '!Z20*100)</f>
        <v>0.38924382392424783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105.322711487284</v>
      </c>
      <c r="C35" s="40">
        <f>IF(ISERROR(B35*3.6/1000000/'E Balans VL '!Z22*100),0,B35*3.6/1000000/'E Balans VL '!Z22*100)</f>
        <v>2.1166895008818923E-2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622.86282192299598</v>
      </c>
      <c r="C37" s="40">
        <f>IF(ISERROR(B37*3.6/1000000/'E Balans VL '!Z15*100),0,B37*3.6/1000000/'E Balans VL '!Z15*100)</f>
        <v>4.7035344130406291E-3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4223.2666949307541</v>
      </c>
      <c r="C5" s="18">
        <f>'Eigen informatie GS &amp; warmtenet'!B60</f>
        <v>0</v>
      </c>
      <c r="D5" s="31">
        <f>IF(ISERROR(SUM(LB_lb_gas_kWh,LB_rest_gas_kWh)/1000),0,SUM(LB_lb_gas_kWh,LB_rest_gas_kWh)/1000)*0.902</f>
        <v>103.50856792722568</v>
      </c>
      <c r="E5" s="18">
        <f>B17*'E Balans VL '!I25/3.6*1000000/100</f>
        <v>39.786001947755615</v>
      </c>
      <c r="F5" s="18">
        <f>B17*('E Balans VL '!L25/3.6*1000000+'E Balans VL '!N25/3.6*1000000)/100</f>
        <v>13781.920804683843</v>
      </c>
      <c r="G5" s="19"/>
      <c r="H5" s="18"/>
      <c r="I5" s="18"/>
      <c r="J5" s="18">
        <f>('E Balans VL '!D25+'E Balans VL '!E25)/3.6*1000000*landbouw!B17/100</f>
        <v>522.43863212819235</v>
      </c>
      <c r="K5" s="18"/>
      <c r="L5" s="18">
        <f>L6*(-1)</f>
        <v>0</v>
      </c>
      <c r="M5" s="18"/>
      <c r="N5" s="18">
        <f>N6*(-1)</f>
        <v>10</v>
      </c>
      <c r="O5" s="18"/>
      <c r="P5" s="18"/>
      <c r="R5" s="33"/>
    </row>
    <row r="6" spans="1:18">
      <c r="A6" s="17" t="s">
        <v>502</v>
      </c>
      <c r="B6" s="18" t="s">
        <v>211</v>
      </c>
      <c r="C6" s="18">
        <f>'lokale energieproductie'!O92+'lokale energieproductie'!O61</f>
        <v>7.5</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4223.2666949307541</v>
      </c>
      <c r="C8" s="22">
        <f>C5+C6</f>
        <v>7.5</v>
      </c>
      <c r="D8" s="22">
        <f>MAX((D5+D6),0)</f>
        <v>103.50856792722568</v>
      </c>
      <c r="E8" s="22">
        <f>MAX((E5+E6),0)</f>
        <v>39.786001947755615</v>
      </c>
      <c r="F8" s="22">
        <f>MAX((F5+F6),0)</f>
        <v>13781.920804683843</v>
      </c>
      <c r="G8" s="22"/>
      <c r="H8" s="22"/>
      <c r="I8" s="22"/>
      <c r="J8" s="22">
        <f>MAX((J5+J6),0)</f>
        <v>522.43863212819235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0.197789576484388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835.31813097097483</v>
      </c>
      <c r="C12" s="24">
        <f ca="1">C8*C10</f>
        <v>0</v>
      </c>
      <c r="D12" s="24">
        <f>D8*D10</f>
        <v>20.908730721299591</v>
      </c>
      <c r="E12" s="24">
        <f>E8*E10</f>
        <v>9.0314224421405243</v>
      </c>
      <c r="F12" s="24">
        <f>F8*F10</f>
        <v>3679.7728548505861</v>
      </c>
      <c r="G12" s="24"/>
      <c r="H12" s="24"/>
      <c r="I12" s="24"/>
      <c r="J12" s="24">
        <f>J8*J10</f>
        <v>184.94327577338009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0.57176282484915053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613.31564130899483</v>
      </c>
      <c r="C26" s="250">
        <f>B26*'GWP N2O_CH4'!B5</f>
        <v>12879.628467488892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338.61197427581055</v>
      </c>
      <c r="C27" s="250">
        <f>B27*'GWP N2O_CH4'!B5</f>
        <v>7110.8514597920221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19.075198899773049</v>
      </c>
      <c r="C28" s="250">
        <f>B28*'GWP N2O_CH4'!B4</f>
        <v>5913.3116589296451</v>
      </c>
      <c r="D28" s="51"/>
    </row>
    <row r="29" spans="1:4">
      <c r="A29" s="42" t="s">
        <v>277</v>
      </c>
      <c r="B29" s="250">
        <f>B34*'ha_N2O bodem landbouw'!B4</f>
        <v>16.728101602608035</v>
      </c>
      <c r="C29" s="250">
        <f>B29*'GWP N2O_CH4'!B4</f>
        <v>5185.7114968084907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4.5160608276020205E-3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8.961753479015271E-6</v>
      </c>
      <c r="C5" s="447" t="s">
        <v>211</v>
      </c>
      <c r="D5" s="432">
        <f>SUM(D6:D11)</f>
        <v>2.4812070915285494E-5</v>
      </c>
      <c r="E5" s="432">
        <f>SUM(E6:E11)</f>
        <v>1.4383516978586988E-3</v>
      </c>
      <c r="F5" s="445" t="s">
        <v>211</v>
      </c>
      <c r="G5" s="432">
        <f>SUM(G6:G11)</f>
        <v>0.27281538842506781</v>
      </c>
      <c r="H5" s="432">
        <f>SUM(H6:H11)</f>
        <v>5.5116409712078568E-2</v>
      </c>
      <c r="I5" s="447" t="s">
        <v>211</v>
      </c>
      <c r="J5" s="447" t="s">
        <v>211</v>
      </c>
      <c r="K5" s="447" t="s">
        <v>211</v>
      </c>
      <c r="L5" s="447" t="s">
        <v>211</v>
      </c>
      <c r="M5" s="432">
        <f>SUM(M6:M11)</f>
        <v>1.4669725901568304E-2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7.4523408965967236E-6</v>
      </c>
      <c r="C6" s="433"/>
      <c r="D6" s="433">
        <f>vkm_2011_GW_PW*SUMIFS(TableVerdeelsleutelVkm[CNG],TableVerdeelsleutelVkm[Voertuigtype],"Lichte voertuigen")*SUMIFS(TableECFTransport[EnergieConsumptieFactor (PJ per km)],TableECFTransport[Index],CONCATENATE($A6,"_CNG_CNG"))</f>
        <v>1.8198741274635479E-5</v>
      </c>
      <c r="E6" s="435">
        <f>vkm_2011_GW_PW*SUMIFS(TableVerdeelsleutelVkm[LPG],TableVerdeelsleutelVkm[Voertuigtype],"Lichte voertuigen")*SUMIFS(TableECFTransport[EnergieConsumptieFactor (PJ per km)],TableECFTransport[Index],CONCATENATE($A6,"_LPG_LPG"))</f>
        <v>1.0787273341947064E-3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0.15594272574136919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4.0868108265292455E-2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8.8135515961996116E-3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5.6960649539147833E-2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2.2981401379980419E-5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2.537579313467468E-3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1.5094125824185469E-6</v>
      </c>
      <c r="C8" s="433"/>
      <c r="D8" s="435">
        <f>vkm_2011_NGW_PW*SUMIFS(TableVerdeelsleutelVkm[CNG],TableVerdeelsleutelVkm[Voertuigtype],"Lichte voertuigen")*SUMIFS(TableECFTransport[EnergieConsumptieFactor (PJ per km)],TableECFTransport[Index],CONCATENATE($A8,"_CNG_CNG"))</f>
        <v>6.6133296406500146E-6</v>
      </c>
      <c r="E8" s="435">
        <f>vkm_2011_NGW_PW*SUMIFS(TableVerdeelsleutelVkm[LPG],TableVerdeelsleutelVkm[Voertuigtype],"Lichte voertuigen")*SUMIFS(TableECFTransport[EnergieConsumptieFactor (PJ per km)],TableECFTransport[Index],CONCATENATE($A8,"_LPG_LPG"))</f>
        <v>3.5962436366399243E-4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4.9112217552455442E-2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1.4221526166550142E-2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2.8374932093509319E-3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1.0799795592095322E-2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3.7938788559900594E-6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4.8110178255029334E-4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2.4893759663931307</v>
      </c>
      <c r="C14" s="22"/>
      <c r="D14" s="22">
        <f t="shared" ref="D14:M14" si="0">((D5)*10^9/3600)+D12</f>
        <v>6.8922419209126371</v>
      </c>
      <c r="E14" s="22">
        <f t="shared" si="0"/>
        <v>399.54213829408303</v>
      </c>
      <c r="F14" s="22"/>
      <c r="G14" s="22">
        <f t="shared" si="0"/>
        <v>75782.052340296606</v>
      </c>
      <c r="H14" s="22">
        <f t="shared" si="0"/>
        <v>15310.113808910713</v>
      </c>
      <c r="I14" s="22"/>
      <c r="J14" s="22"/>
      <c r="K14" s="22"/>
      <c r="L14" s="22"/>
      <c r="M14" s="22">
        <f t="shared" si="0"/>
        <v>4074.9238615467511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0.197789576484388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0.4923726181033114</v>
      </c>
      <c r="C18" s="24"/>
      <c r="D18" s="24">
        <f t="shared" ref="D18:M18" si="1">D14*D16</f>
        <v>1.3922328680243528</v>
      </c>
      <c r="E18" s="24">
        <f t="shared" si="1"/>
        <v>90.69606539275685</v>
      </c>
      <c r="F18" s="24"/>
      <c r="G18" s="24">
        <f t="shared" si="1"/>
        <v>20233.807974859195</v>
      </c>
      <c r="H18" s="24">
        <f t="shared" si="1"/>
        <v>3812.2183384187679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5.5042593768473303E-3</v>
      </c>
      <c r="H50" s="323">
        <f t="shared" si="2"/>
        <v>0</v>
      </c>
      <c r="I50" s="323">
        <f t="shared" si="2"/>
        <v>0</v>
      </c>
      <c r="J50" s="323">
        <f t="shared" si="2"/>
        <v>0</v>
      </c>
      <c r="K50" s="323">
        <f t="shared" si="2"/>
        <v>0</v>
      </c>
      <c r="L50" s="323">
        <f t="shared" si="2"/>
        <v>0</v>
      </c>
      <c r="M50" s="323">
        <f t="shared" si="2"/>
        <v>2.4170110908116251E-4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5.5042593768473303E-3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2.4170110908116251E-4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1528.9609380131474</v>
      </c>
      <c r="H54" s="22">
        <f t="shared" si="3"/>
        <v>0</v>
      </c>
      <c r="I54" s="22">
        <f t="shared" si="3"/>
        <v>0</v>
      </c>
      <c r="J54" s="22">
        <f t="shared" si="3"/>
        <v>0</v>
      </c>
      <c r="K54" s="22">
        <f t="shared" si="3"/>
        <v>0</v>
      </c>
      <c r="L54" s="22">
        <f t="shared" si="3"/>
        <v>0</v>
      </c>
      <c r="M54" s="22">
        <f t="shared" si="3"/>
        <v>67.139196966989587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0.197789576484388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408.23257044951038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23633.418438157834</v>
      </c>
      <c r="D10" s="688">
        <f ca="1">tertiair!C16</f>
        <v>0</v>
      </c>
      <c r="E10" s="688">
        <f ca="1">tertiair!D16</f>
        <v>22484.010746162578</v>
      </c>
      <c r="F10" s="688">
        <f>tertiair!E16</f>
        <v>366.26737615380989</v>
      </c>
      <c r="G10" s="688">
        <f ca="1">tertiair!F16</f>
        <v>4657.5875476272013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51141.284108101419</v>
      </c>
      <c r="S10" s="68"/>
    </row>
    <row r="11" spans="1:19" s="457" customFormat="1">
      <c r="A11" s="803" t="s">
        <v>225</v>
      </c>
      <c r="B11" s="808"/>
      <c r="C11" s="688">
        <f>huishoudens!B8</f>
        <v>33374.551903638763</v>
      </c>
      <c r="D11" s="688">
        <f>huishoudens!C8</f>
        <v>0</v>
      </c>
      <c r="E11" s="688">
        <f>huishoudens!D8</f>
        <v>66986.631743767721</v>
      </c>
      <c r="F11" s="688">
        <f>huishoudens!E8</f>
        <v>3747.8425344135726</v>
      </c>
      <c r="G11" s="688">
        <f>huishoudens!F8</f>
        <v>40654.29169450757</v>
      </c>
      <c r="H11" s="688">
        <f>huishoudens!G8</f>
        <v>0</v>
      </c>
      <c r="I11" s="688">
        <f>huishoudens!H8</f>
        <v>0</v>
      </c>
      <c r="J11" s="688">
        <f>huishoudens!I8</f>
        <v>0</v>
      </c>
      <c r="K11" s="688">
        <f>huishoudens!J8</f>
        <v>0</v>
      </c>
      <c r="L11" s="688">
        <f>huishoudens!K8</f>
        <v>0</v>
      </c>
      <c r="M11" s="688">
        <f>huishoudens!L8</f>
        <v>0</v>
      </c>
      <c r="N11" s="688">
        <f>huishoudens!M8</f>
        <v>0</v>
      </c>
      <c r="O11" s="688">
        <f>huishoudens!N8</f>
        <v>37286.612534932421</v>
      </c>
      <c r="P11" s="688">
        <f>huishoudens!O8</f>
        <v>165.71333333333337</v>
      </c>
      <c r="Q11" s="689">
        <f>huishoudens!P8</f>
        <v>705.4666666666667</v>
      </c>
      <c r="R11" s="691">
        <f>SUM(C11:Q11)</f>
        <v>182921.11041126007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13080.377497912146</v>
      </c>
      <c r="D13" s="688">
        <f>industrie!C18</f>
        <v>0</v>
      </c>
      <c r="E13" s="688">
        <f>industrie!D18</f>
        <v>3951.7015167451077</v>
      </c>
      <c r="F13" s="688">
        <f>industrie!E18</f>
        <v>125.4661191472216</v>
      </c>
      <c r="G13" s="688">
        <f>industrie!F18</f>
        <v>2377.6580804301648</v>
      </c>
      <c r="H13" s="688">
        <f>industrie!G18</f>
        <v>0</v>
      </c>
      <c r="I13" s="688">
        <f>industrie!H18</f>
        <v>0</v>
      </c>
      <c r="J13" s="688">
        <f>industrie!I18</f>
        <v>0</v>
      </c>
      <c r="K13" s="688">
        <f>industrie!J18</f>
        <v>4.5741132351522724</v>
      </c>
      <c r="L13" s="688">
        <f>industrie!K18</f>
        <v>0</v>
      </c>
      <c r="M13" s="688">
        <f>industrie!L18</f>
        <v>0</v>
      </c>
      <c r="N13" s="688">
        <f>industrie!M18</f>
        <v>0</v>
      </c>
      <c r="O13" s="688">
        <f>industrie!N18</f>
        <v>316.85032047527142</v>
      </c>
      <c r="P13" s="688">
        <f>industrie!O18</f>
        <v>0</v>
      </c>
      <c r="Q13" s="689">
        <f>industrie!P18</f>
        <v>0</v>
      </c>
      <c r="R13" s="691">
        <f>SUM(C13:Q13)</f>
        <v>19856.627647945068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70088.347839708746</v>
      </c>
      <c r="D16" s="721">
        <f t="shared" ref="D16:R16" ca="1" si="0">SUM(D9:D15)</f>
        <v>0</v>
      </c>
      <c r="E16" s="721">
        <f t="shared" ca="1" si="0"/>
        <v>93422.344006675397</v>
      </c>
      <c r="F16" s="721">
        <f t="shared" si="0"/>
        <v>4239.5760297146035</v>
      </c>
      <c r="G16" s="721">
        <f t="shared" ca="1" si="0"/>
        <v>47689.537322564938</v>
      </c>
      <c r="H16" s="721">
        <f t="shared" si="0"/>
        <v>0</v>
      </c>
      <c r="I16" s="721">
        <f t="shared" si="0"/>
        <v>0</v>
      </c>
      <c r="J16" s="721">
        <f t="shared" si="0"/>
        <v>0</v>
      </c>
      <c r="K16" s="721">
        <f t="shared" si="0"/>
        <v>4.5741132351522724</v>
      </c>
      <c r="L16" s="721">
        <f t="shared" si="0"/>
        <v>0</v>
      </c>
      <c r="M16" s="721">
        <f t="shared" ca="1" si="0"/>
        <v>0</v>
      </c>
      <c r="N16" s="721">
        <f t="shared" si="0"/>
        <v>0</v>
      </c>
      <c r="O16" s="721">
        <f t="shared" ca="1" si="0"/>
        <v>37603.462855407692</v>
      </c>
      <c r="P16" s="721">
        <f t="shared" si="0"/>
        <v>165.71333333333337</v>
      </c>
      <c r="Q16" s="721">
        <f t="shared" si="0"/>
        <v>705.4666666666667</v>
      </c>
      <c r="R16" s="721">
        <f t="shared" ca="1" si="0"/>
        <v>253919.02216730657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1528.9609380131474</v>
      </c>
      <c r="I19" s="688">
        <f>transport!H54</f>
        <v>0</v>
      </c>
      <c r="J19" s="688">
        <f>transport!I54</f>
        <v>0</v>
      </c>
      <c r="K19" s="688">
        <f>transport!J54</f>
        <v>0</v>
      </c>
      <c r="L19" s="688">
        <f>transport!K54</f>
        <v>0</v>
      </c>
      <c r="M19" s="688">
        <f>transport!L54</f>
        <v>0</v>
      </c>
      <c r="N19" s="688">
        <f>transport!M54</f>
        <v>67.139196966989587</v>
      </c>
      <c r="O19" s="688">
        <f>transport!N54</f>
        <v>0</v>
      </c>
      <c r="P19" s="688">
        <f>transport!O54</f>
        <v>0</v>
      </c>
      <c r="Q19" s="689">
        <f>transport!P54</f>
        <v>0</v>
      </c>
      <c r="R19" s="691">
        <f>SUM(C19:Q19)</f>
        <v>1596.100134980137</v>
      </c>
      <c r="S19" s="68"/>
    </row>
    <row r="20" spans="1:19" s="457" customFormat="1">
      <c r="A20" s="803" t="s">
        <v>307</v>
      </c>
      <c r="B20" s="808"/>
      <c r="C20" s="688">
        <f>transport!B14</f>
        <v>2.4893759663931307</v>
      </c>
      <c r="D20" s="688">
        <f>transport!C14</f>
        <v>0</v>
      </c>
      <c r="E20" s="688">
        <f>transport!D14</f>
        <v>6.8922419209126371</v>
      </c>
      <c r="F20" s="688">
        <f>transport!E14</f>
        <v>399.54213829408303</v>
      </c>
      <c r="G20" s="688">
        <f>transport!F14</f>
        <v>0</v>
      </c>
      <c r="H20" s="688">
        <f>transport!G14</f>
        <v>75782.052340296606</v>
      </c>
      <c r="I20" s="688">
        <f>transport!H14</f>
        <v>15310.113808910713</v>
      </c>
      <c r="J20" s="688">
        <f>transport!I14</f>
        <v>0</v>
      </c>
      <c r="K20" s="688">
        <f>transport!J14</f>
        <v>0</v>
      </c>
      <c r="L20" s="688">
        <f>transport!K14</f>
        <v>0</v>
      </c>
      <c r="M20" s="688">
        <f>transport!L14</f>
        <v>0</v>
      </c>
      <c r="N20" s="688">
        <f>transport!M14</f>
        <v>4074.9238615467511</v>
      </c>
      <c r="O20" s="688">
        <f>transport!N14</f>
        <v>0</v>
      </c>
      <c r="P20" s="688">
        <f>transport!O14</f>
        <v>0</v>
      </c>
      <c r="Q20" s="689">
        <f>transport!P14</f>
        <v>0</v>
      </c>
      <c r="R20" s="691">
        <f>SUM(C20:Q20)</f>
        <v>95576.013766935459</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2.4893759663931307</v>
      </c>
      <c r="D22" s="806">
        <f t="shared" ref="D22:R22" si="1">SUM(D18:D21)</f>
        <v>0</v>
      </c>
      <c r="E22" s="806">
        <f t="shared" si="1"/>
        <v>6.8922419209126371</v>
      </c>
      <c r="F22" s="806">
        <f t="shared" si="1"/>
        <v>399.54213829408303</v>
      </c>
      <c r="G22" s="806">
        <f t="shared" si="1"/>
        <v>0</v>
      </c>
      <c r="H22" s="806">
        <f t="shared" si="1"/>
        <v>77311.013278309751</v>
      </c>
      <c r="I22" s="806">
        <f t="shared" si="1"/>
        <v>15310.113808910713</v>
      </c>
      <c r="J22" s="806">
        <f t="shared" si="1"/>
        <v>0</v>
      </c>
      <c r="K22" s="806">
        <f t="shared" si="1"/>
        <v>0</v>
      </c>
      <c r="L22" s="806">
        <f t="shared" si="1"/>
        <v>0</v>
      </c>
      <c r="M22" s="806">
        <f t="shared" si="1"/>
        <v>0</v>
      </c>
      <c r="N22" s="806">
        <f t="shared" si="1"/>
        <v>4142.0630585137405</v>
      </c>
      <c r="O22" s="806">
        <f t="shared" si="1"/>
        <v>0</v>
      </c>
      <c r="P22" s="806">
        <f t="shared" si="1"/>
        <v>0</v>
      </c>
      <c r="Q22" s="806">
        <f t="shared" si="1"/>
        <v>0</v>
      </c>
      <c r="R22" s="806">
        <f t="shared" si="1"/>
        <v>97172.113901915596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4223.2666949307541</v>
      </c>
      <c r="D24" s="688">
        <f>+landbouw!C8</f>
        <v>7.5</v>
      </c>
      <c r="E24" s="688">
        <f>+landbouw!D8</f>
        <v>103.50856792722568</v>
      </c>
      <c r="F24" s="688">
        <f>+landbouw!E8</f>
        <v>39.786001947755615</v>
      </c>
      <c r="G24" s="688">
        <f>+landbouw!F8</f>
        <v>13781.920804683843</v>
      </c>
      <c r="H24" s="688">
        <f>+landbouw!G8</f>
        <v>0</v>
      </c>
      <c r="I24" s="688">
        <f>+landbouw!H8</f>
        <v>0</v>
      </c>
      <c r="J24" s="688">
        <f>+landbouw!I8</f>
        <v>0</v>
      </c>
      <c r="K24" s="688">
        <f>+landbouw!J8</f>
        <v>522.43863212819235</v>
      </c>
      <c r="L24" s="688">
        <f>+landbouw!K8</f>
        <v>0</v>
      </c>
      <c r="M24" s="688">
        <f>+landbouw!L8</f>
        <v>0</v>
      </c>
      <c r="N24" s="688">
        <f>+landbouw!M8</f>
        <v>0</v>
      </c>
      <c r="O24" s="688">
        <f>+landbouw!N8</f>
        <v>0</v>
      </c>
      <c r="P24" s="688">
        <f>+landbouw!O8</f>
        <v>0</v>
      </c>
      <c r="Q24" s="689">
        <f>+landbouw!P8</f>
        <v>0</v>
      </c>
      <c r="R24" s="691">
        <f>SUM(C24:Q24)</f>
        <v>18678.420701617772</v>
      </c>
      <c r="S24" s="68"/>
    </row>
    <row r="25" spans="1:19" s="457" customFormat="1" ht="15" thickBot="1">
      <c r="A25" s="825" t="s">
        <v>912</v>
      </c>
      <c r="B25" s="1001"/>
      <c r="C25" s="1002">
        <f>IF(Onbekend_ele_kWh="---",0,Onbekend_ele_kWh)/1000+IF(REST_rest_ele_kWh="---",0,REST_rest_ele_kWh)/1000</f>
        <v>2096.8370034077302</v>
      </c>
      <c r="D25" s="1002"/>
      <c r="E25" s="1002">
        <f>IF(onbekend_gas_kWh="---",0,onbekend_gas_kWh)/1000+IF(REST_rest_gas_kWh="---",0,REST_rest_gas_kWh)/1000</f>
        <v>4207.1207956968701</v>
      </c>
      <c r="F25" s="1002"/>
      <c r="G25" s="1002"/>
      <c r="H25" s="1002"/>
      <c r="I25" s="1002"/>
      <c r="J25" s="1002"/>
      <c r="K25" s="1002"/>
      <c r="L25" s="1002"/>
      <c r="M25" s="1002"/>
      <c r="N25" s="1002"/>
      <c r="O25" s="1002"/>
      <c r="P25" s="1002"/>
      <c r="Q25" s="1003"/>
      <c r="R25" s="691">
        <f>SUM(C25:Q25)</f>
        <v>6303.9577991046008</v>
      </c>
      <c r="S25" s="68"/>
    </row>
    <row r="26" spans="1:19" s="457" customFormat="1" ht="15.75" thickBot="1">
      <c r="A26" s="694" t="s">
        <v>913</v>
      </c>
      <c r="B26" s="811"/>
      <c r="C26" s="806">
        <f>SUM(C24:C25)</f>
        <v>6320.1036983384838</v>
      </c>
      <c r="D26" s="806">
        <f t="shared" ref="D26:R26" si="2">SUM(D24:D25)</f>
        <v>7.5</v>
      </c>
      <c r="E26" s="806">
        <f t="shared" si="2"/>
        <v>4310.6293636240962</v>
      </c>
      <c r="F26" s="806">
        <f t="shared" si="2"/>
        <v>39.786001947755615</v>
      </c>
      <c r="G26" s="806">
        <f t="shared" si="2"/>
        <v>13781.920804683843</v>
      </c>
      <c r="H26" s="806">
        <f t="shared" si="2"/>
        <v>0</v>
      </c>
      <c r="I26" s="806">
        <f t="shared" si="2"/>
        <v>0</v>
      </c>
      <c r="J26" s="806">
        <f t="shared" si="2"/>
        <v>0</v>
      </c>
      <c r="K26" s="806">
        <f t="shared" si="2"/>
        <v>522.43863212819235</v>
      </c>
      <c r="L26" s="806">
        <f t="shared" si="2"/>
        <v>0</v>
      </c>
      <c r="M26" s="806">
        <f t="shared" si="2"/>
        <v>0</v>
      </c>
      <c r="N26" s="806">
        <f t="shared" si="2"/>
        <v>0</v>
      </c>
      <c r="O26" s="806">
        <f t="shared" si="2"/>
        <v>0</v>
      </c>
      <c r="P26" s="806">
        <f t="shared" si="2"/>
        <v>0</v>
      </c>
      <c r="Q26" s="806">
        <f t="shared" si="2"/>
        <v>0</v>
      </c>
      <c r="R26" s="806">
        <f t="shared" si="2"/>
        <v>24982.378500722371</v>
      </c>
      <c r="S26" s="68"/>
    </row>
    <row r="27" spans="1:19" s="457" customFormat="1" ht="17.25" thickTop="1" thickBot="1">
      <c r="A27" s="695" t="s">
        <v>116</v>
      </c>
      <c r="B27" s="798"/>
      <c r="C27" s="696">
        <f ca="1">C22+C16+C26</f>
        <v>76410.940914013627</v>
      </c>
      <c r="D27" s="696">
        <f t="shared" ref="D27:R27" ca="1" si="3">D22+D16+D26</f>
        <v>7.5</v>
      </c>
      <c r="E27" s="696">
        <f t="shared" ca="1" si="3"/>
        <v>97739.865612220412</v>
      </c>
      <c r="F27" s="696">
        <f t="shared" si="3"/>
        <v>4678.9041699564423</v>
      </c>
      <c r="G27" s="696">
        <f t="shared" ca="1" si="3"/>
        <v>61471.458127248785</v>
      </c>
      <c r="H27" s="696">
        <f t="shared" si="3"/>
        <v>77311.013278309751</v>
      </c>
      <c r="I27" s="696">
        <f t="shared" si="3"/>
        <v>15310.113808910713</v>
      </c>
      <c r="J27" s="696">
        <f t="shared" si="3"/>
        <v>0</v>
      </c>
      <c r="K27" s="696">
        <f t="shared" si="3"/>
        <v>527.01274536334461</v>
      </c>
      <c r="L27" s="696">
        <f t="shared" si="3"/>
        <v>0</v>
      </c>
      <c r="M27" s="696">
        <f t="shared" ca="1" si="3"/>
        <v>0</v>
      </c>
      <c r="N27" s="696">
        <f t="shared" si="3"/>
        <v>4142.0630585137405</v>
      </c>
      <c r="O27" s="696">
        <f t="shared" ca="1" si="3"/>
        <v>37603.462855407692</v>
      </c>
      <c r="P27" s="696">
        <f t="shared" si="3"/>
        <v>165.71333333333337</v>
      </c>
      <c r="Q27" s="696">
        <f t="shared" si="3"/>
        <v>705.4666666666667</v>
      </c>
      <c r="R27" s="696">
        <f t="shared" ca="1" si="3"/>
        <v>376073.51456994453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4674.4438237615641</v>
      </c>
      <c r="D40" s="688">
        <f ca="1">tertiair!C20</f>
        <v>0</v>
      </c>
      <c r="E40" s="688">
        <f ca="1">tertiair!D20</f>
        <v>4541.7701707248407</v>
      </c>
      <c r="F40" s="688">
        <f>tertiair!E20</f>
        <v>83.142694386914854</v>
      </c>
      <c r="G40" s="688">
        <f ca="1">tertiair!F20</f>
        <v>1243.5758752164629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10542.932564089784</v>
      </c>
    </row>
    <row r="41" spans="1:18">
      <c r="A41" s="816" t="s">
        <v>225</v>
      </c>
      <c r="B41" s="823"/>
      <c r="C41" s="688">
        <f ca="1">huishoudens!B12</f>
        <v>6601.1384863769363</v>
      </c>
      <c r="D41" s="688">
        <f ca="1">huishoudens!C12</f>
        <v>0</v>
      </c>
      <c r="E41" s="688">
        <f>huishoudens!D12</f>
        <v>13531.29961224108</v>
      </c>
      <c r="F41" s="688">
        <f>huishoudens!E12</f>
        <v>850.760255311881</v>
      </c>
      <c r="G41" s="688">
        <f>huishoudens!F12</f>
        <v>10854.695882433522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31837.89423636342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2587.1623255679619</v>
      </c>
      <c r="D43" s="688">
        <f ca="1">industrie!C22</f>
        <v>0</v>
      </c>
      <c r="E43" s="688">
        <f>industrie!D22</f>
        <v>798.24370638251185</v>
      </c>
      <c r="F43" s="688">
        <f>industrie!E22</f>
        <v>28.480809046419306</v>
      </c>
      <c r="G43" s="688">
        <f>industrie!F22</f>
        <v>634.83470747485399</v>
      </c>
      <c r="H43" s="688">
        <f>industrie!G22</f>
        <v>0</v>
      </c>
      <c r="I43" s="688">
        <f>industrie!H22</f>
        <v>0</v>
      </c>
      <c r="J43" s="688">
        <f>industrie!I22</f>
        <v>0</v>
      </c>
      <c r="K43" s="688">
        <f>industrie!J22</f>
        <v>1.6192360852439043</v>
      </c>
      <c r="L43" s="688">
        <f>industrie!K22</f>
        <v>0</v>
      </c>
      <c r="M43" s="688">
        <f>industrie!L22</f>
        <v>0</v>
      </c>
      <c r="N43" s="688">
        <f>industrie!M22</f>
        <v>0</v>
      </c>
      <c r="O43" s="688">
        <f>industrie!N22</f>
        <v>0</v>
      </c>
      <c r="P43" s="688">
        <f>industrie!O22</f>
        <v>0</v>
      </c>
      <c r="Q43" s="763">
        <f>industrie!P22</f>
        <v>0</v>
      </c>
      <c r="R43" s="843">
        <f t="shared" ca="1" si="4"/>
        <v>4050.3407845569909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13862.744635706462</v>
      </c>
      <c r="D46" s="721">
        <f t="shared" ref="D46:Q46" ca="1" si="5">SUM(D39:D45)</f>
        <v>0</v>
      </c>
      <c r="E46" s="721">
        <f t="shared" ca="1" si="5"/>
        <v>18871.313489348435</v>
      </c>
      <c r="F46" s="721">
        <f t="shared" si="5"/>
        <v>962.38375874521512</v>
      </c>
      <c r="G46" s="721">
        <f t="shared" ca="1" si="5"/>
        <v>12733.10646512484</v>
      </c>
      <c r="H46" s="721">
        <f t="shared" si="5"/>
        <v>0</v>
      </c>
      <c r="I46" s="721">
        <f t="shared" si="5"/>
        <v>0</v>
      </c>
      <c r="J46" s="721">
        <f t="shared" si="5"/>
        <v>0</v>
      </c>
      <c r="K46" s="721">
        <f t="shared" si="5"/>
        <v>1.6192360852439043</v>
      </c>
      <c r="L46" s="721">
        <f t="shared" si="5"/>
        <v>0</v>
      </c>
      <c r="M46" s="721">
        <f t="shared" ca="1" si="5"/>
        <v>0</v>
      </c>
      <c r="N46" s="721">
        <f t="shared" si="5"/>
        <v>0</v>
      </c>
      <c r="O46" s="721">
        <f t="shared" ca="1" si="5"/>
        <v>0</v>
      </c>
      <c r="P46" s="721">
        <f t="shared" si="5"/>
        <v>0</v>
      </c>
      <c r="Q46" s="721">
        <f t="shared" si="5"/>
        <v>0</v>
      </c>
      <c r="R46" s="721">
        <f ca="1">SUM(R39:R45)</f>
        <v>46431.167585010189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408.23257044951038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408.23257044951038</v>
      </c>
    </row>
    <row r="50" spans="1:18">
      <c r="A50" s="819" t="s">
        <v>307</v>
      </c>
      <c r="B50" s="829"/>
      <c r="C50" s="1008">
        <f ca="1">transport!B18</f>
        <v>0.4923726181033114</v>
      </c>
      <c r="D50" s="1008">
        <f>transport!C18</f>
        <v>0</v>
      </c>
      <c r="E50" s="1008">
        <f>transport!D18</f>
        <v>1.3922328680243528</v>
      </c>
      <c r="F50" s="1008">
        <f>transport!E18</f>
        <v>90.69606539275685</v>
      </c>
      <c r="G50" s="1008">
        <f>transport!F18</f>
        <v>0</v>
      </c>
      <c r="H50" s="1008">
        <f>transport!G18</f>
        <v>20233.807974859195</v>
      </c>
      <c r="I50" s="1008">
        <f>transport!H18</f>
        <v>3812.2183384187679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24138.606984156846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0.4923726181033114</v>
      </c>
      <c r="D52" s="721">
        <f t="shared" ref="D52:Q52" ca="1" si="6">SUM(D48:D51)</f>
        <v>0</v>
      </c>
      <c r="E52" s="721">
        <f t="shared" si="6"/>
        <v>1.3922328680243528</v>
      </c>
      <c r="F52" s="721">
        <f t="shared" si="6"/>
        <v>90.69606539275685</v>
      </c>
      <c r="G52" s="721">
        <f t="shared" si="6"/>
        <v>0</v>
      </c>
      <c r="H52" s="721">
        <f t="shared" si="6"/>
        <v>20642.040545308704</v>
      </c>
      <c r="I52" s="721">
        <f t="shared" si="6"/>
        <v>3812.2183384187679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24546.839554606355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835.31813097097483</v>
      </c>
      <c r="D54" s="1008">
        <f ca="1">+landbouw!C12</f>
        <v>0</v>
      </c>
      <c r="E54" s="1008">
        <f>+landbouw!D12</f>
        <v>20.908730721299591</v>
      </c>
      <c r="F54" s="1008">
        <f>+landbouw!E12</f>
        <v>9.0314224421405243</v>
      </c>
      <c r="G54" s="1008">
        <f>+landbouw!F12</f>
        <v>3679.7728548505861</v>
      </c>
      <c r="H54" s="1008">
        <f>+landbouw!G12</f>
        <v>0</v>
      </c>
      <c r="I54" s="1008">
        <f>+landbouw!H12</f>
        <v>0</v>
      </c>
      <c r="J54" s="1008">
        <f>+landbouw!I12</f>
        <v>0</v>
      </c>
      <c r="K54" s="1008">
        <f>+landbouw!J12</f>
        <v>184.94327577338009</v>
      </c>
      <c r="L54" s="1008">
        <f>+landbouw!K12</f>
        <v>0</v>
      </c>
      <c r="M54" s="1008">
        <f>+landbouw!L12</f>
        <v>0</v>
      </c>
      <c r="N54" s="1008">
        <f>+landbouw!M12</f>
        <v>0</v>
      </c>
      <c r="O54" s="1008">
        <f>+landbouw!N12</f>
        <v>0</v>
      </c>
      <c r="P54" s="1008">
        <f>+landbouw!O12</f>
        <v>0</v>
      </c>
      <c r="Q54" s="1009">
        <f>+landbouw!P12</f>
        <v>0</v>
      </c>
      <c r="R54" s="720">
        <f ca="1">SUM(C54:Q54)</f>
        <v>4729.9744147583815</v>
      </c>
    </row>
    <row r="55" spans="1:18" ht="15" thickBot="1">
      <c r="A55" s="819" t="s">
        <v>912</v>
      </c>
      <c r="B55" s="829"/>
      <c r="C55" s="1008">
        <f ca="1">C25*'EF ele_warmte'!B12</f>
        <v>414.73250286080821</v>
      </c>
      <c r="D55" s="1008"/>
      <c r="E55" s="1008">
        <f>E25*EF_CO2_aardgas</f>
        <v>849.83840073076783</v>
      </c>
      <c r="F55" s="1008"/>
      <c r="G55" s="1008"/>
      <c r="H55" s="1008"/>
      <c r="I55" s="1008"/>
      <c r="J55" s="1008"/>
      <c r="K55" s="1008"/>
      <c r="L55" s="1008"/>
      <c r="M55" s="1008"/>
      <c r="N55" s="1008"/>
      <c r="O55" s="1008"/>
      <c r="P55" s="1008"/>
      <c r="Q55" s="1009"/>
      <c r="R55" s="720">
        <f ca="1">SUM(C55:Q55)</f>
        <v>1264.5709035915761</v>
      </c>
    </row>
    <row r="56" spans="1:18" ht="15.75" thickBot="1">
      <c r="A56" s="817" t="s">
        <v>913</v>
      </c>
      <c r="B56" s="830"/>
      <c r="C56" s="721">
        <f ca="1">SUM(C54:C55)</f>
        <v>1250.050633831783</v>
      </c>
      <c r="D56" s="721">
        <f t="shared" ref="D56:Q56" ca="1" si="7">SUM(D54:D55)</f>
        <v>0</v>
      </c>
      <c r="E56" s="721">
        <f t="shared" si="7"/>
        <v>870.74713145206738</v>
      </c>
      <c r="F56" s="721">
        <f t="shared" si="7"/>
        <v>9.0314224421405243</v>
      </c>
      <c r="G56" s="721">
        <f t="shared" si="7"/>
        <v>3679.7728548505861</v>
      </c>
      <c r="H56" s="721">
        <f t="shared" si="7"/>
        <v>0</v>
      </c>
      <c r="I56" s="721">
        <f t="shared" si="7"/>
        <v>0</v>
      </c>
      <c r="J56" s="721">
        <f t="shared" si="7"/>
        <v>0</v>
      </c>
      <c r="K56" s="721">
        <f t="shared" si="7"/>
        <v>184.94327577338009</v>
      </c>
      <c r="L56" s="721">
        <f t="shared" si="7"/>
        <v>0</v>
      </c>
      <c r="M56" s="721">
        <f t="shared" si="7"/>
        <v>0</v>
      </c>
      <c r="N56" s="721">
        <f t="shared" si="7"/>
        <v>0</v>
      </c>
      <c r="O56" s="721">
        <f t="shared" si="7"/>
        <v>0</v>
      </c>
      <c r="P56" s="721">
        <f t="shared" si="7"/>
        <v>0</v>
      </c>
      <c r="Q56" s="722">
        <f t="shared" si="7"/>
        <v>0</v>
      </c>
      <c r="R56" s="723">
        <f ca="1">SUM(R54:R55)</f>
        <v>5994.5453183499576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15113.287642156349</v>
      </c>
      <c r="D61" s="729">
        <f t="shared" ref="D61:Q61" ca="1" si="8">D46+D52+D56</f>
        <v>0</v>
      </c>
      <c r="E61" s="729">
        <f t="shared" ca="1" si="8"/>
        <v>19743.452853668525</v>
      </c>
      <c r="F61" s="729">
        <f t="shared" si="8"/>
        <v>1062.1112465801125</v>
      </c>
      <c r="G61" s="729">
        <f t="shared" ca="1" si="8"/>
        <v>16412.879319975425</v>
      </c>
      <c r="H61" s="729">
        <f t="shared" si="8"/>
        <v>20642.040545308704</v>
      </c>
      <c r="I61" s="729">
        <f t="shared" si="8"/>
        <v>3812.2183384187679</v>
      </c>
      <c r="J61" s="729">
        <f t="shared" si="8"/>
        <v>0</v>
      </c>
      <c r="K61" s="729">
        <f t="shared" si="8"/>
        <v>186.56251185862399</v>
      </c>
      <c r="L61" s="729">
        <f t="shared" si="8"/>
        <v>0</v>
      </c>
      <c r="M61" s="729">
        <f t="shared" ca="1" si="8"/>
        <v>0</v>
      </c>
      <c r="N61" s="729">
        <f t="shared" si="8"/>
        <v>0</v>
      </c>
      <c r="O61" s="729">
        <f t="shared" ca="1" si="8"/>
        <v>0</v>
      </c>
      <c r="P61" s="729">
        <f t="shared" si="8"/>
        <v>0</v>
      </c>
      <c r="Q61" s="729">
        <f t="shared" si="8"/>
        <v>0</v>
      </c>
      <c r="R61" s="729">
        <f ca="1">R46+R52+R56</f>
        <v>76972.552457966507</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0.19778957648438797</v>
      </c>
      <c r="D63" s="773">
        <f t="shared" ca="1" si="9"/>
        <v>0</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1092.608619630452</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5589.9153615490086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1.5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1.6666666666666665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1341</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3831.4285714285716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8025.0239811794609</v>
      </c>
      <c r="C78" s="744">
        <f>SUM(C72:C77)</f>
        <v>0</v>
      </c>
      <c r="D78" s="745">
        <f t="shared" ref="D78:H78" si="10">SUM(D76:D77)</f>
        <v>0</v>
      </c>
      <c r="E78" s="745">
        <f t="shared" si="10"/>
        <v>0</v>
      </c>
      <c r="F78" s="745">
        <f t="shared" si="10"/>
        <v>0</v>
      </c>
      <c r="G78" s="745">
        <f t="shared" si="10"/>
        <v>0</v>
      </c>
      <c r="H78" s="745">
        <f t="shared" si="10"/>
        <v>0</v>
      </c>
      <c r="I78" s="745">
        <f>SUM(I76:I77)</f>
        <v>0</v>
      </c>
      <c r="J78" s="745">
        <f>SUM(J76:J77)</f>
        <v>3833.0952380952381</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8.3333333333333339</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7.5</v>
      </c>
      <c r="C90" s="744">
        <f>SUM(C87:C89)</f>
        <v>0</v>
      </c>
      <c r="D90" s="744">
        <f t="shared" ref="D90:H90" si="12">SUM(D87:D89)</f>
        <v>0</v>
      </c>
      <c r="E90" s="744">
        <f t="shared" si="12"/>
        <v>0</v>
      </c>
      <c r="F90" s="744">
        <f t="shared" si="12"/>
        <v>0</v>
      </c>
      <c r="G90" s="744">
        <f t="shared" si="12"/>
        <v>0</v>
      </c>
      <c r="H90" s="744">
        <f t="shared" si="12"/>
        <v>0</v>
      </c>
      <c r="I90" s="744">
        <f>SUM(I87:I89)</f>
        <v>0</v>
      </c>
      <c r="J90" s="744">
        <f>SUM(J87:J89)</f>
        <v>8.3333333333333339</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1092.608619630452</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5589.9153615490086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v>
      </c>
      <c r="C8" s="558">
        <f>B101</f>
        <v>0</v>
      </c>
      <c r="D8" s="991"/>
      <c r="E8" s="991">
        <f>E101</f>
        <v>0</v>
      </c>
      <c r="F8" s="992"/>
      <c r="G8" s="559"/>
      <c r="H8" s="991">
        <f>I101</f>
        <v>0</v>
      </c>
      <c r="I8" s="991">
        <f>G101+F101</f>
        <v>0</v>
      </c>
      <c r="J8" s="991">
        <f>H101+D101+C101</f>
        <v>1.6666666666666665</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1341</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8025.0239811794609</v>
      </c>
      <c r="C10" s="570">
        <f t="shared" ref="C10:L10" si="0">SUM(C8:C9)</f>
        <v>0</v>
      </c>
      <c r="D10" s="570">
        <f t="shared" si="0"/>
        <v>0</v>
      </c>
      <c r="E10" s="570">
        <f t="shared" si="0"/>
        <v>0</v>
      </c>
      <c r="F10" s="570">
        <f t="shared" si="0"/>
        <v>0</v>
      </c>
      <c r="G10" s="570">
        <f t="shared" si="0"/>
        <v>0</v>
      </c>
      <c r="H10" s="570">
        <f t="shared" si="0"/>
        <v>0</v>
      </c>
      <c r="I10" s="570">
        <f t="shared" si="0"/>
        <v>0</v>
      </c>
      <c r="J10" s="570">
        <f t="shared" si="0"/>
        <v>3833.0952380952381</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7.5</v>
      </c>
      <c r="C17" s="582">
        <f>B102</f>
        <v>0</v>
      </c>
      <c r="D17" s="583"/>
      <c r="E17" s="583">
        <f>E102</f>
        <v>0</v>
      </c>
      <c r="F17" s="584"/>
      <c r="G17" s="585"/>
      <c r="H17" s="582">
        <f>I102</f>
        <v>0</v>
      </c>
      <c r="I17" s="583">
        <f>G102+F102</f>
        <v>0</v>
      </c>
      <c r="J17" s="583">
        <f>H102+D102+C102</f>
        <v>8.3333333333333339</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7.5</v>
      </c>
      <c r="C20" s="569">
        <f>SUM(C17:C19)</f>
        <v>0</v>
      </c>
      <c r="D20" s="569">
        <f t="shared" ref="D20:L20" si="1">SUM(D17:D19)</f>
        <v>0</v>
      </c>
      <c r="E20" s="569">
        <f t="shared" si="1"/>
        <v>0</v>
      </c>
      <c r="F20" s="569">
        <f t="shared" si="1"/>
        <v>0</v>
      </c>
      <c r="G20" s="569">
        <f t="shared" si="1"/>
        <v>0</v>
      </c>
      <c r="H20" s="569">
        <f t="shared" si="1"/>
        <v>0</v>
      </c>
      <c r="I20" s="569">
        <f t="shared" si="1"/>
        <v>0</v>
      </c>
      <c r="J20" s="569">
        <f t="shared" si="1"/>
        <v>8.3333333333333339</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13017</v>
      </c>
      <c r="C28" s="789">
        <v>2460</v>
      </c>
      <c r="D28" s="642" t="s">
        <v>946</v>
      </c>
      <c r="E28" s="641" t="s">
        <v>947</v>
      </c>
      <c r="F28" s="641" t="s">
        <v>948</v>
      </c>
      <c r="G28" s="641" t="s">
        <v>949</v>
      </c>
      <c r="H28" s="641" t="s">
        <v>949</v>
      </c>
      <c r="I28" s="641" t="s">
        <v>947</v>
      </c>
      <c r="J28" s="788">
        <v>40799</v>
      </c>
      <c r="K28" s="788">
        <v>40969</v>
      </c>
      <c r="L28" s="641" t="s">
        <v>950</v>
      </c>
      <c r="M28" s="641">
        <v>1</v>
      </c>
      <c r="N28" s="641">
        <v>1.5</v>
      </c>
      <c r="O28" s="641">
        <v>7.5</v>
      </c>
      <c r="P28" s="641">
        <v>0</v>
      </c>
      <c r="Q28" s="641">
        <v>0</v>
      </c>
      <c r="R28" s="641">
        <v>0</v>
      </c>
      <c r="S28" s="641">
        <v>0</v>
      </c>
      <c r="T28" s="641">
        <v>0</v>
      </c>
      <c r="U28" s="641">
        <v>0</v>
      </c>
      <c r="V28" s="641">
        <v>10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0</v>
      </c>
      <c r="Q58" s="599">
        <f t="shared" si="2"/>
        <v>0</v>
      </c>
      <c r="R58" s="599">
        <f t="shared" si="2"/>
        <v>0</v>
      </c>
      <c r="S58" s="599">
        <f t="shared" si="2"/>
        <v>0</v>
      </c>
      <c r="T58" s="599">
        <f t="shared" si="2"/>
        <v>0</v>
      </c>
      <c r="U58" s="599">
        <f t="shared" si="2"/>
        <v>0</v>
      </c>
      <c r="V58" s="599">
        <f t="shared" si="2"/>
        <v>10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0</v>
      </c>
      <c r="Q61" s="604">
        <f t="shared" si="4"/>
        <v>0</v>
      </c>
      <c r="R61" s="604">
        <f t="shared" si="4"/>
        <v>0</v>
      </c>
      <c r="S61" s="604">
        <f t="shared" si="4"/>
        <v>0</v>
      </c>
      <c r="T61" s="604">
        <f t="shared" si="4"/>
        <v>0</v>
      </c>
      <c r="U61" s="604">
        <f t="shared" si="4"/>
        <v>0</v>
      </c>
      <c r="V61" s="604">
        <f t="shared" si="4"/>
        <v>10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13017</v>
      </c>
      <c r="C64" s="789">
        <v>2460</v>
      </c>
      <c r="D64" s="644" t="s">
        <v>951</v>
      </c>
      <c r="E64" s="644" t="s">
        <v>952</v>
      </c>
      <c r="F64" s="644" t="s">
        <v>953</v>
      </c>
      <c r="G64" s="644" t="s">
        <v>954</v>
      </c>
      <c r="H64" s="644" t="s">
        <v>955</v>
      </c>
      <c r="I64" s="644" t="s">
        <v>956</v>
      </c>
      <c r="J64" s="788">
        <v>38768</v>
      </c>
      <c r="K64" s="788">
        <v>39052</v>
      </c>
      <c r="L64" s="644" t="s">
        <v>957</v>
      </c>
      <c r="M64" s="644">
        <v>298</v>
      </c>
      <c r="N64" s="644">
        <v>1341</v>
      </c>
      <c r="O64" s="644">
        <v>0</v>
      </c>
      <c r="P64" s="644">
        <v>0</v>
      </c>
      <c r="Q64" s="644">
        <v>3831.4285714285716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298</v>
      </c>
      <c r="N89" s="599">
        <f t="shared" ref="N89:W89" si="5">SUM(N64:N88)</f>
        <v>1341</v>
      </c>
      <c r="O89" s="599">
        <f t="shared" si="5"/>
        <v>0</v>
      </c>
      <c r="P89" s="599">
        <f t="shared" si="5"/>
        <v>0</v>
      </c>
      <c r="Q89" s="599">
        <f t="shared" si="5"/>
        <v>3831.4285714285716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298</v>
      </c>
      <c r="N91" s="599">
        <f t="shared" si="7"/>
        <v>1341</v>
      </c>
      <c r="O91" s="599">
        <f t="shared" si="7"/>
        <v>0</v>
      </c>
      <c r="P91" s="599">
        <f t="shared" si="7"/>
        <v>0</v>
      </c>
      <c r="Q91" s="599">
        <f t="shared" si="7"/>
        <v>3831.4285714285716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1.6666666666666665</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8.3333333333333339</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33374.551903638763</v>
      </c>
      <c r="C4" s="461">
        <f>huishoudens!C8</f>
        <v>0</v>
      </c>
      <c r="D4" s="461">
        <f>huishoudens!D8</f>
        <v>66986.631743767721</v>
      </c>
      <c r="E4" s="461">
        <f>huishoudens!E8</f>
        <v>3747.8425344135726</v>
      </c>
      <c r="F4" s="461">
        <f>huishoudens!F8</f>
        <v>40654.29169450757</v>
      </c>
      <c r="G4" s="461">
        <f>huishoudens!G8</f>
        <v>0</v>
      </c>
      <c r="H4" s="461">
        <f>huishoudens!H8</f>
        <v>0</v>
      </c>
      <c r="I4" s="461">
        <f>huishoudens!I8</f>
        <v>0</v>
      </c>
      <c r="J4" s="461">
        <f>huishoudens!J8</f>
        <v>0</v>
      </c>
      <c r="K4" s="461">
        <f>huishoudens!K8</f>
        <v>0</v>
      </c>
      <c r="L4" s="461">
        <f>huishoudens!L8</f>
        <v>0</v>
      </c>
      <c r="M4" s="461">
        <f>huishoudens!M8</f>
        <v>0</v>
      </c>
      <c r="N4" s="461">
        <f>huishoudens!N8</f>
        <v>37286.612534932421</v>
      </c>
      <c r="O4" s="461">
        <f>huishoudens!O8</f>
        <v>165.71333333333337</v>
      </c>
      <c r="P4" s="462">
        <f>huishoudens!P8</f>
        <v>705.4666666666667</v>
      </c>
      <c r="Q4" s="463">
        <f>SUM(B4:P4)</f>
        <v>182921.11041126007</v>
      </c>
    </row>
    <row r="5" spans="1:17">
      <c r="A5" s="460" t="s">
        <v>156</v>
      </c>
      <c r="B5" s="461">
        <f ca="1">tertiair!B16</f>
        <v>22861.857438157833</v>
      </c>
      <c r="C5" s="461">
        <f ca="1">tertiair!C16</f>
        <v>0</v>
      </c>
      <c r="D5" s="461">
        <f ca="1">tertiair!D16</f>
        <v>22484.010746162578</v>
      </c>
      <c r="E5" s="461">
        <f>tertiair!E16</f>
        <v>366.26737615380989</v>
      </c>
      <c r="F5" s="461">
        <f ca="1">tertiair!F16</f>
        <v>4657.5875476272013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50369.723108101418</v>
      </c>
    </row>
    <row r="6" spans="1:17">
      <c r="A6" s="460" t="s">
        <v>194</v>
      </c>
      <c r="B6" s="461">
        <f>'openbare verlichting'!B8</f>
        <v>771.56100000000004</v>
      </c>
      <c r="C6" s="461"/>
      <c r="D6" s="461"/>
      <c r="E6" s="461"/>
      <c r="F6" s="461"/>
      <c r="G6" s="461"/>
      <c r="H6" s="461"/>
      <c r="I6" s="461"/>
      <c r="J6" s="461"/>
      <c r="K6" s="461"/>
      <c r="L6" s="461"/>
      <c r="M6" s="461"/>
      <c r="N6" s="461"/>
      <c r="O6" s="461"/>
      <c r="P6" s="462"/>
      <c r="Q6" s="460">
        <f t="shared" si="0"/>
        <v>771.56100000000004</v>
      </c>
    </row>
    <row r="7" spans="1:17">
      <c r="A7" s="460" t="s">
        <v>112</v>
      </c>
      <c r="B7" s="461">
        <f>landbouw!B8</f>
        <v>4223.2666949307541</v>
      </c>
      <c r="C7" s="461">
        <f>landbouw!C8</f>
        <v>7.5</v>
      </c>
      <c r="D7" s="461">
        <f>landbouw!D8</f>
        <v>103.50856792722568</v>
      </c>
      <c r="E7" s="461">
        <f>landbouw!E8</f>
        <v>39.786001947755615</v>
      </c>
      <c r="F7" s="461">
        <f>landbouw!F8</f>
        <v>13781.920804683843</v>
      </c>
      <c r="G7" s="461">
        <f>landbouw!G8</f>
        <v>0</v>
      </c>
      <c r="H7" s="461">
        <f>landbouw!H8</f>
        <v>0</v>
      </c>
      <c r="I7" s="461">
        <f>landbouw!I8</f>
        <v>0</v>
      </c>
      <c r="J7" s="461">
        <f>landbouw!J8</f>
        <v>522.43863212819235</v>
      </c>
      <c r="K7" s="461">
        <f>landbouw!K8</f>
        <v>0</v>
      </c>
      <c r="L7" s="461">
        <f>landbouw!L8</f>
        <v>0</v>
      </c>
      <c r="M7" s="461">
        <f>landbouw!M8</f>
        <v>0</v>
      </c>
      <c r="N7" s="461">
        <f>landbouw!N8</f>
        <v>0</v>
      </c>
      <c r="O7" s="461">
        <f>landbouw!O8</f>
        <v>0</v>
      </c>
      <c r="P7" s="462">
        <f>landbouw!P8</f>
        <v>0</v>
      </c>
      <c r="Q7" s="460">
        <f t="shared" si="0"/>
        <v>18678.420701617772</v>
      </c>
    </row>
    <row r="8" spans="1:17">
      <c r="A8" s="460" t="s">
        <v>685</v>
      </c>
      <c r="B8" s="461">
        <f>industrie!B18</f>
        <v>13080.377497912146</v>
      </c>
      <c r="C8" s="461">
        <f>industrie!C18</f>
        <v>0</v>
      </c>
      <c r="D8" s="461">
        <f>industrie!D18</f>
        <v>3951.7015167451077</v>
      </c>
      <c r="E8" s="461">
        <f>industrie!E18</f>
        <v>125.4661191472216</v>
      </c>
      <c r="F8" s="461">
        <f>industrie!F18</f>
        <v>2377.6580804301648</v>
      </c>
      <c r="G8" s="461">
        <f>industrie!G18</f>
        <v>0</v>
      </c>
      <c r="H8" s="461">
        <f>industrie!H18</f>
        <v>0</v>
      </c>
      <c r="I8" s="461">
        <f>industrie!I18</f>
        <v>0</v>
      </c>
      <c r="J8" s="461">
        <f>industrie!J18</f>
        <v>4.5741132351522724</v>
      </c>
      <c r="K8" s="461">
        <f>industrie!K18</f>
        <v>0</v>
      </c>
      <c r="L8" s="461">
        <f>industrie!L18</f>
        <v>0</v>
      </c>
      <c r="M8" s="461">
        <f>industrie!M18</f>
        <v>0</v>
      </c>
      <c r="N8" s="461">
        <f>industrie!N18</f>
        <v>316.85032047527142</v>
      </c>
      <c r="O8" s="461">
        <f>industrie!O18</f>
        <v>0</v>
      </c>
      <c r="P8" s="462">
        <f>industrie!P18</f>
        <v>0</v>
      </c>
      <c r="Q8" s="460">
        <f t="shared" si="0"/>
        <v>19856.627647945068</v>
      </c>
    </row>
    <row r="9" spans="1:17" s="466" customFormat="1">
      <c r="A9" s="464" t="s">
        <v>579</v>
      </c>
      <c r="B9" s="465">
        <f>transport!B14</f>
        <v>2.4893759663931307</v>
      </c>
      <c r="C9" s="465">
        <f>transport!C14</f>
        <v>0</v>
      </c>
      <c r="D9" s="465">
        <f>transport!D14</f>
        <v>6.8922419209126371</v>
      </c>
      <c r="E9" s="465">
        <f>transport!E14</f>
        <v>399.54213829408303</v>
      </c>
      <c r="F9" s="465">
        <f>transport!F14</f>
        <v>0</v>
      </c>
      <c r="G9" s="465">
        <f>transport!G14</f>
        <v>75782.052340296606</v>
      </c>
      <c r="H9" s="465">
        <f>transport!H14</f>
        <v>15310.113808910713</v>
      </c>
      <c r="I9" s="465">
        <f>transport!I14</f>
        <v>0</v>
      </c>
      <c r="J9" s="465">
        <f>transport!J14</f>
        <v>0</v>
      </c>
      <c r="K9" s="465">
        <f>transport!K14</f>
        <v>0</v>
      </c>
      <c r="L9" s="465">
        <f>transport!L14</f>
        <v>0</v>
      </c>
      <c r="M9" s="465">
        <f>transport!M14</f>
        <v>4074.9238615467511</v>
      </c>
      <c r="N9" s="465">
        <f>transport!N14</f>
        <v>0</v>
      </c>
      <c r="O9" s="465">
        <f>transport!O14</f>
        <v>0</v>
      </c>
      <c r="P9" s="465">
        <f>transport!P14</f>
        <v>0</v>
      </c>
      <c r="Q9" s="464">
        <f>SUM(B9:P9)</f>
        <v>95576.013766935459</v>
      </c>
    </row>
    <row r="10" spans="1:17">
      <c r="A10" s="460" t="s">
        <v>569</v>
      </c>
      <c r="B10" s="461">
        <f>transport!B54</f>
        <v>0</v>
      </c>
      <c r="C10" s="461">
        <f>transport!C54</f>
        <v>0</v>
      </c>
      <c r="D10" s="461">
        <f>transport!D54</f>
        <v>0</v>
      </c>
      <c r="E10" s="461">
        <f>transport!E54</f>
        <v>0</v>
      </c>
      <c r="F10" s="461">
        <f>transport!F54</f>
        <v>0</v>
      </c>
      <c r="G10" s="461">
        <f>transport!G54</f>
        <v>1528.9609380131474</v>
      </c>
      <c r="H10" s="461">
        <f>transport!H54</f>
        <v>0</v>
      </c>
      <c r="I10" s="461">
        <f>transport!I54</f>
        <v>0</v>
      </c>
      <c r="J10" s="461">
        <f>transport!J54</f>
        <v>0</v>
      </c>
      <c r="K10" s="461">
        <f>transport!K54</f>
        <v>0</v>
      </c>
      <c r="L10" s="461">
        <f>transport!L54</f>
        <v>0</v>
      </c>
      <c r="M10" s="461">
        <f>transport!M54</f>
        <v>67.139196966989587</v>
      </c>
      <c r="N10" s="461">
        <f>transport!N54</f>
        <v>0</v>
      </c>
      <c r="O10" s="461">
        <f>transport!O54</f>
        <v>0</v>
      </c>
      <c r="P10" s="462">
        <f>transport!P54</f>
        <v>0</v>
      </c>
      <c r="Q10" s="460">
        <f t="shared" si="0"/>
        <v>1596.100134980137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2096.8370034077302</v>
      </c>
      <c r="C14" s="468"/>
      <c r="D14" s="468">
        <f>'SEAP template'!E25</f>
        <v>4207.1207956968701</v>
      </c>
      <c r="E14" s="468"/>
      <c r="F14" s="468"/>
      <c r="G14" s="468"/>
      <c r="H14" s="468"/>
      <c r="I14" s="468"/>
      <c r="J14" s="468"/>
      <c r="K14" s="468"/>
      <c r="L14" s="468"/>
      <c r="M14" s="468"/>
      <c r="N14" s="468"/>
      <c r="O14" s="468"/>
      <c r="P14" s="469"/>
      <c r="Q14" s="460">
        <f t="shared" si="0"/>
        <v>6303.9577991046008</v>
      </c>
    </row>
    <row r="15" spans="1:17" s="473" customFormat="1">
      <c r="A15" s="470" t="s">
        <v>573</v>
      </c>
      <c r="B15" s="471">
        <f ca="1">SUM(B4:B14)</f>
        <v>76410.940914013612</v>
      </c>
      <c r="C15" s="471">
        <f t="shared" ref="C15:Q15" ca="1" si="1">SUM(C4:C14)</f>
        <v>7.5</v>
      </c>
      <c r="D15" s="471">
        <f t="shared" ca="1" si="1"/>
        <v>97739.865612220412</v>
      </c>
      <c r="E15" s="471">
        <f t="shared" si="1"/>
        <v>4678.9041699564423</v>
      </c>
      <c r="F15" s="471">
        <f t="shared" ca="1" si="1"/>
        <v>61471.458127248785</v>
      </c>
      <c r="G15" s="471">
        <f t="shared" si="1"/>
        <v>77311.013278309751</v>
      </c>
      <c r="H15" s="471">
        <f t="shared" si="1"/>
        <v>15310.113808910713</v>
      </c>
      <c r="I15" s="471">
        <f t="shared" si="1"/>
        <v>0</v>
      </c>
      <c r="J15" s="471">
        <f t="shared" si="1"/>
        <v>527.01274536334461</v>
      </c>
      <c r="K15" s="471">
        <f t="shared" si="1"/>
        <v>0</v>
      </c>
      <c r="L15" s="471">
        <f t="shared" ca="1" si="1"/>
        <v>0</v>
      </c>
      <c r="M15" s="471">
        <f t="shared" si="1"/>
        <v>4142.0630585137405</v>
      </c>
      <c r="N15" s="471">
        <f t="shared" ca="1" si="1"/>
        <v>37603.462855407692</v>
      </c>
      <c r="O15" s="471">
        <f t="shared" si="1"/>
        <v>165.71333333333337</v>
      </c>
      <c r="P15" s="471">
        <f t="shared" si="1"/>
        <v>705.4666666666667</v>
      </c>
      <c r="Q15" s="471">
        <f t="shared" ca="1" si="1"/>
        <v>376073.51456994453</v>
      </c>
    </row>
    <row r="17" spans="1:17">
      <c r="A17" s="474" t="s">
        <v>574</v>
      </c>
      <c r="B17" s="778">
        <f ca="1">huishoudens!B10</f>
        <v>0.197789576484388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6601.1384863769363</v>
      </c>
      <c r="C22" s="461">
        <f t="shared" ref="C22:C32" ca="1" si="3">C4*$C$17</f>
        <v>0</v>
      </c>
      <c r="D22" s="461">
        <f t="shared" ref="D22:D32" si="4">D4*$D$17</f>
        <v>13531.29961224108</v>
      </c>
      <c r="E22" s="461">
        <f t="shared" ref="E22:E32" si="5">E4*$E$17</f>
        <v>850.760255311881</v>
      </c>
      <c r="F22" s="461">
        <f t="shared" ref="F22:F32" si="6">F4*$F$17</f>
        <v>10854.695882433522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31837.89423636342</v>
      </c>
    </row>
    <row r="23" spans="1:17">
      <c r="A23" s="460" t="s">
        <v>156</v>
      </c>
      <c r="B23" s="461">
        <f t="shared" ca="1" si="2"/>
        <v>4521.8371003396933</v>
      </c>
      <c r="C23" s="461">
        <f t="shared" ca="1" si="3"/>
        <v>0</v>
      </c>
      <c r="D23" s="461">
        <f t="shared" ca="1" si="4"/>
        <v>4541.7701707248407</v>
      </c>
      <c r="E23" s="461">
        <f t="shared" si="5"/>
        <v>83.142694386914854</v>
      </c>
      <c r="F23" s="461">
        <f t="shared" ca="1" si="6"/>
        <v>1243.5758752164629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10390.325840667912</v>
      </c>
    </row>
    <row r="24" spans="1:17">
      <c r="A24" s="460" t="s">
        <v>194</v>
      </c>
      <c r="B24" s="461">
        <f t="shared" ca="1" si="2"/>
        <v>152.6067234218709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152.6067234218709</v>
      </c>
    </row>
    <row r="25" spans="1:17">
      <c r="A25" s="460" t="s">
        <v>112</v>
      </c>
      <c r="B25" s="461">
        <f t="shared" ca="1" si="2"/>
        <v>835.31813097097483</v>
      </c>
      <c r="C25" s="461">
        <f t="shared" ca="1" si="3"/>
        <v>0</v>
      </c>
      <c r="D25" s="461">
        <f t="shared" si="4"/>
        <v>20.908730721299591</v>
      </c>
      <c r="E25" s="461">
        <f t="shared" si="5"/>
        <v>9.0314224421405243</v>
      </c>
      <c r="F25" s="461">
        <f t="shared" si="6"/>
        <v>3679.7728548505861</v>
      </c>
      <c r="G25" s="461">
        <f t="shared" si="7"/>
        <v>0</v>
      </c>
      <c r="H25" s="461">
        <f t="shared" si="8"/>
        <v>0</v>
      </c>
      <c r="I25" s="461">
        <f t="shared" si="9"/>
        <v>0</v>
      </c>
      <c r="J25" s="461">
        <f t="shared" si="10"/>
        <v>184.94327577338009</v>
      </c>
      <c r="K25" s="461">
        <f t="shared" si="11"/>
        <v>0</v>
      </c>
      <c r="L25" s="461">
        <f t="shared" si="12"/>
        <v>0</v>
      </c>
      <c r="M25" s="461">
        <f t="shared" si="13"/>
        <v>0</v>
      </c>
      <c r="N25" s="461">
        <f t="shared" si="14"/>
        <v>0</v>
      </c>
      <c r="O25" s="461">
        <f t="shared" si="15"/>
        <v>0</v>
      </c>
      <c r="P25" s="462">
        <f t="shared" si="16"/>
        <v>0</v>
      </c>
      <c r="Q25" s="460">
        <f t="shared" ca="1" si="17"/>
        <v>4729.9744147583815</v>
      </c>
    </row>
    <row r="26" spans="1:17">
      <c r="A26" s="460" t="s">
        <v>685</v>
      </c>
      <c r="B26" s="461">
        <f t="shared" ca="1" si="2"/>
        <v>2587.1623255679619</v>
      </c>
      <c r="C26" s="461">
        <f t="shared" ca="1" si="3"/>
        <v>0</v>
      </c>
      <c r="D26" s="461">
        <f t="shared" si="4"/>
        <v>798.24370638251185</v>
      </c>
      <c r="E26" s="461">
        <f t="shared" si="5"/>
        <v>28.480809046419306</v>
      </c>
      <c r="F26" s="461">
        <f t="shared" si="6"/>
        <v>634.83470747485399</v>
      </c>
      <c r="G26" s="461">
        <f t="shared" si="7"/>
        <v>0</v>
      </c>
      <c r="H26" s="461">
        <f t="shared" si="8"/>
        <v>0</v>
      </c>
      <c r="I26" s="461">
        <f t="shared" si="9"/>
        <v>0</v>
      </c>
      <c r="J26" s="461">
        <f t="shared" si="10"/>
        <v>1.6192360852439043</v>
      </c>
      <c r="K26" s="461">
        <f t="shared" si="11"/>
        <v>0</v>
      </c>
      <c r="L26" s="461">
        <f t="shared" si="12"/>
        <v>0</v>
      </c>
      <c r="M26" s="461">
        <f t="shared" si="13"/>
        <v>0</v>
      </c>
      <c r="N26" s="461">
        <f t="shared" si="14"/>
        <v>0</v>
      </c>
      <c r="O26" s="461">
        <f t="shared" si="15"/>
        <v>0</v>
      </c>
      <c r="P26" s="462">
        <f t="shared" si="16"/>
        <v>0</v>
      </c>
      <c r="Q26" s="460">
        <f t="shared" ca="1" si="17"/>
        <v>4050.3407845569909</v>
      </c>
    </row>
    <row r="27" spans="1:17" s="466" customFormat="1">
      <c r="A27" s="464" t="s">
        <v>579</v>
      </c>
      <c r="B27" s="772">
        <f t="shared" ca="1" si="2"/>
        <v>0.4923726181033114</v>
      </c>
      <c r="C27" s="465">
        <f t="shared" ca="1" si="3"/>
        <v>0</v>
      </c>
      <c r="D27" s="465">
        <f t="shared" si="4"/>
        <v>1.3922328680243528</v>
      </c>
      <c r="E27" s="465">
        <f t="shared" si="5"/>
        <v>90.69606539275685</v>
      </c>
      <c r="F27" s="465">
        <f t="shared" si="6"/>
        <v>0</v>
      </c>
      <c r="G27" s="465">
        <f t="shared" si="7"/>
        <v>20233.807974859195</v>
      </c>
      <c r="H27" s="465">
        <f t="shared" si="8"/>
        <v>3812.2183384187679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24138.606984156846</v>
      </c>
    </row>
    <row r="28" spans="1:17">
      <c r="A28" s="460" t="s">
        <v>569</v>
      </c>
      <c r="B28" s="461">
        <f t="shared" ca="1" si="2"/>
        <v>0</v>
      </c>
      <c r="C28" s="461">
        <f t="shared" ca="1" si="3"/>
        <v>0</v>
      </c>
      <c r="D28" s="461">
        <f t="shared" si="4"/>
        <v>0</v>
      </c>
      <c r="E28" s="461">
        <f t="shared" si="5"/>
        <v>0</v>
      </c>
      <c r="F28" s="461">
        <f t="shared" si="6"/>
        <v>0</v>
      </c>
      <c r="G28" s="461">
        <f t="shared" si="7"/>
        <v>408.23257044951038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408.23257044951038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414.73250286080821</v>
      </c>
      <c r="C32" s="461">
        <f t="shared" ca="1" si="3"/>
        <v>0</v>
      </c>
      <c r="D32" s="461">
        <f t="shared" si="4"/>
        <v>849.83840073076783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1264.5709035915761</v>
      </c>
    </row>
    <row r="33" spans="1:17" s="473" customFormat="1">
      <c r="A33" s="470" t="s">
        <v>573</v>
      </c>
      <c r="B33" s="471">
        <f ca="1">SUM(B22:B32)</f>
        <v>15113.287642156351</v>
      </c>
      <c r="C33" s="471">
        <f t="shared" ref="C33:Q33" ca="1" si="18">SUM(C22:C32)</f>
        <v>0</v>
      </c>
      <c r="D33" s="471">
        <f t="shared" ca="1" si="18"/>
        <v>19743.452853668528</v>
      </c>
      <c r="E33" s="471">
        <f t="shared" si="18"/>
        <v>1062.1112465801125</v>
      </c>
      <c r="F33" s="471">
        <f t="shared" ca="1" si="18"/>
        <v>16412.879319975425</v>
      </c>
      <c r="G33" s="471">
        <f t="shared" si="18"/>
        <v>20642.040545308704</v>
      </c>
      <c r="H33" s="471">
        <f t="shared" si="18"/>
        <v>3812.2183384187679</v>
      </c>
      <c r="I33" s="471">
        <f t="shared" si="18"/>
        <v>0</v>
      </c>
      <c r="J33" s="471">
        <f t="shared" si="18"/>
        <v>186.56251185862399</v>
      </c>
      <c r="K33" s="471">
        <f t="shared" si="18"/>
        <v>0</v>
      </c>
      <c r="L33" s="471">
        <f t="shared" ca="1" si="18"/>
        <v>0</v>
      </c>
      <c r="M33" s="471">
        <f t="shared" si="18"/>
        <v>0</v>
      </c>
      <c r="N33" s="471">
        <f t="shared" ca="1" si="18"/>
        <v>0</v>
      </c>
      <c r="O33" s="471">
        <f t="shared" si="18"/>
        <v>0</v>
      </c>
      <c r="P33" s="471">
        <f t="shared" si="18"/>
        <v>0</v>
      </c>
      <c r="Q33" s="471">
        <f t="shared" ca="1" si="18"/>
        <v>76972.552457966522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1092.608619630452</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5589.9153615490086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1.6666666666666665</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1341</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3831.4285714285716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8025.0239811794609</v>
      </c>
      <c r="C10" s="1041">
        <f>SUM(C4:C9)</f>
        <v>0</v>
      </c>
      <c r="D10" s="1041">
        <f t="shared" ref="D10:H10" si="0">SUM(D8:D9)</f>
        <v>0</v>
      </c>
      <c r="E10" s="1041">
        <f t="shared" si="0"/>
        <v>0</v>
      </c>
      <c r="F10" s="1041">
        <f t="shared" si="0"/>
        <v>0</v>
      </c>
      <c r="G10" s="1041">
        <f t="shared" si="0"/>
        <v>0</v>
      </c>
      <c r="H10" s="1041">
        <f t="shared" si="0"/>
        <v>0</v>
      </c>
      <c r="I10" s="1041">
        <f>SUM(I8:I9)</f>
        <v>0</v>
      </c>
      <c r="J10" s="1041">
        <f>SUM(J8:J9)</f>
        <v>3833.0952380952381</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0.197789576484388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7.5</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8.3333333333333339</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7.5</v>
      </c>
      <c r="C20" s="1041">
        <f>SUM(C17:C19)</f>
        <v>0</v>
      </c>
      <c r="D20" s="1041">
        <f t="shared" ref="D20:H20" si="2">SUM(D17:D19)</f>
        <v>0</v>
      </c>
      <c r="E20" s="1041">
        <f t="shared" si="2"/>
        <v>0</v>
      </c>
      <c r="F20" s="1041">
        <f t="shared" si="2"/>
        <v>0</v>
      </c>
      <c r="G20" s="1041">
        <f t="shared" si="2"/>
        <v>0</v>
      </c>
      <c r="H20" s="1041">
        <f t="shared" si="2"/>
        <v>0</v>
      </c>
      <c r="I20" s="1041">
        <f>SUM(I17:I19)</f>
        <v>0</v>
      </c>
      <c r="J20" s="1041">
        <f>SUM(J17:J19)</f>
        <v>8.3333333333333339</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0.197789576484388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2019-06-29T16:11:30Z</dcterms:modified>
</cp:coreProperties>
</file>