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<sst xmlns="http://schemas.openxmlformats.org/spreadsheetml/2006/main" count="2501" uniqueCount="956">
  <si>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</si>
  <si>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</si>
  <si>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</si>
  <si>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</si>
  <si>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</si>
  <si>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</si>
  <si>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</si>
  <si>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</si>
  <si>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</si>
  <si>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</si>
  <si>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</si>
  <si>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</si>
  <si>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</si>
  <si>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</si>
  <si>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</si>
  <si>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</si>
  <si>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</si>
  <si>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</si>
  <si>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</si>
  <si>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</si>
  <si>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</si>
  <si>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</si>
  <si>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</si>
  <si>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</si>
  <si>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</si>
  <si>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</si>
  <si>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</si>
  <si>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</si>
  <si>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</si>
  <si>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</si>
  <si>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</si>
  <si>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</si>
  <si>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</si>
  <si>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</si>
  <si>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</si>
  <si>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</si>
  <si>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</si>
  <si>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</si>
  <si>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</si>
  <si>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</si>
  <si>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</si>
  <si>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</si>
  <si>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</si>
  <si>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</si>
  <si>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</si>
  <si>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</si>
  <si>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</si>
  <si>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</si>
  <si>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</si>
  <si>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</si>
  <si>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</si>
  <si>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</si>
  <si>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</si>
  <si>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</si>
  <si>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</si>
  <si>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</si>
  <si>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</si>
  <si>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</si>
  <si>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</si>
  <si>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</si>
  <si>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</si>
  <si>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</si>
  <si>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</si>
  <si>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</si>
  <si>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</si>
  <si>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</si>
  <si>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</si>
  <si>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</si>
  <si>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</si>
  <si>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</si>
  <si>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</si>
  <si>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</si>
  <si>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</si>
  <si>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</si>
  <si>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</si>
  <si>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</si>
  <si>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</si>
  <si>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</si>
  <si>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</si>
  <si>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</si>
  <si>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</si>
  <si>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</si>
  <si>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</si>
  <si>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</si>
  <si>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</si>
  <si>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</si>
  <si>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</si>
  <si>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</si>
  <si>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</si>
  <si>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</si>
  <si>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</si>
  <si>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</si>
  <si>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</si>
  <si>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</si>
  <si>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</si>
  <si>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</si>
  <si>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</si>
  <si>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</si>
  <si>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</si>
  <si>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</si>
  <si>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</si>
  <si>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</si>
  <si>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</si>
  <si>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</si>
  <si>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</si>
  <si>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</si>
  <si>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</si>
  <si>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</si>
  <si>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</si>
  <si>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</si>
  <si>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</si>
  <si>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</si>
  <si>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</si>
  <si>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</si>
  <si>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</si>
  <si>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</si>
  <si>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</si>
  <si>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</si>
  <si>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</si>
  <si>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</si>
  <si>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</si>
  <si>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</si>
  <si>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</si>
  <si>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</si>
  <si>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</si>
  <si>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</si>
  <si>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</si>
  <si>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</si>
  <si>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</si>
  <si>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</si>
  <si>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</si>
  <si>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</si>
  <si>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</si>
  <si>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</si>
  <si>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</si>
  <si>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</si>
  <si>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</si>
  <si>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</si>
  <si>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</si>
  <si>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</si>
  <si>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</si>
  <si>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</si>
  <si>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</si>
  <si>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</si>
  <si>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</si>
  <si>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</si>
  <si>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</si>
  <si>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</si>
  <si>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</si>
  <si>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</si>
  <si>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</si>
  <si>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</si>
  <si>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</si>
  <si>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</si>
  <si>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</si>
  <si>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</si>
  <si>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</si>
  <si>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</si>
  <si>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</si>
  <si>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</si>
  <si>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</si>
  <si>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</si>
  <si>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</si>
  <si>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</si>
  <si>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</si>
  <si>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</si>
  <si>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</si>
  <si>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</si>
  <si>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</si>
  <si>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</si>
  <si>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</si>
  <si>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</si>
  <si>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</si>
  <si>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</si>
  <si>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</si>
  <si>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</si>
  <si>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</si>
  <si>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</si>
  <si>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</si>
  <si>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</si>
  <si>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</si>
  <si>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</si>
  <si>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</si>
  <si>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</si>
  <si>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</si>
  <si>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</si>
  <si>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</si>
  <si>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</si>
  <si>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</si>
  <si>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</si>
  <si>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</si>
  <si>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</si>
  <si>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</si>
  <si>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</si>
  <si>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</si>
  <si>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</si>
  <si>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</si>
  <si>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</si>
  <si>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</si>
  <si>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</si>
  <si>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</si>
  <si>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</si>
  <si>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</si>
  <si>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</si>
  <si>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</si>
  <si>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</si>
  <si>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</si>
  <si>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</si>
  <si>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</si>
  <si>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</si>
  <si>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</si>
  <si>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</si>
  <si>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</si>
  <si>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</si>
  <si>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</si>
  <si>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</si>
  <si>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</si>
  <si>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</si>
  <si>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</si>
  <si>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</si>
  <si>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</si>
  <si>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</si>
  <si>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</si>
  <si>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</si>
  <si>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</si>
  <si>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</si>
  <si>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</si>
  <si>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</si>
  <si>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</si>
  <si>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</si>
  <si>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</si>
  <si>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</si>
  <si>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</si>
  <si>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</si>
  <si>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</si>
  <si>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</si>
  <si>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</si>
  <si>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</si>
  <si>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</si>
  <si>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</si>
  <si>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</si>
  <si>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</si>
  <si>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</si>
  <si>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</si>
  <si>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</si>
  <si>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</si>
  <si>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</si>
  <si>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</si>
  <si>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</si>
  <si>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</si>
  <si>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</si>
  <si>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</si>
  <si>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</si>
  <si>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</si>
  <si>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</si>
  <si>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</si>
  <si>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</si>
  <si>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</si>
  <si>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</si>
  <si>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</si>
  <si>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</si>
  <si>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</si>
  <si>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</si>
  <si>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</si>
  <si>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</si>
  <si>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</si>
  <si>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</si>
  <si>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</si>
  <si>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</si>
  <si>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</si>
  <si>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</si>
  <si>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</si>
  <si>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</si>
  <si>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</si>
  <si>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</si>
  <si>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</si>
  <si>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</si>
  <si>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</si>
  <si>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</si>
  <si>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</si>
  <si>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</si>
  <si>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</si>
  <si>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</si>
  <si>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</si>
  <si>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</si>
  <si>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</si>
  <si>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</si>
  <si>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</si>
  <si>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</si>
  <si>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</si>
  <si>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</si>
  <si>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</si>
  <si>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</si>
  <si>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</si>
  <si>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</si>
  <si>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</si>
  <si>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</si>
  <si>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</si>
  <si>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</si>
  <si>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</si>
  <si>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</si>
  <si>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</si>
  <si>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</si>
  <si>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</si>
  <si>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</si>
  <si>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</si>
  <si>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</si>
  <si>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</si>
  <si>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</si>
  <si>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</si>
  <si>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</si>
  <si>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</si>
  <si>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</si>
  <si>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</si>
  <si>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</si>
  <si>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</si>
  <si>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</si>
  <si>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</si>
  <si>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</si>
  <si>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</si>
  <si>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</si>
  <si>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</si>
  <si>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</si>
  <si>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</si>
  <si>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</si>
  <si>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</si>
  <si>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</si>
  <si>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</si>
  <si>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</si>
  <si>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</si>
  <si>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</si>
  <si>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</si>
  <si>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</si>
  <si>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</si>
  <si>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</si>
  <si>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</si>
  <si>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</si>
  <si>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</si>
  <si>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</si>
  <si>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</si>
  <si>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</si>
  <si>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</si>
  <si>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</si>
  <si>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</si>
  <si>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</si>
  <si>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</si>
  <si>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</si>
  <si>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</si>
  <si>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</si>
  <si>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</si>
  <si>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</si>
  <si>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</si>
  <si>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</si>
  <si>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</si>
  <si>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</si>
  <si>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</si>
  <si>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</si>
  <si>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</si>
  <si>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</si>
  <si>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</si>
  <si>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</si>
  <si>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</si>
  <si>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</si>
  <si>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</si>
  <si>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</si>
  <si>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</si>
  <si>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</si>
  <si>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</si>
  <si>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</si>
  <si>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</si>
  <si>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</si>
  <si>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</si>
  <si>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</si>
  <si>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</si>
  <si>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</si>
  <si>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</si>
  <si>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</si>
  <si>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</si>
  <si>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</si>
  <si>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</si>
  <si>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</si>
  <si>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</si>
  <si>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</si>
  <si>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</si>
  <si>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</si>
  <si>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</si>
  <si>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</si>
  <si>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</si>
  <si>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</si>
  <si>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</si>
  <si>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</si>
  <si>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</si>
  <si>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</si>
  <si>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</si>
  <si>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</si>
  <si>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</si>
  <si>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</si>
  <si>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</si>
  <si>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</si>
  <si>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</si>
  <si>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</si>
  <si>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</si>
  <si>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</si>
  <si>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</si>
  <si>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</si>
  <si>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</si>
  <si>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</si>
  <si>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</si>
  <si>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</si>
  <si>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</si>
  <si>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</si>
  <si>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</si>
  <si>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</si>
  <si>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</si>
  <si>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</si>
  <si>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</si>
  <si>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</si>
  <si>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</si>
  <si>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</si>
  <si>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</si>
  <si>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</si>
  <si>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</si>
  <si>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</si>
  <si>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</si>
  <si>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</si>
  <si>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</si>
  <si>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</si>
  <si>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</si>
  <si>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</si>
  <si>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</si>
  <si>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</si>
  <si>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</si>
  <si>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</si>
  <si>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</si>
  <si>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</si>
  <si>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</si>
  <si>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</si>
  <si>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</si>
  <si>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</si>
  <si>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</si>
  <si>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</si>
  <si>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</si>
  <si>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</si>
  <si>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</si>
  <si>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</si>
  <si>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</si>
  <si>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</si>
  <si>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</si>
  <si>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</si>
  <si>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</si>
  <si>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</si>
  <si>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</si>
  <si>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</si>
  <si>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</si>
  <si>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</si>
  <si>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</si>
  <si>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</si>
  <si>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</si>
  <si>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</si>
  <si>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</si>
  <si>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</si>
  <si>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</si>
  <si>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</si>
  <si>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</si>
  <si>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</si>
  <si>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</si>
  <si>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</si>
  <si>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</si>
  <si>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</si>
  <si>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</si>
  <si>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</si>
  <si>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</si>
  <si>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</si>
  <si>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</si>
  <si>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</si>
  <si>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</si>
  <si>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</si>
  <si>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</si>
  <si>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</si>
  <si>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</si>
  <si>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</si>
  <si>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</si>
  <si>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</si>
  <si>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</si>
  <si>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</si>
  <si>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</si>
  <si>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</si>
  <si>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</si>
  <si>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</si>
  <si>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</si>
  <si>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</si>
  <si>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</si>
  <si>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</si>
  <si>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</si>
  <si>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</si>
  <si>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</si>
  <si>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</si>
  <si>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</si>
  <si>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</si>
  <si>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</si>
  <si>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</si>
  <si>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</si>
  <si>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</si>
  <si>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</si>
  <si>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</si>
  <si>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</si>
  <si>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</si>
  <si>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</si>
  <si>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</si>
  <si>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</si>
  <si>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</si>
  <si>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</si>
  <si>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</si>
  <si>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</si>
  <si>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</si>
  <si>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</si>
  <si>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</si>
  <si>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</si>
  <si>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</si>
  <si>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</si>
  <si>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</si>
  <si>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</si>
  <si>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</si>
  <si>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</si>
  <si>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</si>
  <si>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</si>
  <si>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</si>
  <si>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</si>
  <si>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</si>
  <si>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</si>
  <si>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</si>
  <si>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</si>
  <si>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</si>
  <si>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</si>
  <si>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</si>
  <si>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</si>
  <si>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</si>
  <si>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</si>
  <si>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</si>
  <si>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</si>
  <si>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</si>
  <si>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</si>
  <si>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</si>
  <si>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</si>
  <si>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</si>
  <si>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</si>
  <si>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</si>
  <si>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</si>
  <si>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</si>
  <si>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</si>
  <si>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</si>
  <si>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</si>
  <si>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</si>
  <si>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</si>
  <si>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</si>
  <si>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</si>
  <si>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</si>
  <si>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</si>
  <si>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</si>
  <si>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</si>
  <si>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</si>
  <si>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</si>
  <si>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</si>
  <si>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</si>
  <si>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</si>
  <si>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</si>
  <si>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</si>
  <si>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</si>
  <si>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</si>
  <si>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</si>
  <si>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</si>
  <si>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</si>
  <si>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</si>
  <si>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</si>
  <si>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</si>
  <si>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</si>
  <si>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</si>
  <si>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</si>
  <si>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</si>
  <si>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</si>
  <si>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</si>
  <si>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</si>
  <si>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</si>
  <si>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</si>
  <si>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</si>
  <si>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</si>
  <si>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</si>
  <si>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</si>
  <si>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</si>
  <si>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</si>
  <si>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</si>
  <si>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</si>
  <si>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</si>
  <si>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</si>
  <si>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</si>
  <si>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</si>
  <si>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</si>
  <si>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</si>
  <si>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</si>
  <si>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</si>
  <si>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</si>
  <si>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</si>
  <si>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</si>
  <si>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</si>
  <si>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</si>
  <si>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</si>
  <si>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</si>
  <si>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</si>
  <si>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</si>
  <si>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</si>
  <si>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</si>
  <si>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</si>
  <si>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</si>
  <si>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</si>
  <si>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</si>
  <si>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</si>
  <si>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</si>
  <si>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</si>
  <si>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</si>
  <si>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</si>
  <si>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</si>
  <si>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</si>
  <si>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</si>
  <si>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</si>
  <si>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</si>
  <si>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</si>
  <si>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</si>
  <si>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</si>
  <si>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</si>
  <si>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</si>
  <si>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</si>
  <si>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</si>
  <si>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</si>
  <si>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</si>
  <si>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</si>
  <si>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</si>
  <si>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</si>
  <si>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</si>
  <si>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</si>
  <si>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</si>
  <si>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</si>
  <si>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</si>
  <si>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</si>
  <si>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</si>
  <si>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</si>
  <si>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</si>
  <si>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</si>
  <si>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</si>
  <si>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</si>
  <si>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</si>
  <si>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</si>
  <si>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</si>
  <si>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</si>
  <si>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</si>
  <si>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</si>
  <si>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</si>
  <si>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</si>
  <si>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</si>
  <si>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</si>
  <si>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</si>
  <si>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</si>
  <si>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</si>
  <si>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</si>
  <si>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</si>
  <si>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</si>
  <si>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</si>
  <si>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</si>
  <si>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</si>
  <si>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</si>
  <si>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</si>
  <si>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</si>
  <si>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</si>
  <si>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</si>
  <si>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</si>
  <si>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</si>
  <si>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</si>
  <si>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</si>
  <si>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</si>
  <si>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</si>
  <si>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</si>
  <si>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</si>
  <si>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</si>
  <si>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</si>
  <si>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</si>
  <si>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</si>
  <si>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</si>
  <si>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</si>
  <si>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</si>
  <si>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</si>
  <si>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</si>
  <si>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</si>
  <si>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</si>
  <si>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</si>
  <si>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</si>
  <si>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</si>
  <si>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</si>
  <si>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</si>
  <si>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</si>
  <si>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</si>
  <si>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</si>
  <si>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</si>
  <si>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</si>
  <si>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</si>
  <si>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</si>
  <si>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</si>
  <si>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</si>
  <si>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</si>
  <si>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</si>
  <si>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</si>
  <si>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</si>
  <si>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</si>
  <si>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</si>
  <si>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</si>
  <si>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</si>
  <si>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</si>
  <si>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</si>
  <si>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</si>
  <si>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</si>
  <si>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</si>
  <si>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</si>
  <si>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</si>
  <si>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</si>
  <si>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</si>
  <si>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</si>
  <si>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</si>
  <si>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</si>
  <si>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</si>
  <si>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</si>
  <si>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</si>
  <si>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</si>
  <si>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</si>
  <si>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</si>
  <si>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</si>
  <si>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</si>
  <si>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</si>
  <si>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</si>
  <si>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</si>
  <si>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</si>
  <si>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</si>
  <si>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</si>
  <si>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</si>
  <si>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</si>
  <si>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</si>
  <si>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</si>
  <si>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</si>
  <si>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</si>
  <si>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</si>
  <si>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</si>
  <si>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</si>
  <si>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</si>
  <si>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</si>
  <si>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</si>
  <si>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</si>
  <si>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</si>
  <si>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</si>
  <si>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</si>
  <si>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</si>
  <si>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</si>
  <si>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</si>
  <si>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</si>
  <si>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</si>
  <si>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</si>
  <si>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</si>
  <si>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</si>
  <si>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</si>
  <si>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</si>
  <si>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</si>
  <si>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</si>
  <si>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</si>
  <si>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</si>
  <si>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</si>
  <si>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</si>
  <si>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</si>
  <si>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</si>
  <si>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</si>
  <si>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</si>
  <si>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</si>
  <si>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</si>
  <si>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</si>
  <si>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</si>
  <si>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</si>
  <si>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</si>
  <si>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</si>
  <si>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</si>
  <si>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</si>
  <si>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</si>
  <si>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</si>
  <si>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</si>
  <si>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</si>
  <si>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</si>
  <si>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</si>
  <si>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</si>
  <si>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</si>
  <si>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</si>
  <si>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</si>
  <si>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</si>
  <si>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</si>
  <si>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</si>
  <si>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</si>
  <si>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</si>
  <si>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</si>
  <si>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</si>
  <si>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</si>
  <si>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</si>
  <si>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</si>
  <si>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</si>
  <si>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</si>
  <si>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</si>
  <si>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</si>
  <si>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</si>
  <si>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</si>
  <si>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</si>
  <si>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</si>
  <si>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</si>
  <si>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</si>
  <si>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</si>
  <si>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</si>
  <si>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</si>
  <si>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</si>
  <si>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</si>
  <si>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</si>
  <si>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</si>
  <si>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</si>
  <si>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</si>
  <si>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</si>
  <si>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</si>
  <si>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</si>
  <si>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</si>
  <si>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</si>
  <si>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</si>
  <si>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</si>
  <si>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</si>
  <si>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</si>
  <si>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</si>
  <si>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</si>
  <si>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</si>
  <si>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</si>
  <si>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</si>
  <si>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</si>
  <si>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</si>
  <si>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</si>
  <si>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</si>
  <si>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</si>
  <si>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</si>
  <si>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</si>
  <si>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</si>
  <si>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</si>
  <si>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</si>
  <si>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</si>
  <si>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</si>
  <si>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</si>
  <si>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</si>
  <si>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</si>
  <si>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</si>
  <si>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</si>
  <si>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</si>
  <si>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</si>
  <si>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</si>
  <si>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</si>
  <si>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</si>
  <si>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</si>
  <si>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</si>
  <si>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</si>
  <si>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</si>
  <si>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</si>
  <si>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</si>
  <si>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</si>
  <si>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</si>
  <si>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</si>
  <si>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</si>
  <si>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</si>
  <si>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</si>
  <si>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</si>
  <si>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</si>
  <si>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</si>
  <si>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</si>
  <si>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</si>
  <si>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</si>
  <si>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</si>
  <si>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</si>
  <si>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</si>
  <si>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</si>
  <si>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</si>
  <si>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</si>
  <si>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</si>
  <si>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</si>
  <si>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</si>
  <si>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</si>
  <si>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</si>
  <si>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</si>
  <si>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</si>
  <si>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</si>
  <si>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</si>
  <si>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</si>
  <si>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</si>
  <si>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</si>
  <si>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</si>
  <si>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</si>
  <si>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</si>
  <si>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</si>
  <si>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</si>
  <si>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</si>
  <si>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</si>
  <si>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</si>
  <si>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</si>
  <si>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</si>
  <si>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</si>
  <si>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</si>
  <si>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</si>
  <si>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</si>
  <si>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</si>
  <si>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</si>
  <si>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</si>
  <si>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</si>
  <si>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</si>
  <si>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</si>
  <si>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</si>
  <si>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</si>
  <si>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</si>
  <si>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</si>
  <si>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</si>
  <si>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</si>
  <si>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</si>
  <si>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</si>
  <si>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</si>
  <si>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</si>
  <si>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</si>
  <si>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</si>
  <si>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</si>
  <si>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</si>
  <si>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</si>
  <si>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</si>
  <si>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</si>
  <si>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</si>
  <si>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</si>
  <si>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</si>
  <si>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</si>
  <si>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</si>
  <si>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</si>
  <si>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</si>
  <si>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12030</t>
  </si>
  <si>
    <t>PUURS</t>
  </si>
  <si>
    <t>Paarden&amp;pony's 200 - 600 kg</t>
  </si>
  <si>
    <t>Paarden&amp;pony's &lt; 200 kg</t>
  </si>
  <si>
    <t>op basis van VEA (maart 2018) en Inventaris Hernieuwbare Energiebronnen (juni 2018)</t>
  </si>
  <si>
    <t>VEA (juni 2018)</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</si>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</sst>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12030</v>
      </c>
      <c r="B6" s="397"/>
      <c r="C6" s="398"/>
    </row>
    <row r="7" spans="1:7" s="395" customFormat="1" ht="15.75" customHeight="1">
      <c r="A7" s="399" t="str">
        <f>txtMunicipality</f>
        <v>PUURS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34121.996326334352</v>
      </c>
      <c r="D10" s="688">
        <f ca="1">tertiair!C16</f>
        <v>0</v>
      </c>
      <c r="E10" s="688">
        <f ca="1">tertiair!D16</f>
        <v>30732.261036349875</v>
      </c>
      <c r="F10" s="688">
        <f>tertiair!E16</f>
        <v>274.49348923074297</v>
      </c>
      <c r="G10" s="688">
        <f ca="1">tertiair!F16</f>
        <v>6213.9537608416704</v>
      </c>
      <c r="H10" s="688">
        <f>tertiair!G16</f>
        <v>0</v>
      </c>
      <c r="I10" s="688">
        <f>tertiair!H16</f>
        <v>0</v>
      </c>
      <c r="J10" s="688">
        <f>tertiair!I16</f>
        <v>0</v>
      </c>
      <c r="K10" s="688">
        <f>tertiair!J16</f>
        <v>0</v>
      </c>
      <c r="L10" s="688">
        <f>tertiair!K16</f>
        <v>0</v>
      </c>
      <c r="M10" s="688">
        <f ca="1">tertiair!L16</f>
        <v>0</v>
      </c>
      <c r="N10" s="688">
        <f>tertiair!M16</f>
        <v>0</v>
      </c>
      <c r="O10" s="688">
        <f ca="1">tertiair!N16</f>
        <v>1947.0058263917203</v>
      </c>
      <c r="P10" s="688">
        <f>tertiair!O16</f>
        <v>0</v>
      </c>
      <c r="Q10" s="689">
        <f>tertiair!P16</f>
        <v>0</v>
      </c>
      <c r="R10" s="691">
        <f ca="1">SUM(C10:Q10)</f>
        <v>73289.710439148359</v>
      </c>
      <c r="S10" s="68"/>
    </row>
    <row r="11" spans="1:19" s="457" customFormat="1">
      <c r="A11" s="803" t="s">
        <v>225</v>
      </c>
      <c r="B11" s="808"/>
      <c r="C11" s="688">
        <f>huishoudens!B8</f>
        <v>30013.563608468095</v>
      </c>
      <c r="D11" s="688">
        <f>huishoudens!C8</f>
        <v>0</v>
      </c>
      <c r="E11" s="688">
        <f>huishoudens!D8</f>
        <v>82998.894486997058</v>
      </c>
      <c r="F11" s="688">
        <f>huishoudens!E8</f>
        <v>2827.9719562480414</v>
      </c>
      <c r="G11" s="688">
        <f>huishoudens!F8</f>
        <v>11170.800519505623</v>
      </c>
      <c r="H11" s="688">
        <f>huishoudens!G8</f>
        <v>0</v>
      </c>
      <c r="I11" s="688">
        <f>huishoudens!H8</f>
        <v>0</v>
      </c>
      <c r="J11" s="688">
        <f>huishoudens!I8</f>
        <v>0</v>
      </c>
      <c r="K11" s="688">
        <f>huishoudens!J8</f>
        <v>0</v>
      </c>
      <c r="L11" s="688">
        <f>huishoudens!K8</f>
        <v>0</v>
      </c>
      <c r="M11" s="688">
        <f>huishoudens!L8</f>
        <v>0</v>
      </c>
      <c r="N11" s="688">
        <f>huishoudens!M8</f>
        <v>0</v>
      </c>
      <c r="O11" s="688">
        <f>huishoudens!N8</f>
        <v>9982.5640547478761</v>
      </c>
      <c r="P11" s="688">
        <f>huishoudens!O8</f>
        <v>117.25</v>
      </c>
      <c r="Q11" s="689">
        <f>huishoudens!P8</f>
        <v>209.73333333333335</v>
      </c>
      <c r="R11" s="691">
        <f>SUM(C11:Q11)</f>
        <v>137320.77795930003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122229.22978784391</v>
      </c>
      <c r="D13" s="688">
        <f>industrie!C18</f>
        <v>20590.714285714283</v>
      </c>
      <c r="E13" s="688">
        <f>industrie!D18</f>
        <v>103633.88299771292</v>
      </c>
      <c r="F13" s="688">
        <f>industrie!E18</f>
        <v>890.03139765042533</v>
      </c>
      <c r="G13" s="688">
        <f>industrie!F18</f>
        <v>20443.500395477949</v>
      </c>
      <c r="H13" s="688">
        <f>industrie!G18</f>
        <v>0</v>
      </c>
      <c r="I13" s="688">
        <f>industrie!H18</f>
        <v>0</v>
      </c>
      <c r="J13" s="688">
        <f>industrie!I18</f>
        <v>0</v>
      </c>
      <c r="K13" s="688">
        <f>industrie!J18</f>
        <v>217.16854321315179</v>
      </c>
      <c r="L13" s="688">
        <f>industrie!K18</f>
        <v>0</v>
      </c>
      <c r="M13" s="688">
        <f>industrie!L18</f>
        <v>0</v>
      </c>
      <c r="N13" s="688">
        <f>industrie!M18</f>
        <v>0</v>
      </c>
      <c r="O13" s="688">
        <f>industrie!N18</f>
        <v>2461.1835907258073</v>
      </c>
      <c r="P13" s="688">
        <f>industrie!O18</f>
        <v>0</v>
      </c>
      <c r="Q13" s="689">
        <f>industrie!P18</f>
        <v>0</v>
      </c>
      <c r="R13" s="691">
        <f>SUM(C13:Q13)</f>
        <v>270465.71099833847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186364.78972264635</v>
      </c>
      <c r="D16" s="721">
        <f t="shared" ref="D16:R16" ca="1" si="0">SUM(D9:D15)</f>
        <v>20590.714285714283</v>
      </c>
      <c r="E16" s="721">
        <f t="shared" ca="1" si="0"/>
        <v>217365.03852105985</v>
      </c>
      <c r="F16" s="721">
        <f t="shared" si="0"/>
        <v>3992.4968431292095</v>
      </c>
      <c r="G16" s="721">
        <f t="shared" ca="1" si="0"/>
        <v>37828.254675825243</v>
      </c>
      <c r="H16" s="721">
        <f t="shared" si="0"/>
        <v>0</v>
      </c>
      <c r="I16" s="721">
        <f t="shared" si="0"/>
        <v>0</v>
      </c>
      <c r="J16" s="721">
        <f t="shared" si="0"/>
        <v>0</v>
      </c>
      <c r="K16" s="721">
        <f t="shared" si="0"/>
        <v>217.16854321315179</v>
      </c>
      <c r="L16" s="721">
        <f t="shared" si="0"/>
        <v>0</v>
      </c>
      <c r="M16" s="721">
        <f t="shared" ca="1" si="0"/>
        <v>0</v>
      </c>
      <c r="N16" s="721">
        <f t="shared" si="0"/>
        <v>0</v>
      </c>
      <c r="O16" s="721">
        <f t="shared" ca="1" si="0"/>
        <v>14390.753471865402</v>
      </c>
      <c r="P16" s="721">
        <f t="shared" si="0"/>
        <v>117.25</v>
      </c>
      <c r="Q16" s="721">
        <f t="shared" si="0"/>
        <v>209.73333333333335</v>
      </c>
      <c r="R16" s="721">
        <f t="shared" ca="1" si="0"/>
        <v>481076.19939678686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1722.5154511912219</v>
      </c>
      <c r="I19" s="688">
        <f>transport!H54</f>
        <v>0</v>
      </c>
      <c r="J19" s="688">
        <f>transport!I54</f>
        <v>0</v>
      </c>
      <c r="K19" s="688">
        <f>transport!J54</f>
        <v>0</v>
      </c>
      <c r="L19" s="688">
        <f>transport!K54</f>
        <v>0</v>
      </c>
      <c r="M19" s="688">
        <f>transport!L54</f>
        <v>0</v>
      </c>
      <c r="N19" s="688">
        <f>transport!M54</f>
        <v>75.638494928780148</v>
      </c>
      <c r="O19" s="688">
        <f>transport!N54</f>
        <v>0</v>
      </c>
      <c r="P19" s="688">
        <f>transport!O54</f>
        <v>0</v>
      </c>
      <c r="Q19" s="689">
        <f>transport!P54</f>
        <v>0</v>
      </c>
      <c r="R19" s="691">
        <f>SUM(C19:Q19)</f>
        <v>1798.153946120002</v>
      </c>
      <c r="S19" s="68"/>
    </row>
    <row r="20" spans="1:19" s="457" customFormat="1">
      <c r="A20" s="803" t="s">
        <v>307</v>
      </c>
      <c r="B20" s="808"/>
      <c r="C20" s="688">
        <f>transport!B14</f>
        <v>8.0684978373768068</v>
      </c>
      <c r="D20" s="688">
        <f>transport!C14</f>
        <v>0</v>
      </c>
      <c r="E20" s="688">
        <f>transport!D14</f>
        <v>22.463331945158508</v>
      </c>
      <c r="F20" s="688">
        <f>transport!E14</f>
        <v>1356.5663681799128</v>
      </c>
      <c r="G20" s="688">
        <f>transport!F14</f>
        <v>0</v>
      </c>
      <c r="H20" s="688">
        <f>transport!G14</f>
        <v>336154.82767115207</v>
      </c>
      <c r="I20" s="688">
        <f>transport!H14</f>
        <v>50396.912574567643</v>
      </c>
      <c r="J20" s="688">
        <f>transport!I14</f>
        <v>0</v>
      </c>
      <c r="K20" s="688">
        <f>transport!J14</f>
        <v>0</v>
      </c>
      <c r="L20" s="688">
        <f>transport!K14</f>
        <v>0</v>
      </c>
      <c r="M20" s="688">
        <f>transport!L14</f>
        <v>0</v>
      </c>
      <c r="N20" s="688">
        <f>transport!M14</f>
        <v>17274.44871381691</v>
      </c>
      <c r="O20" s="688">
        <f>transport!N14</f>
        <v>0</v>
      </c>
      <c r="P20" s="688">
        <f>transport!O14</f>
        <v>0</v>
      </c>
      <c r="Q20" s="689">
        <f>transport!P14</f>
        <v>0</v>
      </c>
      <c r="R20" s="691">
        <f>SUM(C20:Q20)</f>
        <v>405213.28715749911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8.0684978373768068</v>
      </c>
      <c r="D22" s="806">
        <f t="shared" ref="D22:R22" si="1">SUM(D18:D21)</f>
        <v>0</v>
      </c>
      <c r="E22" s="806">
        <f t="shared" si="1"/>
        <v>22.463331945158508</v>
      </c>
      <c r="F22" s="806">
        <f t="shared" si="1"/>
        <v>1356.5663681799128</v>
      </c>
      <c r="G22" s="806">
        <f t="shared" si="1"/>
        <v>0</v>
      </c>
      <c r="H22" s="806">
        <f t="shared" si="1"/>
        <v>337877.3431223433</v>
      </c>
      <c r="I22" s="806">
        <f t="shared" si="1"/>
        <v>50396.912574567643</v>
      </c>
      <c r="J22" s="806">
        <f t="shared" si="1"/>
        <v>0</v>
      </c>
      <c r="K22" s="806">
        <f t="shared" si="1"/>
        <v>0</v>
      </c>
      <c r="L22" s="806">
        <f t="shared" si="1"/>
        <v>0</v>
      </c>
      <c r="M22" s="806">
        <f t="shared" si="1"/>
        <v>0</v>
      </c>
      <c r="N22" s="806">
        <f t="shared" si="1"/>
        <v>17350.087208745688</v>
      </c>
      <c r="O22" s="806">
        <f t="shared" si="1"/>
        <v>0</v>
      </c>
      <c r="P22" s="806">
        <f t="shared" si="1"/>
        <v>0</v>
      </c>
      <c r="Q22" s="806">
        <f t="shared" si="1"/>
        <v>0</v>
      </c>
      <c r="R22" s="806">
        <f t="shared" si="1"/>
        <v>407011.44110361912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917.90187074922801</v>
      </c>
      <c r="D24" s="688">
        <f>+landbouw!C8</f>
        <v>0</v>
      </c>
      <c r="E24" s="688">
        <f>+landbouw!D8</f>
        <v>481.85273628291174</v>
      </c>
      <c r="F24" s="688">
        <f>+landbouw!E8</f>
        <v>8.6472506368855075</v>
      </c>
      <c r="G24" s="688">
        <f>+landbouw!F8</f>
        <v>2995.4184291324823</v>
      </c>
      <c r="H24" s="688">
        <f>+landbouw!G8</f>
        <v>0</v>
      </c>
      <c r="I24" s="688">
        <f>+landbouw!H8</f>
        <v>0</v>
      </c>
      <c r="J24" s="688">
        <f>+landbouw!I8</f>
        <v>0</v>
      </c>
      <c r="K24" s="688">
        <f>+landbouw!J8</f>
        <v>113.54892608552122</v>
      </c>
      <c r="L24" s="688">
        <f>+landbouw!K8</f>
        <v>0</v>
      </c>
      <c r="M24" s="688">
        <f>+landbouw!L8</f>
        <v>0</v>
      </c>
      <c r="N24" s="688">
        <f>+landbouw!M8</f>
        <v>0</v>
      </c>
      <c r="O24" s="688">
        <f>+landbouw!N8</f>
        <v>0</v>
      </c>
      <c r="P24" s="688">
        <f>+landbouw!O8</f>
        <v>0</v>
      </c>
      <c r="Q24" s="689">
        <f>+landbouw!P8</f>
        <v>0</v>
      </c>
      <c r="R24" s="691">
        <f>SUM(C24:Q24)</f>
        <v>4517.3692128870289</v>
      </c>
      <c r="S24" s="68"/>
    </row>
    <row r="25" spans="1:19" s="457" customFormat="1" ht="15" thickBot="1">
      <c r="A25" s="825" t="s">
        <v>912</v>
      </c>
      <c r="B25" s="1001"/>
      <c r="C25" s="1002">
        <f>IF(Onbekend_ele_kWh="---",0,Onbekend_ele_kWh)/1000+IF(REST_rest_ele_kWh="---",0,REST_rest_ele_kWh)/1000</f>
        <v>1076.07229925499</v>
      </c>
      <c r="D25" s="1002"/>
      <c r="E25" s="1002">
        <f>IF(onbekend_gas_kWh="---",0,onbekend_gas_kWh)/1000+IF(REST_rest_gas_kWh="---",0,REST_rest_gas_kWh)/1000</f>
        <v>3066.3901372037599</v>
      </c>
      <c r="F25" s="1002"/>
      <c r="G25" s="1002"/>
      <c r="H25" s="1002"/>
      <c r="I25" s="1002"/>
      <c r="J25" s="1002"/>
      <c r="K25" s="1002"/>
      <c r="L25" s="1002"/>
      <c r="M25" s="1002"/>
      <c r="N25" s="1002"/>
      <c r="O25" s="1002"/>
      <c r="P25" s="1002"/>
      <c r="Q25" s="1003"/>
      <c r="R25" s="691">
        <f>SUM(C25:Q25)</f>
        <v>4142.4624364587498</v>
      </c>
      <c r="S25" s="68"/>
    </row>
    <row r="26" spans="1:19" s="457" customFormat="1" ht="15.75" thickBot="1">
      <c r="A26" s="694" t="s">
        <v>913</v>
      </c>
      <c r="B26" s="811"/>
      <c r="C26" s="806">
        <f>SUM(C24:C25)</f>
        <v>1993.974170004218</v>
      </c>
      <c r="D26" s="806">
        <f t="shared" ref="D26:R26" si="2">SUM(D24:D25)</f>
        <v>0</v>
      </c>
      <c r="E26" s="806">
        <f t="shared" si="2"/>
        <v>3548.2428734866717</v>
      </c>
      <c r="F26" s="806">
        <f t="shared" si="2"/>
        <v>8.6472506368855075</v>
      </c>
      <c r="G26" s="806">
        <f t="shared" si="2"/>
        <v>2995.4184291324823</v>
      </c>
      <c r="H26" s="806">
        <f t="shared" si="2"/>
        <v>0</v>
      </c>
      <c r="I26" s="806">
        <f t="shared" si="2"/>
        <v>0</v>
      </c>
      <c r="J26" s="806">
        <f t="shared" si="2"/>
        <v>0</v>
      </c>
      <c r="K26" s="806">
        <f t="shared" si="2"/>
        <v>113.54892608552122</v>
      </c>
      <c r="L26" s="806">
        <f t="shared" si="2"/>
        <v>0</v>
      </c>
      <c r="M26" s="806">
        <f t="shared" si="2"/>
        <v>0</v>
      </c>
      <c r="N26" s="806">
        <f t="shared" si="2"/>
        <v>0</v>
      </c>
      <c r="O26" s="806">
        <f t="shared" si="2"/>
        <v>0</v>
      </c>
      <c r="P26" s="806">
        <f t="shared" si="2"/>
        <v>0</v>
      </c>
      <c r="Q26" s="806">
        <f t="shared" si="2"/>
        <v>0</v>
      </c>
      <c r="R26" s="806">
        <f t="shared" si="2"/>
        <v>8659.8316493457787</v>
      </c>
      <c r="S26" s="68"/>
    </row>
    <row r="27" spans="1:19" s="457" customFormat="1" ht="17.25" thickTop="1" thickBot="1">
      <c r="A27" s="695" t="s">
        <v>116</v>
      </c>
      <c r="B27" s="798"/>
      <c r="C27" s="696">
        <f ca="1">C22+C16+C26</f>
        <v>188366.83239048795</v>
      </c>
      <c r="D27" s="696">
        <f t="shared" ref="D27:R27" ca="1" si="3">D22+D16+D26</f>
        <v>20590.714285714283</v>
      </c>
      <c r="E27" s="696">
        <f t="shared" ca="1" si="3"/>
        <v>220935.74472649168</v>
      </c>
      <c r="F27" s="696">
        <f t="shared" si="3"/>
        <v>5357.7104619460079</v>
      </c>
      <c r="G27" s="696">
        <f t="shared" ca="1" si="3"/>
        <v>40823.673104957728</v>
      </c>
      <c r="H27" s="696">
        <f t="shared" si="3"/>
        <v>337877.3431223433</v>
      </c>
      <c r="I27" s="696">
        <f t="shared" si="3"/>
        <v>50396.912574567643</v>
      </c>
      <c r="J27" s="696">
        <f t="shared" si="3"/>
        <v>0</v>
      </c>
      <c r="K27" s="696">
        <f t="shared" si="3"/>
        <v>330.717469298673</v>
      </c>
      <c r="L27" s="696">
        <f t="shared" si="3"/>
        <v>0</v>
      </c>
      <c r="M27" s="696">
        <f t="shared" ca="1" si="3"/>
        <v>0</v>
      </c>
      <c r="N27" s="696">
        <f t="shared" si="3"/>
        <v>17350.087208745688</v>
      </c>
      <c r="O27" s="696">
        <f t="shared" ca="1" si="3"/>
        <v>14390.753471865402</v>
      </c>
      <c r="P27" s="696">
        <f t="shared" si="3"/>
        <v>117.25</v>
      </c>
      <c r="Q27" s="696">
        <f t="shared" si="3"/>
        <v>209.73333333333335</v>
      </c>
      <c r="R27" s="696">
        <f t="shared" ca="1" si="3"/>
        <v>896747.47214975185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7398.4581429711725</v>
      </c>
      <c r="D40" s="688">
        <f ca="1">tertiair!C20</f>
        <v>0</v>
      </c>
      <c r="E40" s="688">
        <f ca="1">tertiair!D20</f>
        <v>6207.9167293426754</v>
      </c>
      <c r="F40" s="688">
        <f>tertiair!E20</f>
        <v>62.310022055378653</v>
      </c>
      <c r="G40" s="688">
        <f ca="1">tertiair!F20</f>
        <v>1659.125654144726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15327.810548513953</v>
      </c>
    </row>
    <row r="41" spans="1:18">
      <c r="A41" s="816" t="s">
        <v>225</v>
      </c>
      <c r="B41" s="823"/>
      <c r="C41" s="688">
        <f ca="1">huishoudens!B12</f>
        <v>6507.6524818472944</v>
      </c>
      <c r="D41" s="688">
        <f ca="1">huishoudens!C12</f>
        <v>0</v>
      </c>
      <c r="E41" s="688">
        <f>huishoudens!D12</f>
        <v>16765.776686373407</v>
      </c>
      <c r="F41" s="688">
        <f>huishoudens!E12</f>
        <v>641.94963406830539</v>
      </c>
      <c r="G41" s="688">
        <f>huishoudens!F12</f>
        <v>2982.6037387080014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26897.982540997007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26502.196172357308</v>
      </c>
      <c r="D43" s="688">
        <f ca="1">industrie!C22</f>
        <v>4893.3226890756296</v>
      </c>
      <c r="E43" s="688">
        <f>industrie!D22</f>
        <v>20934.044365538011</v>
      </c>
      <c r="F43" s="688">
        <f>industrie!E22</f>
        <v>202.03712726664656</v>
      </c>
      <c r="G43" s="688">
        <f>industrie!F22</f>
        <v>5458.414605592613</v>
      </c>
      <c r="H43" s="688">
        <f>industrie!G22</f>
        <v>0</v>
      </c>
      <c r="I43" s="688">
        <f>industrie!H22</f>
        <v>0</v>
      </c>
      <c r="J43" s="688">
        <f>industrie!I22</f>
        <v>0</v>
      </c>
      <c r="K43" s="688">
        <f>industrie!J22</f>
        <v>76.877664297455738</v>
      </c>
      <c r="L43" s="688">
        <f>industrie!K22</f>
        <v>0</v>
      </c>
      <c r="M43" s="688">
        <f>industrie!L22</f>
        <v>0</v>
      </c>
      <c r="N43" s="688">
        <f>industrie!M22</f>
        <v>0</v>
      </c>
      <c r="O43" s="688">
        <f>industrie!N22</f>
        <v>0</v>
      </c>
      <c r="P43" s="688">
        <f>industrie!O22</f>
        <v>0</v>
      </c>
      <c r="Q43" s="763">
        <f>industrie!P22</f>
        <v>0</v>
      </c>
      <c r="R43" s="843">
        <f t="shared" ca="1" si="4"/>
        <v>58066.892624127657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40408.30679717577</v>
      </c>
      <c r="D46" s="721">
        <f t="shared" ref="D46:Q46" ca="1" si="5">SUM(D39:D45)</f>
        <v>4893.3226890756296</v>
      </c>
      <c r="E46" s="721">
        <f t="shared" ca="1" si="5"/>
        <v>43907.737781254094</v>
      </c>
      <c r="F46" s="721">
        <f t="shared" si="5"/>
        <v>906.29678339033057</v>
      </c>
      <c r="G46" s="721">
        <f t="shared" ca="1" si="5"/>
        <v>10100.143998445339</v>
      </c>
      <c r="H46" s="721">
        <f t="shared" si="5"/>
        <v>0</v>
      </c>
      <c r="I46" s="721">
        <f t="shared" si="5"/>
        <v>0</v>
      </c>
      <c r="J46" s="721">
        <f t="shared" si="5"/>
        <v>0</v>
      </c>
      <c r="K46" s="721">
        <f t="shared" si="5"/>
        <v>76.877664297455738</v>
      </c>
      <c r="L46" s="721">
        <f t="shared" si="5"/>
        <v>0</v>
      </c>
      <c r="M46" s="721">
        <f t="shared" ca="1" si="5"/>
        <v>0</v>
      </c>
      <c r="N46" s="721">
        <f t="shared" si="5"/>
        <v>0</v>
      </c>
      <c r="O46" s="721">
        <f t="shared" ca="1" si="5"/>
        <v>0</v>
      </c>
      <c r="P46" s="721">
        <f t="shared" si="5"/>
        <v>0</v>
      </c>
      <c r="Q46" s="721">
        <f t="shared" si="5"/>
        <v>0</v>
      </c>
      <c r="R46" s="721">
        <f ca="1">SUM(R39:R45)</f>
        <v>100292.68571363861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459.91162546805629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459.91162546805629</v>
      </c>
    </row>
    <row r="50" spans="1:18">
      <c r="A50" s="819" t="s">
        <v>307</v>
      </c>
      <c r="B50" s="829"/>
      <c r="C50" s="1008">
        <f ca="1">transport!B18</f>
        <v>1.7494417077940809</v>
      </c>
      <c r="D50" s="1008">
        <f>transport!C18</f>
        <v>0</v>
      </c>
      <c r="E50" s="1008">
        <f>transport!D18</f>
        <v>4.537593052922019</v>
      </c>
      <c r="F50" s="1008">
        <f>transport!E18</f>
        <v>307.94056557684024</v>
      </c>
      <c r="G50" s="1008">
        <f>transport!F18</f>
        <v>0</v>
      </c>
      <c r="H50" s="1008">
        <f>transport!G18</f>
        <v>89753.338988197604</v>
      </c>
      <c r="I50" s="1008">
        <f>transport!H18</f>
        <v>12548.831231067343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102616.39781960251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1.7494417077940809</v>
      </c>
      <c r="D52" s="721">
        <f t="shared" ref="D52:Q52" ca="1" si="6">SUM(D48:D51)</f>
        <v>0</v>
      </c>
      <c r="E52" s="721">
        <f t="shared" si="6"/>
        <v>4.537593052922019</v>
      </c>
      <c r="F52" s="721">
        <f t="shared" si="6"/>
        <v>307.94056557684024</v>
      </c>
      <c r="G52" s="721">
        <f t="shared" si="6"/>
        <v>0</v>
      </c>
      <c r="H52" s="721">
        <f t="shared" si="6"/>
        <v>90213.250613665659</v>
      </c>
      <c r="I52" s="721">
        <f t="shared" si="6"/>
        <v>12548.831231067343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103076.30944507057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199.02289728728326</v>
      </c>
      <c r="D54" s="1008">
        <f ca="1">+landbouw!C12</f>
        <v>0</v>
      </c>
      <c r="E54" s="1008">
        <f>+landbouw!D12</f>
        <v>97.334252729148176</v>
      </c>
      <c r="F54" s="1008">
        <f>+landbouw!E12</f>
        <v>1.9629258945730104</v>
      </c>
      <c r="G54" s="1008">
        <f>+landbouw!F12</f>
        <v>799.77672057837276</v>
      </c>
      <c r="H54" s="1008">
        <f>+landbouw!G12</f>
        <v>0</v>
      </c>
      <c r="I54" s="1008">
        <f>+landbouw!H12</f>
        <v>0</v>
      </c>
      <c r="J54" s="1008">
        <f>+landbouw!I12</f>
        <v>0</v>
      </c>
      <c r="K54" s="1008">
        <f>+landbouw!J12</f>
        <v>40.196319834274512</v>
      </c>
      <c r="L54" s="1008">
        <f>+landbouw!K12</f>
        <v>0</v>
      </c>
      <c r="M54" s="1008">
        <f>+landbouw!L12</f>
        <v>0</v>
      </c>
      <c r="N54" s="1008">
        <f>+landbouw!M12</f>
        <v>0</v>
      </c>
      <c r="O54" s="1008">
        <f>+landbouw!N12</f>
        <v>0</v>
      </c>
      <c r="P54" s="1008">
        <f>+landbouw!O12</f>
        <v>0</v>
      </c>
      <c r="Q54" s="1009">
        <f>+landbouw!P12</f>
        <v>0</v>
      </c>
      <c r="R54" s="720">
        <f ca="1">SUM(C54:Q54)</f>
        <v>1138.2931163236517</v>
      </c>
    </row>
    <row r="55" spans="1:18" ht="15" thickBot="1">
      <c r="A55" s="819" t="s">
        <v>912</v>
      </c>
      <c r="B55" s="829"/>
      <c r="C55" s="1008">
        <f ca="1">C25*'EF ele_warmte'!B12</f>
        <v>233.31799783075746</v>
      </c>
      <c r="D55" s="1008"/>
      <c r="E55" s="1008">
        <f>E25*EF_CO2_aardgas</f>
        <v>619.41080771515954</v>
      </c>
      <c r="F55" s="1008"/>
      <c r="G55" s="1008"/>
      <c r="H55" s="1008"/>
      <c r="I55" s="1008"/>
      <c r="J55" s="1008"/>
      <c r="K55" s="1008"/>
      <c r="L55" s="1008"/>
      <c r="M55" s="1008"/>
      <c r="N55" s="1008"/>
      <c r="O55" s="1008"/>
      <c r="P55" s="1008"/>
      <c r="Q55" s="1009"/>
      <c r="R55" s="720">
        <f ca="1">SUM(C55:Q55)</f>
        <v>852.728805545917</v>
      </c>
    </row>
    <row r="56" spans="1:18" ht="15.75" thickBot="1">
      <c r="A56" s="817" t="s">
        <v>913</v>
      </c>
      <c r="B56" s="830"/>
      <c r="C56" s="721">
        <f ca="1">SUM(C54:C55)</f>
        <v>432.34089511804075</v>
      </c>
      <c r="D56" s="721">
        <f t="shared" ref="D56:Q56" ca="1" si="7">SUM(D54:D55)</f>
        <v>0</v>
      </c>
      <c r="E56" s="721">
        <f t="shared" si="7"/>
        <v>716.74506044430768</v>
      </c>
      <c r="F56" s="721">
        <f t="shared" si="7"/>
        <v>1.9629258945730104</v>
      </c>
      <c r="G56" s="721">
        <f t="shared" si="7"/>
        <v>799.77672057837276</v>
      </c>
      <c r="H56" s="721">
        <f t="shared" si="7"/>
        <v>0</v>
      </c>
      <c r="I56" s="721">
        <f t="shared" si="7"/>
        <v>0</v>
      </c>
      <c r="J56" s="721">
        <f t="shared" si="7"/>
        <v>0</v>
      </c>
      <c r="K56" s="721">
        <f t="shared" si="7"/>
        <v>40.196319834274512</v>
      </c>
      <c r="L56" s="721">
        <f t="shared" si="7"/>
        <v>0</v>
      </c>
      <c r="M56" s="721">
        <f t="shared" si="7"/>
        <v>0</v>
      </c>
      <c r="N56" s="721">
        <f t="shared" si="7"/>
        <v>0</v>
      </c>
      <c r="O56" s="721">
        <f t="shared" si="7"/>
        <v>0</v>
      </c>
      <c r="P56" s="721">
        <f t="shared" si="7"/>
        <v>0</v>
      </c>
      <c r="Q56" s="722">
        <f t="shared" si="7"/>
        <v>0</v>
      </c>
      <c r="R56" s="723">
        <f ca="1">SUM(R54:R55)</f>
        <v>1991.0219218695688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40842.3971340016</v>
      </c>
      <c r="D61" s="729">
        <f t="shared" ref="D61:Q61" ca="1" si="8">D46+D52+D56</f>
        <v>4893.3226890756296</v>
      </c>
      <c r="E61" s="729">
        <f t="shared" ca="1" si="8"/>
        <v>44629.020434751321</v>
      </c>
      <c r="F61" s="729">
        <f t="shared" si="8"/>
        <v>1216.200274861744</v>
      </c>
      <c r="G61" s="729">
        <f t="shared" ca="1" si="8"/>
        <v>10899.920719023712</v>
      </c>
      <c r="H61" s="729">
        <f t="shared" si="8"/>
        <v>90213.250613665659</v>
      </c>
      <c r="I61" s="729">
        <f t="shared" si="8"/>
        <v>12548.831231067343</v>
      </c>
      <c r="J61" s="729">
        <f t="shared" si="8"/>
        <v>0</v>
      </c>
      <c r="K61" s="729">
        <f t="shared" si="8"/>
        <v>117.07398413173024</v>
      </c>
      <c r="L61" s="729">
        <f t="shared" si="8"/>
        <v>0</v>
      </c>
      <c r="M61" s="729">
        <f t="shared" ca="1" si="8"/>
        <v>0</v>
      </c>
      <c r="N61" s="729">
        <f t="shared" si="8"/>
        <v>0</v>
      </c>
      <c r="O61" s="729">
        <f t="shared" ca="1" si="8"/>
        <v>0</v>
      </c>
      <c r="P61" s="729">
        <f t="shared" si="8"/>
        <v>0</v>
      </c>
      <c r="Q61" s="729">
        <f t="shared" si="8"/>
        <v>0</v>
      </c>
      <c r="R61" s="729">
        <f ca="1">R46+R52+R56</f>
        <v>205360.01708057875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0.21682371899387548</v>
      </c>
      <c r="D63" s="773">
        <f t="shared" ca="1" si="9"/>
        <v>0.23764705882352941</v>
      </c>
      <c r="E63" s="1010">
        <f t="shared" ca="1" si="9"/>
        <v>0.20200000000000001</v>
      </c>
      <c r="F63" s="773">
        <f t="shared" si="9"/>
        <v>0.22700000000000004</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11422.726477954726</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7636.091199190827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14413.499999999998</v>
      </c>
      <c r="D76" s="1020">
        <f>'lokale energieproductie'!C8</f>
        <v>16957.058823529409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3425.3258823529409</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19058.817677145555</v>
      </c>
      <c r="C78" s="744">
        <f>SUM(C72:C77)</f>
        <v>14413.499999999998</v>
      </c>
      <c r="D78" s="745">
        <f t="shared" ref="D78:H78" si="10">SUM(D76:D77)</f>
        <v>16957.058823529409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3425.3258823529409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20590.714285714283</v>
      </c>
      <c r="D87" s="766">
        <f>'lokale energieproductie'!C17</f>
        <v>24224.369747899153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4893.3226890756296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20590.714285714283</v>
      </c>
      <c r="D90" s="744">
        <f t="shared" ref="D90:H90" si="12">SUM(D87:D89)</f>
        <v>24224.369747899153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4893.3226890756296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30013.563608468095</v>
      </c>
      <c r="C4" s="461">
        <f>huishoudens!C8</f>
        <v>0</v>
      </c>
      <c r="D4" s="461">
        <f>huishoudens!D8</f>
        <v>82998.894486997058</v>
      </c>
      <c r="E4" s="461">
        <f>huishoudens!E8</f>
        <v>2827.9719562480414</v>
      </c>
      <c r="F4" s="461">
        <f>huishoudens!F8</f>
        <v>11170.800519505623</v>
      </c>
      <c r="G4" s="461">
        <f>huishoudens!G8</f>
        <v>0</v>
      </c>
      <c r="H4" s="461">
        <f>huishoudens!H8</f>
        <v>0</v>
      </c>
      <c r="I4" s="461">
        <f>huishoudens!I8</f>
        <v>0</v>
      </c>
      <c r="J4" s="461">
        <f>huishoudens!J8</f>
        <v>0</v>
      </c>
      <c r="K4" s="461">
        <f>huishoudens!K8</f>
        <v>0</v>
      </c>
      <c r="L4" s="461">
        <f>huishoudens!L8</f>
        <v>0</v>
      </c>
      <c r="M4" s="461">
        <f>huishoudens!M8</f>
        <v>0</v>
      </c>
      <c r="N4" s="461">
        <f>huishoudens!N8</f>
        <v>9982.5640547478761</v>
      </c>
      <c r="O4" s="461">
        <f>huishoudens!O8</f>
        <v>117.25</v>
      </c>
      <c r="P4" s="462">
        <f>huishoudens!P8</f>
        <v>209.73333333333335</v>
      </c>
      <c r="Q4" s="463">
        <f>SUM(B4:P4)</f>
        <v>137320.77795930003</v>
      </c>
    </row>
    <row r="5" spans="1:17">
      <c r="A5" s="460" t="s">
        <v>156</v>
      </c>
      <c r="B5" s="461">
        <f ca="1">tertiair!B16</f>
        <v>32618.415326334354</v>
      </c>
      <c r="C5" s="461">
        <f ca="1">tertiair!C16</f>
        <v>0</v>
      </c>
      <c r="D5" s="461">
        <f ca="1">tertiair!D16</f>
        <v>30732.261036349875</v>
      </c>
      <c r="E5" s="461">
        <f>tertiair!E16</f>
        <v>274.49348923074297</v>
      </c>
      <c r="F5" s="461">
        <f ca="1">tertiair!F16</f>
        <v>6213.9537608416704</v>
      </c>
      <c r="G5" s="461">
        <f>tertiair!G16</f>
        <v>0</v>
      </c>
      <c r="H5" s="461">
        <f>tertiair!H16</f>
        <v>0</v>
      </c>
      <c r="I5" s="461">
        <f>tertiair!I16</f>
        <v>0</v>
      </c>
      <c r="J5" s="461">
        <f>tertiair!J16</f>
        <v>0</v>
      </c>
      <c r="K5" s="461">
        <f>tertiair!K16</f>
        <v>0</v>
      </c>
      <c r="L5" s="461">
        <f ca="1">tertiair!L16</f>
        <v>0</v>
      </c>
      <c r="M5" s="461">
        <f>tertiair!M16</f>
        <v>0</v>
      </c>
      <c r="N5" s="461">
        <f ca="1">tertiair!N16</f>
        <v>1947.0058263917203</v>
      </c>
      <c r="O5" s="461">
        <f>tertiair!O16</f>
        <v>0</v>
      </c>
      <c r="P5" s="462">
        <f>tertiair!P16</f>
        <v>0</v>
      </c>
      <c r="Q5" s="460">
        <f t="shared" ref="Q5:Q14" ca="1" si="0">SUM(B5:P5)</f>
        <v>71786.129439148353</v>
      </c>
    </row>
    <row r="6" spans="1:17">
      <c r="A6" s="460" t="s">
        <v>194</v>
      </c>
      <c r="B6" s="461">
        <f>'openbare verlichting'!B8</f>
        <v>1503.5809999999999</v>
      </c>
      <c r="C6" s="461"/>
      <c r="D6" s="461"/>
      <c r="E6" s="461"/>
      <c r="F6" s="461"/>
      <c r="G6" s="461"/>
      <c r="H6" s="461"/>
      <c r="I6" s="461"/>
      <c r="J6" s="461"/>
      <c r="K6" s="461"/>
      <c r="L6" s="461"/>
      <c r="M6" s="461"/>
      <c r="N6" s="461"/>
      <c r="O6" s="461"/>
      <c r="P6" s="462"/>
      <c r="Q6" s="460">
        <f t="shared" si="0"/>
        <v>1503.5809999999999</v>
      </c>
    </row>
    <row r="7" spans="1:17">
      <c r="A7" s="460" t="s">
        <v>112</v>
      </c>
      <c r="B7" s="461">
        <f>landbouw!B8</f>
        <v>917.90187074922801</v>
      </c>
      <c r="C7" s="461">
        <f>landbouw!C8</f>
        <v>0</v>
      </c>
      <c r="D7" s="461">
        <f>landbouw!D8</f>
        <v>481.85273628291174</v>
      </c>
      <c r="E7" s="461">
        <f>landbouw!E8</f>
        <v>8.6472506368855075</v>
      </c>
      <c r="F7" s="461">
        <f>landbouw!F8</f>
        <v>2995.4184291324823</v>
      </c>
      <c r="G7" s="461">
        <f>landbouw!G8</f>
        <v>0</v>
      </c>
      <c r="H7" s="461">
        <f>landbouw!H8</f>
        <v>0</v>
      </c>
      <c r="I7" s="461">
        <f>landbouw!I8</f>
        <v>0</v>
      </c>
      <c r="J7" s="461">
        <f>landbouw!J8</f>
        <v>113.54892608552122</v>
      </c>
      <c r="K7" s="461">
        <f>landbouw!K8</f>
        <v>0</v>
      </c>
      <c r="L7" s="461">
        <f>landbouw!L8</f>
        <v>0</v>
      </c>
      <c r="M7" s="461">
        <f>landbouw!M8</f>
        <v>0</v>
      </c>
      <c r="N7" s="461">
        <f>landbouw!N8</f>
        <v>0</v>
      </c>
      <c r="O7" s="461">
        <f>landbouw!O8</f>
        <v>0</v>
      </c>
      <c r="P7" s="462">
        <f>landbouw!P8</f>
        <v>0</v>
      </c>
      <c r="Q7" s="460">
        <f t="shared" si="0"/>
        <v>4517.3692128870289</v>
      </c>
    </row>
    <row r="8" spans="1:17">
      <c r="A8" s="460" t="s">
        <v>685</v>
      </c>
      <c r="B8" s="461">
        <f>industrie!B18</f>
        <v>122229.22978784391</v>
      </c>
      <c r="C8" s="461">
        <f>industrie!C18</f>
        <v>20590.714285714283</v>
      </c>
      <c r="D8" s="461">
        <f>industrie!D18</f>
        <v>103633.88299771292</v>
      </c>
      <c r="E8" s="461">
        <f>industrie!E18</f>
        <v>890.03139765042533</v>
      </c>
      <c r="F8" s="461">
        <f>industrie!F18</f>
        <v>20443.500395477949</v>
      </c>
      <c r="G8" s="461">
        <f>industrie!G18</f>
        <v>0</v>
      </c>
      <c r="H8" s="461">
        <f>industrie!H18</f>
        <v>0</v>
      </c>
      <c r="I8" s="461">
        <f>industrie!I18</f>
        <v>0</v>
      </c>
      <c r="J8" s="461">
        <f>industrie!J18</f>
        <v>217.16854321315179</v>
      </c>
      <c r="K8" s="461">
        <f>industrie!K18</f>
        <v>0</v>
      </c>
      <c r="L8" s="461">
        <f>industrie!L18</f>
        <v>0</v>
      </c>
      <c r="M8" s="461">
        <f>industrie!M18</f>
        <v>0</v>
      </c>
      <c r="N8" s="461">
        <f>industrie!N18</f>
        <v>2461.1835907258073</v>
      </c>
      <c r="O8" s="461">
        <f>industrie!O18</f>
        <v>0</v>
      </c>
      <c r="P8" s="462">
        <f>industrie!P18</f>
        <v>0</v>
      </c>
      <c r="Q8" s="460">
        <f t="shared" si="0"/>
        <v>270465.71099833847</v>
      </c>
    </row>
    <row r="9" spans="1:17" s="466" customFormat="1">
      <c r="A9" s="464" t="s">
        <v>579</v>
      </c>
      <c r="B9" s="465">
        <f>transport!B14</f>
        <v>8.0684978373768068</v>
      </c>
      <c r="C9" s="465">
        <f>transport!C14</f>
        <v>0</v>
      </c>
      <c r="D9" s="465">
        <f>transport!D14</f>
        <v>22.463331945158508</v>
      </c>
      <c r="E9" s="465">
        <f>transport!E14</f>
        <v>1356.5663681799128</v>
      </c>
      <c r="F9" s="465">
        <f>transport!F14</f>
        <v>0</v>
      </c>
      <c r="G9" s="465">
        <f>transport!G14</f>
        <v>336154.82767115207</v>
      </c>
      <c r="H9" s="465">
        <f>transport!H14</f>
        <v>50396.912574567643</v>
      </c>
      <c r="I9" s="465">
        <f>transport!I14</f>
        <v>0</v>
      </c>
      <c r="J9" s="465">
        <f>transport!J14</f>
        <v>0</v>
      </c>
      <c r="K9" s="465">
        <f>transport!K14</f>
        <v>0</v>
      </c>
      <c r="L9" s="465">
        <f>transport!L14</f>
        <v>0</v>
      </c>
      <c r="M9" s="465">
        <f>transport!M14</f>
        <v>17274.44871381691</v>
      </c>
      <c r="N9" s="465">
        <f>transport!N14</f>
        <v>0</v>
      </c>
      <c r="O9" s="465">
        <f>transport!O14</f>
        <v>0</v>
      </c>
      <c r="P9" s="465">
        <f>transport!P14</f>
        <v>0</v>
      </c>
      <c r="Q9" s="464">
        <f>SUM(B9:P9)</f>
        <v>405213.28715749911</v>
      </c>
    </row>
    <row r="10" spans="1:17">
      <c r="A10" s="460" t="s">
        <v>569</v>
      </c>
      <c r="B10" s="461">
        <f>transport!B54</f>
        <v>0</v>
      </c>
      <c r="C10" s="461">
        <f>transport!C54</f>
        <v>0</v>
      </c>
      <c r="D10" s="461">
        <f>transport!D54</f>
        <v>0</v>
      </c>
      <c r="E10" s="461">
        <f>transport!E54</f>
        <v>0</v>
      </c>
      <c r="F10" s="461">
        <f>transport!F54</f>
        <v>0</v>
      </c>
      <c r="G10" s="461">
        <f>transport!G54</f>
        <v>1722.5154511912219</v>
      </c>
      <c r="H10" s="461">
        <f>transport!H54</f>
        <v>0</v>
      </c>
      <c r="I10" s="461">
        <f>transport!I54</f>
        <v>0</v>
      </c>
      <c r="J10" s="461">
        <f>transport!J54</f>
        <v>0</v>
      </c>
      <c r="K10" s="461">
        <f>transport!K54</f>
        <v>0</v>
      </c>
      <c r="L10" s="461">
        <f>transport!L54</f>
        <v>0</v>
      </c>
      <c r="M10" s="461">
        <f>transport!M54</f>
        <v>75.638494928780148</v>
      </c>
      <c r="N10" s="461">
        <f>transport!N54</f>
        <v>0</v>
      </c>
      <c r="O10" s="461">
        <f>transport!O54</f>
        <v>0</v>
      </c>
      <c r="P10" s="462">
        <f>transport!P54</f>
        <v>0</v>
      </c>
      <c r="Q10" s="460">
        <f t="shared" si="0"/>
        <v>1798.153946120002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1076.07229925499</v>
      </c>
      <c r="C14" s="468"/>
      <c r="D14" s="468">
        <f>'SEAP template'!E25</f>
        <v>3066.3901372037599</v>
      </c>
      <c r="E14" s="468"/>
      <c r="F14" s="468"/>
      <c r="G14" s="468"/>
      <c r="H14" s="468"/>
      <c r="I14" s="468"/>
      <c r="J14" s="468"/>
      <c r="K14" s="468"/>
      <c r="L14" s="468"/>
      <c r="M14" s="468"/>
      <c r="N14" s="468"/>
      <c r="O14" s="468"/>
      <c r="P14" s="469"/>
      <c r="Q14" s="460">
        <f t="shared" si="0"/>
        <v>4142.4624364587498</v>
      </c>
    </row>
    <row r="15" spans="1:17" s="473" customFormat="1">
      <c r="A15" s="470" t="s">
        <v>573</v>
      </c>
      <c r="B15" s="471">
        <f ca="1">SUM(B4:B14)</f>
        <v>188366.83239048798</v>
      </c>
      <c r="C15" s="471">
        <f t="shared" ref="C15:Q15" ca="1" si="1">SUM(C4:C14)</f>
        <v>20590.714285714283</v>
      </c>
      <c r="D15" s="471">
        <f t="shared" ca="1" si="1"/>
        <v>220935.74472649168</v>
      </c>
      <c r="E15" s="471">
        <f t="shared" si="1"/>
        <v>5357.7104619460079</v>
      </c>
      <c r="F15" s="471">
        <f t="shared" ca="1" si="1"/>
        <v>40823.673104957721</v>
      </c>
      <c r="G15" s="471">
        <f t="shared" si="1"/>
        <v>337877.3431223433</v>
      </c>
      <c r="H15" s="471">
        <f t="shared" si="1"/>
        <v>50396.912574567643</v>
      </c>
      <c r="I15" s="471">
        <f t="shared" si="1"/>
        <v>0</v>
      </c>
      <c r="J15" s="471">
        <f t="shared" si="1"/>
        <v>330.717469298673</v>
      </c>
      <c r="K15" s="471">
        <f t="shared" si="1"/>
        <v>0</v>
      </c>
      <c r="L15" s="471">
        <f t="shared" ca="1" si="1"/>
        <v>0</v>
      </c>
      <c r="M15" s="471">
        <f t="shared" si="1"/>
        <v>17350.087208745688</v>
      </c>
      <c r="N15" s="471">
        <f t="shared" ca="1" si="1"/>
        <v>14390.753471865402</v>
      </c>
      <c r="O15" s="471">
        <f t="shared" si="1"/>
        <v>117.25</v>
      </c>
      <c r="P15" s="471">
        <f t="shared" si="1"/>
        <v>209.73333333333335</v>
      </c>
      <c r="Q15" s="471">
        <f t="shared" ca="1" si="1"/>
        <v>896747.47214975185</v>
      </c>
    </row>
    <row r="17" spans="1:17">
      <c r="A17" s="474" t="s">
        <v>574</v>
      </c>
      <c r="B17" s="778">
        <f ca="1">huishoudens!B10</f>
        <v>0.21682371899387551</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6507.6524818472944</v>
      </c>
      <c r="C22" s="461">
        <f t="shared" ref="C22:C32" ca="1" si="3">C4*$C$17</f>
        <v>0</v>
      </c>
      <c r="D22" s="461">
        <f t="shared" ref="D22:D32" si="4">D4*$D$17</f>
        <v>16765.776686373407</v>
      </c>
      <c r="E22" s="461">
        <f t="shared" ref="E22:E32" si="5">E4*$E$17</f>
        <v>641.94963406830539</v>
      </c>
      <c r="F22" s="461">
        <f t="shared" ref="F22:F32" si="6">F4*$F$17</f>
        <v>2982.6037387080014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26897.982540997007</v>
      </c>
    </row>
    <row r="23" spans="1:17">
      <c r="A23" s="460" t="s">
        <v>156</v>
      </c>
      <c r="B23" s="461">
        <f t="shared" ca="1" si="2"/>
        <v>7072.4461187426423</v>
      </c>
      <c r="C23" s="461">
        <f t="shared" ca="1" si="3"/>
        <v>0</v>
      </c>
      <c r="D23" s="461">
        <f t="shared" ca="1" si="4"/>
        <v>6207.9167293426754</v>
      </c>
      <c r="E23" s="461">
        <f t="shared" si="5"/>
        <v>62.310022055378653</v>
      </c>
      <c r="F23" s="461">
        <f t="shared" ca="1" si="6"/>
        <v>1659.125654144726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15001.798524285423</v>
      </c>
    </row>
    <row r="24" spans="1:17">
      <c r="A24" s="460" t="s">
        <v>194</v>
      </c>
      <c r="B24" s="461">
        <f t="shared" ca="1" si="2"/>
        <v>326.01202422853032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326.01202422853032</v>
      </c>
    </row>
    <row r="25" spans="1:17">
      <c r="A25" s="460" t="s">
        <v>112</v>
      </c>
      <c r="B25" s="461">
        <f t="shared" ca="1" si="2"/>
        <v>199.02289728728326</v>
      </c>
      <c r="C25" s="461">
        <f t="shared" ca="1" si="3"/>
        <v>0</v>
      </c>
      <c r="D25" s="461">
        <f t="shared" si="4"/>
        <v>97.334252729148176</v>
      </c>
      <c r="E25" s="461">
        <f t="shared" si="5"/>
        <v>1.9629258945730104</v>
      </c>
      <c r="F25" s="461">
        <f t="shared" si="6"/>
        <v>799.77672057837276</v>
      </c>
      <c r="G25" s="461">
        <f t="shared" si="7"/>
        <v>0</v>
      </c>
      <c r="H25" s="461">
        <f t="shared" si="8"/>
        <v>0</v>
      </c>
      <c r="I25" s="461">
        <f t="shared" si="9"/>
        <v>0</v>
      </c>
      <c r="J25" s="461">
        <f t="shared" si="10"/>
        <v>40.196319834274512</v>
      </c>
      <c r="K25" s="461">
        <f t="shared" si="11"/>
        <v>0</v>
      </c>
      <c r="L25" s="461">
        <f t="shared" si="12"/>
        <v>0</v>
      </c>
      <c r="M25" s="461">
        <f t="shared" si="13"/>
        <v>0</v>
      </c>
      <c r="N25" s="461">
        <f t="shared" si="14"/>
        <v>0</v>
      </c>
      <c r="O25" s="461">
        <f t="shared" si="15"/>
        <v>0</v>
      </c>
      <c r="P25" s="462">
        <f t="shared" si="16"/>
        <v>0</v>
      </c>
      <c r="Q25" s="460">
        <f t="shared" ca="1" si="17"/>
        <v>1138.2931163236517</v>
      </c>
    </row>
    <row r="26" spans="1:17">
      <c r="A26" s="460" t="s">
        <v>685</v>
      </c>
      <c r="B26" s="461">
        <f t="shared" ca="1" si="2"/>
        <v>26502.196172357308</v>
      </c>
      <c r="C26" s="461">
        <f t="shared" ca="1" si="3"/>
        <v>4893.3226890756296</v>
      </c>
      <c r="D26" s="461">
        <f t="shared" si="4"/>
        <v>20934.044365538011</v>
      </c>
      <c r="E26" s="461">
        <f t="shared" si="5"/>
        <v>202.03712726664656</v>
      </c>
      <c r="F26" s="461">
        <f t="shared" si="6"/>
        <v>5458.414605592613</v>
      </c>
      <c r="G26" s="461">
        <f t="shared" si="7"/>
        <v>0</v>
      </c>
      <c r="H26" s="461">
        <f t="shared" si="8"/>
        <v>0</v>
      </c>
      <c r="I26" s="461">
        <f t="shared" si="9"/>
        <v>0</v>
      </c>
      <c r="J26" s="461">
        <f t="shared" si="10"/>
        <v>76.877664297455738</v>
      </c>
      <c r="K26" s="461">
        <f t="shared" si="11"/>
        <v>0</v>
      </c>
      <c r="L26" s="461">
        <f t="shared" si="12"/>
        <v>0</v>
      </c>
      <c r="M26" s="461">
        <f t="shared" si="13"/>
        <v>0</v>
      </c>
      <c r="N26" s="461">
        <f t="shared" si="14"/>
        <v>0</v>
      </c>
      <c r="O26" s="461">
        <f t="shared" si="15"/>
        <v>0</v>
      </c>
      <c r="P26" s="462">
        <f t="shared" si="16"/>
        <v>0</v>
      </c>
      <c r="Q26" s="460">
        <f t="shared" ca="1" si="17"/>
        <v>58066.892624127657</v>
      </c>
    </row>
    <row r="27" spans="1:17" s="466" customFormat="1">
      <c r="A27" s="464" t="s">
        <v>579</v>
      </c>
      <c r="B27" s="772">
        <f t="shared" ca="1" si="2"/>
        <v>1.7494417077940809</v>
      </c>
      <c r="C27" s="465">
        <f t="shared" ca="1" si="3"/>
        <v>0</v>
      </c>
      <c r="D27" s="465">
        <f t="shared" si="4"/>
        <v>4.537593052922019</v>
      </c>
      <c r="E27" s="465">
        <f t="shared" si="5"/>
        <v>307.94056557684024</v>
      </c>
      <c r="F27" s="465">
        <f t="shared" si="6"/>
        <v>0</v>
      </c>
      <c r="G27" s="465">
        <f t="shared" si="7"/>
        <v>89753.338988197604</v>
      </c>
      <c r="H27" s="465">
        <f t="shared" si="8"/>
        <v>12548.831231067343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102616.39781960251</v>
      </c>
    </row>
    <row r="28" spans="1:17">
      <c r="A28" s="460" t="s">
        <v>569</v>
      </c>
      <c r="B28" s="461">
        <f t="shared" ca="1" si="2"/>
        <v>0</v>
      </c>
      <c r="C28" s="461">
        <f t="shared" ca="1" si="3"/>
        <v>0</v>
      </c>
      <c r="D28" s="461">
        <f t="shared" si="4"/>
        <v>0</v>
      </c>
      <c r="E28" s="461">
        <f t="shared" si="5"/>
        <v>0</v>
      </c>
      <c r="F28" s="461">
        <f t="shared" si="6"/>
        <v>0</v>
      </c>
      <c r="G28" s="461">
        <f t="shared" si="7"/>
        <v>459.91162546805629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459.91162546805629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233.31799783075746</v>
      </c>
      <c r="C32" s="461">
        <f t="shared" ca="1" si="3"/>
        <v>0</v>
      </c>
      <c r="D32" s="461">
        <f t="shared" si="4"/>
        <v>619.41080771515954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852.728805545917</v>
      </c>
    </row>
    <row r="33" spans="1:17" s="473" customFormat="1">
      <c r="A33" s="470" t="s">
        <v>573</v>
      </c>
      <c r="B33" s="471">
        <f ca="1">SUM(B22:B32)</f>
        <v>40842.397134001607</v>
      </c>
      <c r="C33" s="471">
        <f t="shared" ref="C33:Q33" ca="1" si="18">SUM(C22:C32)</f>
        <v>4893.3226890756296</v>
      </c>
      <c r="D33" s="471">
        <f t="shared" ca="1" si="18"/>
        <v>44629.020434751328</v>
      </c>
      <c r="E33" s="471">
        <f t="shared" si="18"/>
        <v>1216.200274861744</v>
      </c>
      <c r="F33" s="471">
        <f t="shared" ca="1" si="18"/>
        <v>10899.920719023714</v>
      </c>
      <c r="G33" s="471">
        <f t="shared" si="18"/>
        <v>90213.250613665659</v>
      </c>
      <c r="H33" s="471">
        <f t="shared" si="18"/>
        <v>12548.831231067343</v>
      </c>
      <c r="I33" s="471">
        <f t="shared" si="18"/>
        <v>0</v>
      </c>
      <c r="J33" s="471">
        <f t="shared" si="18"/>
        <v>117.07398413173024</v>
      </c>
      <c r="K33" s="471">
        <f t="shared" si="18"/>
        <v>0</v>
      </c>
      <c r="L33" s="471">
        <f t="shared" ca="1" si="18"/>
        <v>0</v>
      </c>
      <c r="M33" s="471">
        <f t="shared" si="18"/>
        <v>0</v>
      </c>
      <c r="N33" s="471">
        <f t="shared" ca="1" si="18"/>
        <v>0</v>
      </c>
      <c r="O33" s="471">
        <f t="shared" si="18"/>
        <v>0</v>
      </c>
      <c r="P33" s="471">
        <f t="shared" si="18"/>
        <v>0</v>
      </c>
      <c r="Q33" s="471">
        <f t="shared" ca="1" si="18"/>
        <v>205360.01708057875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11422.726477954726</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7636.091199190827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14413.499999999998</v>
      </c>
      <c r="D8" s="1037">
        <f>'SEAP template'!D76</f>
        <v>16957.058823529409</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3425.3258823529409</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19058.817677145555</v>
      </c>
      <c r="C10" s="1041">
        <f>SUM(C4:C9)</f>
        <v>14413.499999999998</v>
      </c>
      <c r="D10" s="1041">
        <f t="shared" ref="D10:H10" si="0">SUM(D8:D9)</f>
        <v>16957.058823529409</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3425.3258823529409</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0.21682371899387551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20590.714285714283</v>
      </c>
      <c r="D17" s="1038">
        <f>'SEAP template'!D87</f>
        <v>24224.369747899153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4893.3226890756296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20590.714285714283</v>
      </c>
      <c r="D20" s="1041">
        <f t="shared" ref="D20:H20" si="2">SUM(D17:D19)</f>
        <v>24224.369747899153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4893.3226890756296</v>
      </c>
    </row>
    <row r="22" spans="1:16">
      <c r="A22" s="474" t="s">
        <v>933</v>
      </c>
      <c r="B22" s="778" t="s">
        <v>927</v>
      </c>
      <c r="C22" s="778">
        <f ca="1">'EF ele_warmte'!B22</f>
        <v>0.23764705882352941</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0.21682371899387551</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0.21682371899387551</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0.21682371899387551</v>
      </c>
      <c r="C29" s="511">
        <f ca="1">'EF ele_warmte'!B22</f>
        <v>0.23764705882352941</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12030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6786</v>
      </c>
      <c r="C9" s="338">
        <v>7472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1150</v>
      </c>
    </row>
    <row r="15" spans="1:6">
      <c r="A15" s="1286" t="s">
        <v>184</v>
      </c>
      <c r="B15" s="335">
        <v>1181</v>
      </c>
    </row>
    <row r="16" spans="1:6">
      <c r="A16" s="1286" t="s">
        <v>6</v>
      </c>
      <c r="B16" s="335">
        <v>498</v>
      </c>
    </row>
    <row r="17" spans="1:6">
      <c r="A17" s="1286" t="s">
        <v>7</v>
      </c>
      <c r="B17" s="335">
        <v>5</v>
      </c>
    </row>
    <row r="18" spans="1:6">
      <c r="A18" s="1286" t="s">
        <v>8</v>
      </c>
      <c r="B18" s="335">
        <v>216</v>
      </c>
    </row>
    <row r="19" spans="1:6">
      <c r="A19" s="1286" t="s">
        <v>9</v>
      </c>
      <c r="B19" s="335">
        <v>75</v>
      </c>
    </row>
    <row r="20" spans="1:6">
      <c r="A20" s="1286" t="s">
        <v>10</v>
      </c>
      <c r="B20" s="335">
        <v>61</v>
      </c>
    </row>
    <row r="21" spans="1:6">
      <c r="A21" s="1286" t="s">
        <v>11</v>
      </c>
      <c r="B21" s="335">
        <v>0</v>
      </c>
    </row>
    <row r="22" spans="1:6">
      <c r="A22" s="1286" t="s">
        <v>12</v>
      </c>
      <c r="B22" s="335">
        <v>2</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3230</v>
      </c>
    </row>
    <row r="29" spans="1:6">
      <c r="A29" s="1287" t="s">
        <v>942</v>
      </c>
      <c r="B29" s="1287">
        <v>111</v>
      </c>
      <c r="C29" s="341"/>
      <c r="D29" s="341"/>
      <c r="E29" s="341"/>
      <c r="F29" s="341"/>
    </row>
    <row r="30" spans="1:6">
      <c r="A30" s="1282" t="s">
        <v>943</v>
      </c>
      <c r="B30" s="1282">
        <v>52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40405.839883406297</v>
      </c>
    </row>
    <row r="39" spans="1:6">
      <c r="A39" s="1286" t="s">
        <v>30</v>
      </c>
      <c r="B39" s="1286" t="s">
        <v>31</v>
      </c>
      <c r="C39" s="335">
        <v>4976</v>
      </c>
      <c r="D39" s="335">
        <v>92016512.735029995</v>
      </c>
      <c r="E39" s="335">
        <v>6767</v>
      </c>
      <c r="F39" s="335">
        <v>27107667.70504</v>
      </c>
    </row>
    <row r="40" spans="1:6">
      <c r="A40" s="1286" t="s">
        <v>30</v>
      </c>
      <c r="B40" s="1286" t="s">
        <v>29</v>
      </c>
      <c r="C40" s="335">
        <v>0</v>
      </c>
      <c r="D40" s="335">
        <v>0</v>
      </c>
      <c r="E40" s="335">
        <v>0</v>
      </c>
      <c r="F40" s="335">
        <v>0</v>
      </c>
    </row>
    <row r="41" spans="1:6">
      <c r="A41" s="1286" t="s">
        <v>32</v>
      </c>
      <c r="B41" s="1286" t="s">
        <v>33</v>
      </c>
      <c r="C41" s="335">
        <v>42</v>
      </c>
      <c r="D41" s="335">
        <v>1819566.02615967</v>
      </c>
      <c r="E41" s="335">
        <v>134</v>
      </c>
      <c r="F41" s="335">
        <v>12127678.980043801</v>
      </c>
    </row>
    <row r="42" spans="1:6">
      <c r="A42" s="1286" t="s">
        <v>32</v>
      </c>
      <c r="B42" s="1286" t="s">
        <v>34</v>
      </c>
      <c r="C42" s="335">
        <v>9</v>
      </c>
      <c r="D42" s="335">
        <v>102407801.402201</v>
      </c>
      <c r="E42" s="335">
        <v>9</v>
      </c>
      <c r="F42" s="335">
        <v>37614238.430742703</v>
      </c>
    </row>
    <row r="43" spans="1:6">
      <c r="A43" s="1286" t="s">
        <v>32</v>
      </c>
      <c r="B43" s="1286" t="s">
        <v>35</v>
      </c>
      <c r="C43" s="335">
        <v>0</v>
      </c>
      <c r="D43" s="335">
        <v>0</v>
      </c>
      <c r="E43" s="335">
        <v>0</v>
      </c>
      <c r="F43" s="335">
        <v>0</v>
      </c>
    </row>
    <row r="44" spans="1:6">
      <c r="A44" s="1286" t="s">
        <v>32</v>
      </c>
      <c r="B44" s="1286" t="s">
        <v>36</v>
      </c>
      <c r="C44" s="335">
        <v>3</v>
      </c>
      <c r="D44" s="335">
        <v>241908.99318396699</v>
      </c>
      <c r="E44" s="335">
        <v>9</v>
      </c>
      <c r="F44" s="335">
        <v>152414.58209031701</v>
      </c>
    </row>
    <row r="45" spans="1:6">
      <c r="A45" s="1286" t="s">
        <v>32</v>
      </c>
      <c r="B45" s="1286" t="s">
        <v>37</v>
      </c>
      <c r="C45" s="335">
        <v>3</v>
      </c>
      <c r="D45" s="335">
        <v>120216.181238265</v>
      </c>
      <c r="E45" s="335">
        <v>3</v>
      </c>
      <c r="F45" s="335">
        <v>35547.187207780698</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30</v>
      </c>
      <c r="D48" s="335">
        <v>29448028.6479173</v>
      </c>
      <c r="E48" s="335">
        <v>44</v>
      </c>
      <c r="F48" s="335">
        <v>42401265.519123398</v>
      </c>
    </row>
    <row r="49" spans="1:6">
      <c r="A49" s="1286" t="s">
        <v>32</v>
      </c>
      <c r="B49" s="1286" t="s">
        <v>40</v>
      </c>
      <c r="C49" s="335">
        <v>0</v>
      </c>
      <c r="D49" s="335">
        <v>0</v>
      </c>
      <c r="E49" s="335">
        <v>0</v>
      </c>
      <c r="F49" s="335">
        <v>0</v>
      </c>
    </row>
    <row r="50" spans="1:6">
      <c r="A50" s="1286" t="s">
        <v>32</v>
      </c>
      <c r="B50" s="1286" t="s">
        <v>41</v>
      </c>
      <c r="C50" s="335">
        <v>13</v>
      </c>
      <c r="D50" s="335">
        <v>26511604.6574389</v>
      </c>
      <c r="E50" s="335">
        <v>13</v>
      </c>
      <c r="F50" s="335">
        <v>15484585.088635899</v>
      </c>
    </row>
    <row r="51" spans="1:6">
      <c r="A51" s="1286" t="s">
        <v>42</v>
      </c>
      <c r="B51" s="1286" t="s">
        <v>43</v>
      </c>
      <c r="C51" s="335">
        <v>6</v>
      </c>
      <c r="D51" s="335">
        <v>154471.80436510401</v>
      </c>
      <c r="E51" s="335">
        <v>40</v>
      </c>
      <c r="F51" s="335">
        <v>727616.80514834903</v>
      </c>
    </row>
    <row r="52" spans="1:6">
      <c r="A52" s="1286" t="s">
        <v>42</v>
      </c>
      <c r="B52" s="1286" t="s">
        <v>29</v>
      </c>
      <c r="C52" s="335">
        <v>2</v>
      </c>
      <c r="D52" s="335">
        <v>379733.00304388901</v>
      </c>
      <c r="E52" s="335">
        <v>12</v>
      </c>
      <c r="F52" s="335">
        <v>190285.065600879</v>
      </c>
    </row>
    <row r="53" spans="1:6">
      <c r="A53" s="1286" t="s">
        <v>44</v>
      </c>
      <c r="B53" s="1286" t="s">
        <v>45</v>
      </c>
      <c r="C53" s="335">
        <v>109</v>
      </c>
      <c r="D53" s="335">
        <v>3066390.13720376</v>
      </c>
      <c r="E53" s="335">
        <v>190</v>
      </c>
      <c r="F53" s="335">
        <v>1076072.2992549899</v>
      </c>
    </row>
    <row r="54" spans="1:6">
      <c r="A54" s="1286" t="s">
        <v>46</v>
      </c>
      <c r="B54" s="1286" t="s">
        <v>47</v>
      </c>
      <c r="C54" s="335">
        <v>0</v>
      </c>
      <c r="D54" s="335">
        <v>0</v>
      </c>
      <c r="E54" s="335">
        <v>1</v>
      </c>
      <c r="F54" s="335">
        <v>1503581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29</v>
      </c>
      <c r="D57" s="335">
        <v>1238837.0188331699</v>
      </c>
      <c r="E57" s="335">
        <v>62</v>
      </c>
      <c r="F57" s="335">
        <v>2307056.9210576001</v>
      </c>
    </row>
    <row r="58" spans="1:6">
      <c r="A58" s="1286" t="s">
        <v>49</v>
      </c>
      <c r="B58" s="1286" t="s">
        <v>51</v>
      </c>
      <c r="C58" s="335">
        <v>18</v>
      </c>
      <c r="D58" s="335">
        <v>2148093.9165735799</v>
      </c>
      <c r="E58" s="335">
        <v>35</v>
      </c>
      <c r="F58" s="335">
        <v>1448710.62966287</v>
      </c>
    </row>
    <row r="59" spans="1:6">
      <c r="A59" s="1286" t="s">
        <v>49</v>
      </c>
      <c r="B59" s="1286" t="s">
        <v>52</v>
      </c>
      <c r="C59" s="335">
        <v>90</v>
      </c>
      <c r="D59" s="335">
        <v>5049786.7788793202</v>
      </c>
      <c r="E59" s="335">
        <v>157</v>
      </c>
      <c r="F59" s="335">
        <v>6336143.2198104504</v>
      </c>
    </row>
    <row r="60" spans="1:6">
      <c r="A60" s="1286" t="s">
        <v>49</v>
      </c>
      <c r="B60" s="1286" t="s">
        <v>53</v>
      </c>
      <c r="C60" s="335">
        <v>41</v>
      </c>
      <c r="D60" s="335">
        <v>2266985.41634792</v>
      </c>
      <c r="E60" s="335">
        <v>113</v>
      </c>
      <c r="F60" s="335">
        <v>2449022.5643725898</v>
      </c>
    </row>
    <row r="61" spans="1:6">
      <c r="A61" s="1286" t="s">
        <v>49</v>
      </c>
      <c r="B61" s="1286" t="s">
        <v>54</v>
      </c>
      <c r="C61" s="335">
        <v>142</v>
      </c>
      <c r="D61" s="335">
        <v>13776839.2851029</v>
      </c>
      <c r="E61" s="335">
        <v>218</v>
      </c>
      <c r="F61" s="335">
        <v>11003799.161994601</v>
      </c>
    </row>
    <row r="62" spans="1:6">
      <c r="A62" s="1286" t="s">
        <v>49</v>
      </c>
      <c r="B62" s="1286" t="s">
        <v>55</v>
      </c>
      <c r="C62" s="335">
        <v>19</v>
      </c>
      <c r="D62" s="335">
        <v>1926472.88078936</v>
      </c>
      <c r="E62" s="335">
        <v>20</v>
      </c>
      <c r="F62" s="335">
        <v>434056.99093332601</v>
      </c>
    </row>
    <row r="63" spans="1:6">
      <c r="A63" s="1286" t="s">
        <v>49</v>
      </c>
      <c r="B63" s="1286" t="s">
        <v>29</v>
      </c>
      <c r="C63" s="335">
        <v>99</v>
      </c>
      <c r="D63" s="335">
        <v>7664227.5375645198</v>
      </c>
      <c r="E63" s="335">
        <v>115</v>
      </c>
      <c r="F63" s="335">
        <v>8639625.8385029193</v>
      </c>
    </row>
    <row r="64" spans="1:6">
      <c r="A64" s="1286" t="s">
        <v>56</v>
      </c>
      <c r="B64" s="1286" t="s">
        <v>57</v>
      </c>
      <c r="C64" s="335">
        <v>0</v>
      </c>
      <c r="D64" s="335">
        <v>0</v>
      </c>
      <c r="E64" s="335">
        <v>0</v>
      </c>
      <c r="F64" s="335">
        <v>0</v>
      </c>
    </row>
    <row r="65" spans="1:6">
      <c r="A65" s="1286" t="s">
        <v>56</v>
      </c>
      <c r="B65" s="1286" t="s">
        <v>29</v>
      </c>
      <c r="C65" s="335">
        <v>0</v>
      </c>
      <c r="D65" s="335">
        <v>0</v>
      </c>
      <c r="E65" s="335">
        <v>1</v>
      </c>
      <c r="F65" s="335">
        <v>466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12</v>
      </c>
      <c r="D68" s="335">
        <v>4213480.9306717599</v>
      </c>
      <c r="E68" s="335">
        <v>37</v>
      </c>
      <c r="F68" s="335">
        <v>1893921.5382890501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250388346</v>
      </c>
      <c r="E73" s="335">
        <v>262990277.49462846</v>
      </c>
    </row>
    <row r="74" spans="1:6">
      <c r="A74" s="1286" t="s">
        <v>64</v>
      </c>
      <c r="B74" s="1286" t="s">
        <v>772</v>
      </c>
      <c r="C74" s="1297" t="s">
        <v>766</v>
      </c>
      <c r="D74" s="335">
        <v>36511875.734926827</v>
      </c>
      <c r="E74" s="335">
        <v>38390959.838018499</v>
      </c>
    </row>
    <row r="75" spans="1:6">
      <c r="A75" s="1286" t="s">
        <v>65</v>
      </c>
      <c r="B75" s="1286" t="s">
        <v>771</v>
      </c>
      <c r="C75" s="1297" t="s">
        <v>767</v>
      </c>
      <c r="D75" s="335">
        <v>64626025</v>
      </c>
      <c r="E75" s="335">
        <v>66654712.916097566</v>
      </c>
    </row>
    <row r="76" spans="1:6">
      <c r="A76" s="1286" t="s">
        <v>65</v>
      </c>
      <c r="B76" s="1286" t="s">
        <v>772</v>
      </c>
      <c r="C76" s="1297" t="s">
        <v>768</v>
      </c>
      <c r="D76" s="335">
        <v>8498037.7349268273</v>
      </c>
      <c r="E76" s="335">
        <v>9027822.8102678396</v>
      </c>
    </row>
    <row r="77" spans="1:6">
      <c r="A77" s="1286" t="s">
        <v>66</v>
      </c>
      <c r="B77" s="1286" t="s">
        <v>771</v>
      </c>
      <c r="C77" s="1297" t="s">
        <v>769</v>
      </c>
      <c r="D77" s="335">
        <v>68468844</v>
      </c>
      <c r="E77" s="335">
        <v>74617012.766985089</v>
      </c>
    </row>
    <row r="78" spans="1:6">
      <c r="A78" s="1282" t="s">
        <v>66</v>
      </c>
      <c r="B78" s="1282" t="s">
        <v>772</v>
      </c>
      <c r="C78" s="1282" t="s">
        <v>770</v>
      </c>
      <c r="D78" s="1282">
        <v>8531359</v>
      </c>
      <c r="E78" s="1282">
        <v>9950154.5829242356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473100.5301463466</v>
      </c>
      <c r="C83" s="335">
        <v>445349.14576374175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11422.726477954726</v>
      </c>
    </row>
    <row r="91" spans="1:6">
      <c r="A91" s="1286" t="s">
        <v>68</v>
      </c>
      <c r="B91" s="335">
        <v>2905.8959034280974</v>
      </c>
    </row>
    <row r="92" spans="1:6">
      <c r="A92" s="1282" t="s">
        <v>69</v>
      </c>
      <c r="B92" s="338">
        <v>4730.19529576273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3477</v>
      </c>
    </row>
    <row r="98" spans="1:6">
      <c r="A98" s="1286" t="s">
        <v>72</v>
      </c>
      <c r="B98" s="335">
        <v>9</v>
      </c>
    </row>
    <row r="99" spans="1:6">
      <c r="A99" s="1286" t="s">
        <v>73</v>
      </c>
      <c r="B99" s="335">
        <v>46</v>
      </c>
    </row>
    <row r="100" spans="1:6">
      <c r="A100" s="1286" t="s">
        <v>74</v>
      </c>
      <c r="B100" s="335">
        <v>346</v>
      </c>
    </row>
    <row r="101" spans="1:6">
      <c r="A101" s="1286" t="s">
        <v>75</v>
      </c>
      <c r="B101" s="335">
        <v>50</v>
      </c>
    </row>
    <row r="102" spans="1:6">
      <c r="A102" s="1286" t="s">
        <v>76</v>
      </c>
      <c r="B102" s="335">
        <v>70</v>
      </c>
    </row>
    <row r="103" spans="1:6">
      <c r="A103" s="1286" t="s">
        <v>77</v>
      </c>
      <c r="B103" s="335">
        <v>102</v>
      </c>
    </row>
    <row r="104" spans="1:6">
      <c r="A104" s="1286" t="s">
        <v>78</v>
      </c>
      <c r="B104" s="335">
        <v>1915</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10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65</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188366.83239048795</v>
      </c>
      <c r="C3" s="44" t="s">
        <v>170</v>
      </c>
      <c r="D3" s="44"/>
      <c r="E3" s="157"/>
      <c r="F3" s="44"/>
      <c r="G3" s="44"/>
      <c r="H3" s="44"/>
      <c r="I3" s="44"/>
      <c r="J3" s="44"/>
      <c r="K3" s="97"/>
    </row>
    <row r="4" spans="1:11">
      <c r="A4" s="365" t="s">
        <v>171</v>
      </c>
      <c r="B4" s="50">
        <f>IF(ISERROR('SEAP template'!B78),0,'SEAP template'!B78)</f>
        <v>19058.817677145555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3425.3258823529409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0.21682371899387551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4893.3226890756296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20590.714285714283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1503.5809999999999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1503.5809999999999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0.21682371899387551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326.01202422853032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27107.667705039999</v>
      </c>
      <c r="C5" s="18">
        <f>IF(ISERROR('Eigen informatie GS &amp; warmtenet'!B57),0,'Eigen informatie GS &amp; warmtenet'!B57)</f>
        <v>0</v>
      </c>
      <c r="D5" s="31">
        <f>(SUM(HH_hh_gas_kWh,HH_rest_gas_kWh)/1000)*0.902</f>
        <v>82998.894486997058</v>
      </c>
      <c r="E5" s="18">
        <f>B46*B57</f>
        <v>2827.9719562480414</v>
      </c>
      <c r="F5" s="18">
        <f>B51*B62</f>
        <v>11170.800519505623</v>
      </c>
      <c r="G5" s="19"/>
      <c r="H5" s="18"/>
      <c r="I5" s="18"/>
      <c r="J5" s="18">
        <f>B50*B61+C50*C61</f>
        <v>0</v>
      </c>
      <c r="K5" s="18"/>
      <c r="L5" s="18"/>
      <c r="M5" s="18"/>
      <c r="N5" s="18">
        <f>B48*B59+C48*C59</f>
        <v>9982.5640547478761</v>
      </c>
      <c r="O5" s="18">
        <f>B69*B70*B71</f>
        <v>117.25</v>
      </c>
      <c r="P5" s="18">
        <f>B77*B78*B79/1000-B77*B78*B79/1000/B80</f>
        <v>209.73333333333335</v>
      </c>
    </row>
    <row r="6" spans="1:16">
      <c r="A6" s="17" t="s">
        <v>639</v>
      </c>
      <c r="B6" s="780">
        <f>kWh_PV_kleiner_dan_10kW</f>
        <v>2905.8959034280974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30013.563608468095</v>
      </c>
      <c r="C8" s="22">
        <f>C5</f>
        <v>0</v>
      </c>
      <c r="D8" s="22">
        <f>D5</f>
        <v>82998.894486997058</v>
      </c>
      <c r="E8" s="22">
        <f>E5</f>
        <v>2827.9719562480414</v>
      </c>
      <c r="F8" s="22">
        <f>F5</f>
        <v>11170.800519505623</v>
      </c>
      <c r="G8" s="22"/>
      <c r="H8" s="22"/>
      <c r="I8" s="22"/>
      <c r="J8" s="22">
        <f>J5</f>
        <v>0</v>
      </c>
      <c r="K8" s="22"/>
      <c r="L8" s="22">
        <f>L5</f>
        <v>0</v>
      </c>
      <c r="M8" s="22">
        <f>M5</f>
        <v>0</v>
      </c>
      <c r="N8" s="22">
        <f>N5</f>
        <v>9982.5640547478761</v>
      </c>
      <c r="O8" s="22">
        <f>O5</f>
        <v>117.25</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0.21682371899387551</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6507.6524818472944</v>
      </c>
      <c r="C12" s="24">
        <f ca="1">C10*C8</f>
        <v>0</v>
      </c>
      <c r="D12" s="24">
        <f>D8*D10</f>
        <v>16765.776686373407</v>
      </c>
      <c r="E12" s="24">
        <f>E10*E8</f>
        <v>641.94963406830539</v>
      </c>
      <c r="F12" s="24">
        <f>F10*F8</f>
        <v>2982.6037387080014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3477</v>
      </c>
      <c r="C18" s="169" t="s">
        <v>111</v>
      </c>
      <c r="D18" s="231"/>
      <c r="E18" s="16"/>
    </row>
    <row r="19" spans="1:7">
      <c r="A19" s="174" t="s">
        <v>72</v>
      </c>
      <c r="B19" s="38">
        <f>aantalw2001_ander</f>
        <v>9</v>
      </c>
      <c r="C19" s="169" t="s">
        <v>111</v>
      </c>
      <c r="D19" s="232"/>
      <c r="E19" s="16"/>
    </row>
    <row r="20" spans="1:7">
      <c r="A20" s="174" t="s">
        <v>73</v>
      </c>
      <c r="B20" s="38">
        <f>aantalw2001_propaan</f>
        <v>46</v>
      </c>
      <c r="C20" s="170">
        <f>IF(ISERROR(B20/SUM($B$20,$B$21,$B$22)*100),0,B20/SUM($B$20,$B$21,$B$22)*100)</f>
        <v>10.407239819004525</v>
      </c>
      <c r="D20" s="232"/>
      <c r="E20" s="16"/>
    </row>
    <row r="21" spans="1:7">
      <c r="A21" s="174" t="s">
        <v>74</v>
      </c>
      <c r="B21" s="38">
        <f>aantalw2001_elektriciteit</f>
        <v>346</v>
      </c>
      <c r="C21" s="170">
        <f>IF(ISERROR(B21/SUM($B$20,$B$21,$B$22)*100),0,B21/SUM($B$20,$B$21,$B$22)*100)</f>
        <v>78.280542986425345</v>
      </c>
      <c r="D21" s="232"/>
      <c r="E21" s="16"/>
    </row>
    <row r="22" spans="1:7">
      <c r="A22" s="174" t="s">
        <v>75</v>
      </c>
      <c r="B22" s="38">
        <f>aantalw2001_hout</f>
        <v>50</v>
      </c>
      <c r="C22" s="170">
        <f>IF(ISERROR(B22/SUM($B$20,$B$21,$B$22)*100),0,B22/SUM($B$20,$B$21,$B$22)*100)</f>
        <v>11.312217194570136</v>
      </c>
      <c r="D22" s="232"/>
      <c r="E22" s="16"/>
    </row>
    <row r="23" spans="1:7">
      <c r="A23" s="174" t="s">
        <v>76</v>
      </c>
      <c r="B23" s="38">
        <f>aantalw2001_niet_gespec</f>
        <v>70</v>
      </c>
      <c r="C23" s="169" t="s">
        <v>111</v>
      </c>
      <c r="D23" s="231"/>
      <c r="E23" s="16"/>
    </row>
    <row r="24" spans="1:7">
      <c r="A24" s="174" t="s">
        <v>77</v>
      </c>
      <c r="B24" s="38">
        <f>aantalw2001_steenkool</f>
        <v>102</v>
      </c>
      <c r="C24" s="169" t="s">
        <v>111</v>
      </c>
      <c r="D24" s="232"/>
      <c r="E24" s="16"/>
    </row>
    <row r="25" spans="1:7">
      <c r="A25" s="174" t="s">
        <v>78</v>
      </c>
      <c r="B25" s="38">
        <f>aantalw2001_stookolie</f>
        <v>1915</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6786</v>
      </c>
      <c r="C28" s="37"/>
      <c r="D28" s="231"/>
    </row>
    <row r="29" spans="1:7" s="16" customFormat="1">
      <c r="A29" s="233" t="s">
        <v>666</v>
      </c>
      <c r="B29" s="38">
        <f>SUM(HH_hh_gas_aantal,HH_rest_gas_aantal)</f>
        <v>4976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4976</v>
      </c>
      <c r="C32" s="170">
        <f>IF(ISERROR(B32/SUM($B$32,$B$34,$B$35,$B$36,$B$38,$B$39)*100),0,B32/SUM($B$32,$B$34,$B$35,$B$36,$B$38,$B$39)*100)</f>
        <v>73.446494464944649</v>
      </c>
      <c r="D32" s="236"/>
      <c r="G32" s="16"/>
    </row>
    <row r="33" spans="1:7">
      <c r="A33" s="174" t="s">
        <v>72</v>
      </c>
      <c r="B33" s="35" t="s">
        <v>111</v>
      </c>
      <c r="C33" s="170"/>
      <c r="D33" s="236"/>
      <c r="G33" s="16"/>
    </row>
    <row r="34" spans="1:7">
      <c r="A34" s="174" t="s">
        <v>73</v>
      </c>
      <c r="B34" s="34">
        <f>IF((($B$28-$B$32-$B$39-$B$77-$B$38)*C20/100)&lt;0,0,($B$28-$B$32-$B$39-$B$77-$B$38)*C20/100)</f>
        <v>128.33167420814482</v>
      </c>
      <c r="C34" s="170">
        <f>IF(ISERROR(B34/SUM($B$32,$B$34,$B$35,$B$36,$B$38,$B$39)*100),0,B34/SUM($B$32,$B$34,$B$35,$B$36,$B$38,$B$39)*100)</f>
        <v>1.8941944532567498</v>
      </c>
      <c r="D34" s="236"/>
      <c r="G34" s="16"/>
    </row>
    <row r="35" spans="1:7">
      <c r="A35" s="174" t="s">
        <v>74</v>
      </c>
      <c r="B35" s="34">
        <f>IF((($B$28-$B$32-$B$39-$B$77-$B$38)*C21/100)&lt;0,0,($B$28-$B$32-$B$39-$B$77-$B$38)*C21/100)</f>
        <v>965.27737556561101</v>
      </c>
      <c r="C35" s="170">
        <f>IF(ISERROR(B35/SUM($B$32,$B$34,$B$35,$B$36,$B$38,$B$39)*100),0,B35/SUM($B$32,$B$34,$B$35,$B$36,$B$38,$B$39)*100)</f>
        <v>14.247636539713815</v>
      </c>
      <c r="D35" s="236"/>
      <c r="G35" s="16"/>
    </row>
    <row r="36" spans="1:7">
      <c r="A36" s="174" t="s">
        <v>75</v>
      </c>
      <c r="B36" s="34">
        <f>IF((($B$28-$B$32-$B$39-$B$77-$B$38)*C22/100)&lt;0,0,($B$28-$B$32-$B$39-$B$77-$B$38)*C22/100)</f>
        <v>139.49095022624437</v>
      </c>
      <c r="C36" s="170">
        <f>IF(ISERROR(B36/SUM($B$32,$B$34,$B$35,$B$36,$B$38,$B$39)*100),0,B36/SUM($B$32,$B$34,$B$35,$B$36,$B$38,$B$39)*100)</f>
        <v>2.058907014409511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565.89999999999986</v>
      </c>
      <c r="C39" s="170">
        <f>IF(ISERROR(B39/SUM($B$32,$B$34,$B$35,$B$36,$B$38,$B$39)*100),0,B39/SUM($B$32,$B$34,$B$35,$B$36,$B$38,$B$39)*100)</f>
        <v>8.3527675276752742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4976</v>
      </c>
      <c r="C44" s="35" t="s">
        <v>111</v>
      </c>
      <c r="D44" s="177"/>
    </row>
    <row r="45" spans="1:7">
      <c r="A45" s="174" t="s">
        <v>72</v>
      </c>
      <c r="B45" s="34" t="str">
        <f t="shared" si="0"/>
        <v>-</v>
      </c>
      <c r="C45" s="35" t="s">
        <v>111</v>
      </c>
      <c r="D45" s="177"/>
    </row>
    <row r="46" spans="1:7">
      <c r="A46" s="174" t="s">
        <v>73</v>
      </c>
      <c r="B46" s="34">
        <f t="shared" si="0"/>
        <v>128.33167420814482</v>
      </c>
      <c r="C46" s="35" t="s">
        <v>111</v>
      </c>
      <c r="D46" s="177"/>
    </row>
    <row r="47" spans="1:7">
      <c r="A47" s="174" t="s">
        <v>74</v>
      </c>
      <c r="B47" s="34">
        <f t="shared" si="0"/>
        <v>965.27737556561101</v>
      </c>
      <c r="C47" s="35" t="s">
        <v>111</v>
      </c>
      <c r="D47" s="177"/>
    </row>
    <row r="48" spans="1:7">
      <c r="A48" s="174" t="s">
        <v>75</v>
      </c>
      <c r="B48" s="34">
        <f t="shared" si="0"/>
        <v>139.49095022624437</v>
      </c>
      <c r="C48" s="34">
        <f>B48*10</f>
        <v>1394.9095022624438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565.89999999999986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32618.415326334354</v>
      </c>
      <c r="C5" s="18">
        <f>IF(ISERROR('Eigen informatie GS &amp; warmtenet'!B58),0,'Eigen informatie GS &amp; warmtenet'!B58)</f>
        <v>0</v>
      </c>
      <c r="D5" s="31">
        <f>SUM(D6:D12)</f>
        <v>30732.261036349875</v>
      </c>
      <c r="E5" s="18">
        <f>SUM(E6:E12)</f>
        <v>274.49348923074297</v>
      </c>
      <c r="F5" s="18">
        <f>SUM(F6:F12)</f>
        <v>6213.9537608416704</v>
      </c>
      <c r="G5" s="19"/>
      <c r="H5" s="18"/>
      <c r="I5" s="18"/>
      <c r="J5" s="18">
        <f>SUM(J6:J12)</f>
        <v>0</v>
      </c>
      <c r="K5" s="18"/>
      <c r="L5" s="18"/>
      <c r="M5" s="18"/>
      <c r="N5" s="18">
        <f>SUM(N6:N12)</f>
        <v>1947.0058263917203</v>
      </c>
      <c r="O5" s="18">
        <f>B38*B39*B40</f>
        <v>0</v>
      </c>
      <c r="P5" s="18">
        <f>B46*B47*B48/1000-B46*B47*B48/1000/B49</f>
        <v>0</v>
      </c>
      <c r="R5" s="33"/>
    </row>
    <row r="6" spans="1:18">
      <c r="A6" s="33" t="s">
        <v>54</v>
      </c>
      <c r="B6" s="38">
        <f>B26</f>
        <v>11003.799161994601</v>
      </c>
      <c r="C6" s="34"/>
      <c r="D6" s="38">
        <f>IF(ISERROR(TER_kantoor_gas_kWh/1000),0,TER_kantoor_gas_kWh/1000)*0.902</f>
        <v>12426.709035162816</v>
      </c>
      <c r="E6" s="34">
        <f>$C$26*'E Balans VL '!I12/100/3.6*1000000</f>
        <v>18.059464629170296</v>
      </c>
      <c r="F6" s="34">
        <f>$C$26*('E Balans VL '!L12+'E Balans VL '!N12)/100/3.6*1000000</f>
        <v>1297.089015864618</v>
      </c>
      <c r="G6" s="35"/>
      <c r="H6" s="34"/>
      <c r="I6" s="34"/>
      <c r="J6" s="34">
        <f>$C$26*('E Balans VL '!D12+'E Balans VL '!E12)/100/3.6*1000000</f>
        <v>0</v>
      </c>
      <c r="K6" s="34"/>
      <c r="L6" s="34"/>
      <c r="M6" s="34"/>
      <c r="N6" s="34">
        <f>$C$26*'E Balans VL '!Y12/100/3.6*1000000</f>
        <v>2.2232655134260915</v>
      </c>
      <c r="O6" s="34"/>
      <c r="P6" s="34"/>
      <c r="R6" s="33"/>
    </row>
    <row r="7" spans="1:18">
      <c r="A7" s="33" t="s">
        <v>53</v>
      </c>
      <c r="B7" s="38">
        <f t="shared" ref="B7:B12" si="0">B27</f>
        <v>2449.0225643725898</v>
      </c>
      <c r="C7" s="34"/>
      <c r="D7" s="38">
        <f>IF(ISERROR(TER_horeca_gas_kWh/1000),0,TER_horeca_gas_kWh/1000)*0.902</f>
        <v>2044.8208455458239</v>
      </c>
      <c r="E7" s="34">
        <f>$C$27*'E Balans VL '!I9/100/3.6*1000000</f>
        <v>127.08654958443546</v>
      </c>
      <c r="F7" s="34">
        <f>$C$27*('E Balans VL '!L9+'E Balans VL '!N9)/100/3.6*1000000</f>
        <v>558.86872620940494</v>
      </c>
      <c r="G7" s="35"/>
      <c r="H7" s="34"/>
      <c r="I7" s="34"/>
      <c r="J7" s="34">
        <f>$C$27*('E Balans VL '!D9+'E Balans VL '!E9)/100/3.6*1000000</f>
        <v>0</v>
      </c>
      <c r="K7" s="34"/>
      <c r="L7" s="34"/>
      <c r="M7" s="34"/>
      <c r="N7" s="34">
        <f>$C$27*'E Balans VL '!Y9/100/3.6*1000000</f>
        <v>0.25861566048419171</v>
      </c>
      <c r="O7" s="34"/>
      <c r="P7" s="34"/>
      <c r="R7" s="33"/>
    </row>
    <row r="8" spans="1:18">
      <c r="A8" s="6" t="s">
        <v>52</v>
      </c>
      <c r="B8" s="38">
        <f t="shared" si="0"/>
        <v>6336.1432198104503</v>
      </c>
      <c r="C8" s="34"/>
      <c r="D8" s="38">
        <f>IF(ISERROR(TER_handel_gas_kWh/1000),0,TER_handel_gas_kWh/1000)*0.902</f>
        <v>4554.9076745491466</v>
      </c>
      <c r="E8" s="34">
        <f>$C$28*'E Balans VL '!I13/100/3.6*1000000</f>
        <v>34.120909847195556</v>
      </c>
      <c r="F8" s="34">
        <f>$C$28*('E Balans VL '!L13+'E Balans VL '!N13)/100/3.6*1000000</f>
        <v>1292.1278957368827</v>
      </c>
      <c r="G8" s="35"/>
      <c r="H8" s="34"/>
      <c r="I8" s="34"/>
      <c r="J8" s="34">
        <f>$C$28*('E Balans VL '!D13+'E Balans VL '!E13)/100/3.6*1000000</f>
        <v>0</v>
      </c>
      <c r="K8" s="34"/>
      <c r="L8" s="34"/>
      <c r="M8" s="34"/>
      <c r="N8" s="34">
        <f>$C$28*'E Balans VL '!Y13/100/3.6*1000000</f>
        <v>31.506294210748443</v>
      </c>
      <c r="O8" s="34"/>
      <c r="P8" s="34"/>
      <c r="R8" s="33"/>
    </row>
    <row r="9" spans="1:18">
      <c r="A9" s="33" t="s">
        <v>51</v>
      </c>
      <c r="B9" s="38">
        <f t="shared" si="0"/>
        <v>1448.7106296628699</v>
      </c>
      <c r="C9" s="34"/>
      <c r="D9" s="38">
        <f>IF(ISERROR(TER_gezond_gas_kWh/1000),0,TER_gezond_gas_kWh/1000)*0.902</f>
        <v>1937.5807127493692</v>
      </c>
      <c r="E9" s="34">
        <f>$C$29*'E Balans VL '!I10/100/3.6*1000000</f>
        <v>1.4356887086650025</v>
      </c>
      <c r="F9" s="34">
        <f>$C$29*('E Balans VL '!L10+'E Balans VL '!N10)/100/3.6*1000000</f>
        <v>502.66083101111479</v>
      </c>
      <c r="G9" s="35"/>
      <c r="H9" s="34"/>
      <c r="I9" s="34"/>
      <c r="J9" s="34">
        <f>$C$29*('E Balans VL '!D10+'E Balans VL '!E10)/100/3.6*1000000</f>
        <v>0</v>
      </c>
      <c r="K9" s="34"/>
      <c r="L9" s="34"/>
      <c r="M9" s="34"/>
      <c r="N9" s="34">
        <f>$C$29*'E Balans VL '!Y10/100/3.6*1000000</f>
        <v>12.483413994604794</v>
      </c>
      <c r="O9" s="34"/>
      <c r="P9" s="34"/>
      <c r="R9" s="33"/>
    </row>
    <row r="10" spans="1:18">
      <c r="A10" s="33" t="s">
        <v>50</v>
      </c>
      <c r="B10" s="38">
        <f t="shared" si="0"/>
        <v>2307.0569210576</v>
      </c>
      <c r="C10" s="34"/>
      <c r="D10" s="38">
        <f>IF(ISERROR(TER_ander_gas_kWh/1000),0,TER_ander_gas_kWh/1000)*0.902</f>
        <v>1117.4309909875192</v>
      </c>
      <c r="E10" s="34">
        <f>$C$30*'E Balans VL '!I14/100/3.6*1000000</f>
        <v>18.874031353434006</v>
      </c>
      <c r="F10" s="34">
        <f>$C$30*('E Balans VL '!L14+'E Balans VL '!N14)/100/3.6*1000000</f>
        <v>674.48951953997528</v>
      </c>
      <c r="G10" s="35"/>
      <c r="H10" s="34"/>
      <c r="I10" s="34"/>
      <c r="J10" s="34">
        <f>$C$30*('E Balans VL '!D14+'E Balans VL '!E14)/100/3.6*1000000</f>
        <v>0</v>
      </c>
      <c r="K10" s="34"/>
      <c r="L10" s="34"/>
      <c r="M10" s="34"/>
      <c r="N10" s="34">
        <f>$C$30*'E Balans VL '!Y14/100/3.6*1000000</f>
        <v>1330.8691320047615</v>
      </c>
      <c r="O10" s="34"/>
      <c r="P10" s="34"/>
      <c r="R10" s="33"/>
    </row>
    <row r="11" spans="1:18">
      <c r="A11" s="33" t="s">
        <v>55</v>
      </c>
      <c r="B11" s="38">
        <f t="shared" si="0"/>
        <v>434.05699093332601</v>
      </c>
      <c r="C11" s="34"/>
      <c r="D11" s="38">
        <f>IF(ISERROR(TER_onderwijs_gas_kWh/1000),0,TER_onderwijs_gas_kWh/1000)*0.902</f>
        <v>1737.6785384720029</v>
      </c>
      <c r="E11" s="34">
        <f>$C$31*'E Balans VL '!I11/100/3.6*1000000</f>
        <v>0.26753441452853971</v>
      </c>
      <c r="F11" s="34">
        <f>$C$31*('E Balans VL '!L11+'E Balans VL '!N11)/100/3.6*1000000</f>
        <v>167.81346210425573</v>
      </c>
      <c r="G11" s="35"/>
      <c r="H11" s="34"/>
      <c r="I11" s="34"/>
      <c r="J11" s="34">
        <f>$C$31*('E Balans VL '!D11+'E Balans VL '!E11)/100/3.6*1000000</f>
        <v>0</v>
      </c>
      <c r="K11" s="34"/>
      <c r="L11" s="34"/>
      <c r="M11" s="34"/>
      <c r="N11" s="34">
        <f>$C$31*'E Balans VL '!Y11/100/3.6*1000000</f>
        <v>1.4118943750789874</v>
      </c>
      <c r="O11" s="34"/>
      <c r="P11" s="34"/>
      <c r="R11" s="33"/>
    </row>
    <row r="12" spans="1:18">
      <c r="A12" s="33" t="s">
        <v>260</v>
      </c>
      <c r="B12" s="38">
        <f t="shared" si="0"/>
        <v>8639.6258385029196</v>
      </c>
      <c r="C12" s="34"/>
      <c r="D12" s="38">
        <f>IF(ISERROR(TER_rest_gas_kWh/1000),0,TER_rest_gas_kWh/1000)*0.902</f>
        <v>6913.133238883197</v>
      </c>
      <c r="E12" s="34">
        <f>$C$32*'E Balans VL '!I8/100/3.6*1000000</f>
        <v>74.649310693314121</v>
      </c>
      <c r="F12" s="34">
        <f>$C$32*('E Balans VL '!L8+'E Balans VL '!N8)/100/3.6*1000000</f>
        <v>1720.9043103754188</v>
      </c>
      <c r="G12" s="35"/>
      <c r="H12" s="34"/>
      <c r="I12" s="34"/>
      <c r="J12" s="34">
        <f>$C$32*('E Balans VL '!D8+'E Balans VL '!E8)/100/3.6*1000000</f>
        <v>0</v>
      </c>
      <c r="K12" s="34"/>
      <c r="L12" s="34"/>
      <c r="M12" s="34"/>
      <c r="N12" s="34">
        <f>$C$32*'E Balans VL '!Y8/100/3.6*1000000</f>
        <v>568.25321063261606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32618.415326334354</v>
      </c>
      <c r="C16" s="22">
        <f t="shared" ca="1" si="1"/>
        <v>0</v>
      </c>
      <c r="D16" s="22">
        <f t="shared" ca="1" si="1"/>
        <v>30732.261036349875</v>
      </c>
      <c r="E16" s="22">
        <f t="shared" si="1"/>
        <v>274.49348923074297</v>
      </c>
      <c r="F16" s="22">
        <f t="shared" ca="1" si="1"/>
        <v>6213.9537608416704</v>
      </c>
      <c r="G16" s="22">
        <f t="shared" si="1"/>
        <v>0</v>
      </c>
      <c r="H16" s="22">
        <f t="shared" si="1"/>
        <v>0</v>
      </c>
      <c r="I16" s="22">
        <f t="shared" si="1"/>
        <v>0</v>
      </c>
      <c r="J16" s="22">
        <f t="shared" si="1"/>
        <v>0</v>
      </c>
      <c r="K16" s="22">
        <f t="shared" si="1"/>
        <v>0</v>
      </c>
      <c r="L16" s="22">
        <f t="shared" ca="1" si="1"/>
        <v>0</v>
      </c>
      <c r="M16" s="22">
        <f t="shared" si="1"/>
        <v>0</v>
      </c>
      <c r="N16" s="22">
        <f t="shared" ca="1" si="1"/>
        <v>1947.0058263917203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0.21682371899387551</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7072.4461187426423</v>
      </c>
      <c r="C20" s="24">
        <f t="shared" ref="C20:P20" ca="1" si="2">C16*C18</f>
        <v>0</v>
      </c>
      <c r="D20" s="24">
        <f t="shared" ca="1" si="2"/>
        <v>6207.9167293426754</v>
      </c>
      <c r="E20" s="24">
        <f t="shared" si="2"/>
        <v>62.310022055378653</v>
      </c>
      <c r="F20" s="24">
        <f t="shared" ca="1" si="2"/>
        <v>1659.125654144726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11003.799161994601</v>
      </c>
      <c r="C26" s="40">
        <f>IF(ISERROR(B26*3.6/1000000/'E Balans VL '!Z12*100),0,B26*3.6/1000000/'E Balans VL '!Z12*100)</f>
        <v>0.23382284102640757</v>
      </c>
      <c r="D26" s="240" t="s">
        <v>707</v>
      </c>
      <c r="F26" s="6"/>
    </row>
    <row r="27" spans="1:18">
      <c r="A27" s="234" t="s">
        <v>53</v>
      </c>
      <c r="B27" s="34">
        <f>IF(ISERROR(TER_horeca_ele_kWh/1000),0,TER_horeca_ele_kWh/1000)</f>
        <v>2449.0225643725898</v>
      </c>
      <c r="C27" s="40">
        <f>IF(ISERROR(B27*3.6/1000000/'E Balans VL '!Z9*100),0,B27*3.6/1000000/'E Balans VL '!Z9*100)</f>
        <v>0.19275701402548454</v>
      </c>
      <c r="D27" s="240" t="s">
        <v>707</v>
      </c>
      <c r="F27" s="6"/>
    </row>
    <row r="28" spans="1:18">
      <c r="A28" s="174" t="s">
        <v>52</v>
      </c>
      <c r="B28" s="34">
        <f>IF(ISERROR(TER_handel_ele_kWh/1000),0,TER_handel_ele_kWh/1000)</f>
        <v>6336.1432198104503</v>
      </c>
      <c r="C28" s="40">
        <f>IF(ISERROR(B28*3.6/1000000/'E Balans VL '!Z13*100),0,B28*3.6/1000000/'E Balans VL '!Z13*100)</f>
        <v>0.17747876255686745</v>
      </c>
      <c r="D28" s="240" t="s">
        <v>707</v>
      </c>
      <c r="F28" s="6"/>
    </row>
    <row r="29" spans="1:18">
      <c r="A29" s="234" t="s">
        <v>51</v>
      </c>
      <c r="B29" s="34">
        <f>IF(ISERROR(TER_gezond_ele_kWh/1000),0,TER_gezond_ele_kWh/1000)</f>
        <v>1448.7106296628699</v>
      </c>
      <c r="C29" s="40">
        <f>IF(ISERROR(B29*3.6/1000000/'E Balans VL '!Z10*100),0,B29*3.6/1000000/'E Balans VL '!Z10*100)</f>
        <v>0.18533389677901194</v>
      </c>
      <c r="D29" s="240" t="s">
        <v>707</v>
      </c>
      <c r="F29" s="6"/>
    </row>
    <row r="30" spans="1:18">
      <c r="A30" s="234" t="s">
        <v>50</v>
      </c>
      <c r="B30" s="34">
        <f>IF(ISERROR(TER_ander_ele_kWh/1000),0,TER_ander_ele_kWh/1000)</f>
        <v>2307.0569210576</v>
      </c>
      <c r="C30" s="40">
        <f>IF(ISERROR(B30*3.6/1000000/'E Balans VL '!Z14*100),0,B30*3.6/1000000/'E Balans VL '!Z14*100)</f>
        <v>0.17254841809390317</v>
      </c>
      <c r="D30" s="240" t="s">
        <v>707</v>
      </c>
      <c r="F30" s="6"/>
    </row>
    <row r="31" spans="1:18">
      <c r="A31" s="234" t="s">
        <v>55</v>
      </c>
      <c r="B31" s="34">
        <f>IF(ISERROR(TER_onderwijs_ele_kWh/1000),0,TER_onderwijs_ele_kWh/1000)</f>
        <v>434.05699093332601</v>
      </c>
      <c r="C31" s="40">
        <f>IF(ISERROR(B31*3.6/1000000/'E Balans VL '!Z11*100),0,B31*3.6/1000000/'E Balans VL '!Z11*100)</f>
        <v>9.1651695883089079E-2</v>
      </c>
      <c r="D31" s="240" t="s">
        <v>707</v>
      </c>
    </row>
    <row r="32" spans="1:18">
      <c r="A32" s="234" t="s">
        <v>260</v>
      </c>
      <c r="B32" s="34">
        <f>IF(ISERROR(TER_rest_ele_kWh/1000),0,TER_rest_ele_kWh/1000)</f>
        <v>8639.6258385029196</v>
      </c>
      <c r="C32" s="40">
        <f>IF(ISERROR(B32*3.6/1000000/'E Balans VL '!Z8*100),0,B32*3.6/1000000/'E Balans VL '!Z8*100)</f>
        <v>7.1172650728404271E-2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107815.72978784391</v>
      </c>
      <c r="C5" s="18">
        <f>IF(ISERROR('Eigen informatie GS &amp; warmtenet'!B59),0,'Eigen informatie GS &amp; warmtenet'!B59)</f>
        <v>0</v>
      </c>
      <c r="D5" s="31">
        <f>SUM(D6:D15)</f>
        <v>144815.31156914149</v>
      </c>
      <c r="E5" s="18">
        <f>SUM(E6:E15)</f>
        <v>890.03139765042533</v>
      </c>
      <c r="F5" s="18">
        <f>SUM(F6:F15)</f>
        <v>20443.500395477949</v>
      </c>
      <c r="G5" s="19"/>
      <c r="H5" s="18"/>
      <c r="I5" s="18"/>
      <c r="J5" s="18">
        <f>SUM(J6:J15)</f>
        <v>217.16854321315179</v>
      </c>
      <c r="K5" s="18"/>
      <c r="L5" s="18"/>
      <c r="M5" s="18"/>
      <c r="N5" s="18">
        <f>SUM(N6:N15)</f>
        <v>2461.1835907258073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152.414582090317</v>
      </c>
      <c r="C8" s="34"/>
      <c r="D8" s="38">
        <f>IF( ISERROR(IND_metaal_Gas_kWH/1000),0,IND_metaal_Gas_kWH/1000)*0.902</f>
        <v>218.20191185193823</v>
      </c>
      <c r="E8" s="34">
        <f>C30*'E Balans VL '!I18/100/3.6*1000000</f>
        <v>1.3880121321058287</v>
      </c>
      <c r="F8" s="34">
        <f>C30*'E Balans VL '!L18/100/3.6*1000000+C30*'E Balans VL '!N18/100/3.6*1000000</f>
        <v>20.10232592149649</v>
      </c>
      <c r="G8" s="35"/>
      <c r="H8" s="34"/>
      <c r="I8" s="34"/>
      <c r="J8" s="41">
        <f>C30*'E Balans VL '!D18/100/3.6*1000000+C30*'E Balans VL '!E18/100/3.6*1000000</f>
        <v>2.4993778482767071</v>
      </c>
      <c r="K8" s="34"/>
      <c r="L8" s="34"/>
      <c r="M8" s="34"/>
      <c r="N8" s="34">
        <f>C30*'E Balans VL '!Y18/100/3.6*1000000</f>
        <v>0.52378837210699791</v>
      </c>
      <c r="O8" s="34"/>
      <c r="P8" s="34"/>
      <c r="R8" s="33"/>
    </row>
    <row r="9" spans="1:18">
      <c r="A9" s="6" t="s">
        <v>33</v>
      </c>
      <c r="B9" s="38">
        <f t="shared" si="0"/>
        <v>12127.6789800438</v>
      </c>
      <c r="C9" s="34"/>
      <c r="D9" s="38">
        <f>IF( ISERROR(IND_andere_gas_kWh/1000),0,IND_andere_gas_kWh/1000)*0.902</f>
        <v>1641.2485555960222</v>
      </c>
      <c r="E9" s="34">
        <f>C31*'E Balans VL '!I19/100/3.6*1000000</f>
        <v>70.099796836373358</v>
      </c>
      <c r="F9" s="34">
        <f>C31*'E Balans VL '!L19/100/3.6*1000000+C31*'E Balans VL '!N19/100/3.6*1000000</f>
        <v>9648.1521894450088</v>
      </c>
      <c r="G9" s="35"/>
      <c r="H9" s="34"/>
      <c r="I9" s="34"/>
      <c r="J9" s="41">
        <f>C31*'E Balans VL '!D19/100/3.6*1000000+C31*'E Balans VL '!E19/100/3.6*1000000</f>
        <v>1.1471437210695445</v>
      </c>
      <c r="K9" s="34"/>
      <c r="L9" s="34"/>
      <c r="M9" s="34"/>
      <c r="N9" s="34">
        <f>C31*'E Balans VL '!Y19/100/3.6*1000000</f>
        <v>918.85521463055795</v>
      </c>
      <c r="O9" s="34"/>
      <c r="P9" s="34"/>
      <c r="R9" s="33"/>
    </row>
    <row r="10" spans="1:18">
      <c r="A10" s="6" t="s">
        <v>41</v>
      </c>
      <c r="B10" s="38">
        <f t="shared" si="0"/>
        <v>15484.585088635899</v>
      </c>
      <c r="C10" s="34"/>
      <c r="D10" s="38">
        <f>IF( ISERROR(IND_voed_gas_kWh/1000),0,IND_voed_gas_kWh/1000)*0.902</f>
        <v>23913.46740100989</v>
      </c>
      <c r="E10" s="34">
        <f>C32*'E Balans VL '!I20/100/3.6*1000000</f>
        <v>152.25398143892824</v>
      </c>
      <c r="F10" s="34">
        <f>C32*'E Balans VL '!L20/100/3.6*1000000+C32*'E Balans VL '!N20/100/3.6*1000000</f>
        <v>1719.7652888757293</v>
      </c>
      <c r="G10" s="35"/>
      <c r="H10" s="34"/>
      <c r="I10" s="34"/>
      <c r="J10" s="41">
        <f>C32*'E Balans VL '!D20/100/3.6*1000000+C32*'E Balans VL '!E20/100/3.6*1000000</f>
        <v>6.103177941295837E-2</v>
      </c>
      <c r="K10" s="34"/>
      <c r="L10" s="34"/>
      <c r="M10" s="34"/>
      <c r="N10" s="34">
        <f>C32*'E Balans VL '!Y20/100/3.6*1000000</f>
        <v>229.29028157924199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35.547187207780695</v>
      </c>
      <c r="C12" s="34"/>
      <c r="D12" s="38">
        <f>IF( ISERROR(IND_min_gas_kWh/1000),0,IND_min_gas_kWh/1000)*0.902</f>
        <v>108.43499547691503</v>
      </c>
      <c r="E12" s="34">
        <f>C34*'E Balans VL '!I22/100/3.6*1000000</f>
        <v>0.90118445176190909</v>
      </c>
      <c r="F12" s="34">
        <f>C34*'E Balans VL '!L22/100/3.6*1000000+C34*'E Balans VL '!N22/100/3.6*1000000</f>
        <v>9.8360306033230138</v>
      </c>
      <c r="G12" s="35"/>
      <c r="H12" s="34"/>
      <c r="I12" s="34"/>
      <c r="J12" s="41">
        <f>C34*'E Balans VL '!D22/100/3.6*1000000+C34*'E Balans VL '!E22/100/3.6*1000000</f>
        <v>0.23476076756043496</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37614.238430742706</v>
      </c>
      <c r="C14" s="34"/>
      <c r="D14" s="38">
        <f>IF( ISERROR(IND_chemie_gas_kWh/1000),0,IND_chemie_gas_kWh/1000)*0.902</f>
        <v>92371.836864785306</v>
      </c>
      <c r="E14" s="34">
        <f>C36*'E Balans VL '!I24/100/3.6*1000000</f>
        <v>284.38375512725946</v>
      </c>
      <c r="F14" s="34">
        <f>C36*'E Balans VL '!L24/100/3.6*1000000+C36*'E Balans VL '!N24/100/3.6*1000000</f>
        <v>695.96740733241074</v>
      </c>
      <c r="G14" s="35"/>
      <c r="H14" s="34"/>
      <c r="I14" s="34"/>
      <c r="J14" s="41">
        <f>C36*'E Balans VL '!D24/100/3.6*1000000+C36*'E Balans VL '!E24/100/3.6*1000000</f>
        <v>0</v>
      </c>
      <c r="K14" s="34"/>
      <c r="L14" s="34"/>
      <c r="M14" s="34"/>
      <c r="N14" s="34">
        <f>C36*'E Balans VL '!Y24/100/3.6*1000000</f>
        <v>10.90715921895489</v>
      </c>
      <c r="O14" s="34"/>
      <c r="P14" s="34"/>
      <c r="R14" s="33"/>
    </row>
    <row r="15" spans="1:18">
      <c r="A15" s="6" t="s">
        <v>270</v>
      </c>
      <c r="B15" s="38">
        <f t="shared" si="0"/>
        <v>42401.265519123401</v>
      </c>
      <c r="C15" s="34"/>
      <c r="D15" s="38">
        <f>IF( ISERROR(IND_rest_gas_kWh/1000),0,IND_rest_gas_kWh/1000)*0.902</f>
        <v>26562.121840421405</v>
      </c>
      <c r="E15" s="34">
        <f>C37*'E Balans VL '!I15/100/3.6*1000000</f>
        <v>381.0046676639966</v>
      </c>
      <c r="F15" s="34">
        <f>C37*'E Balans VL '!L15/100/3.6*1000000+C37*'E Balans VL '!N15/100/3.6*1000000</f>
        <v>8349.677153299981</v>
      </c>
      <c r="G15" s="35"/>
      <c r="H15" s="34"/>
      <c r="I15" s="34"/>
      <c r="J15" s="41">
        <f>C37*'E Balans VL '!D15/100/3.6*1000000+C37*'E Balans VL '!E15/100/3.6*1000000</f>
        <v>213.22622909683216</v>
      </c>
      <c r="K15" s="34"/>
      <c r="L15" s="34"/>
      <c r="M15" s="34"/>
      <c r="N15" s="34">
        <f>C37*'E Balans VL '!Y15/100/3.6*1000000</f>
        <v>1301.6071469249453</v>
      </c>
      <c r="O15" s="34"/>
      <c r="P15" s="34"/>
      <c r="R15" s="33"/>
    </row>
    <row r="16" spans="1:18">
      <c r="A16" s="17" t="s">
        <v>502</v>
      </c>
      <c r="B16" s="250">
        <f>'lokale energieproductie'!N90+'lokale energieproductie'!N59</f>
        <v>14413.499999999998</v>
      </c>
      <c r="C16" s="250">
        <f>'lokale energieproductie'!O90+'lokale energieproductie'!O59</f>
        <v>20590.714285714283</v>
      </c>
      <c r="D16" s="312">
        <f>('lokale energieproductie'!P59+'lokale energieproductie'!P90)*(-1)</f>
        <v>-41181.428571428565</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122229.22978784391</v>
      </c>
      <c r="C18" s="22">
        <f>C5+C16</f>
        <v>20590.714285714283</v>
      </c>
      <c r="D18" s="22">
        <f>MAX((D5+D16),0)</f>
        <v>103633.88299771292</v>
      </c>
      <c r="E18" s="22">
        <f>MAX((E5+E16),0)</f>
        <v>890.03139765042533</v>
      </c>
      <c r="F18" s="22">
        <f>MAX((F5+F16),0)</f>
        <v>20443.500395477949</v>
      </c>
      <c r="G18" s="22"/>
      <c r="H18" s="22"/>
      <c r="I18" s="22"/>
      <c r="J18" s="22">
        <f>MAX((J5+J16),0)</f>
        <v>217.16854321315179</v>
      </c>
      <c r="K18" s="22"/>
      <c r="L18" s="22">
        <f>MAX((L5+L16),0)</f>
        <v>0</v>
      </c>
      <c r="M18" s="22"/>
      <c r="N18" s="22">
        <f>MAX((N5+N16),0)</f>
        <v>2461.1835907258073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0.21682371899387551</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26502.196172357308</v>
      </c>
      <c r="C22" s="24">
        <f ca="1">C18*C20</f>
        <v>4893.3226890756296</v>
      </c>
      <c r="D22" s="24">
        <f>D18*D20</f>
        <v>20934.044365538011</v>
      </c>
      <c r="E22" s="24">
        <f>E18*E20</f>
        <v>202.03712726664656</v>
      </c>
      <c r="F22" s="24">
        <f>F18*F20</f>
        <v>5458.414605592613</v>
      </c>
      <c r="G22" s="24"/>
      <c r="H22" s="24"/>
      <c r="I22" s="24"/>
      <c r="J22" s="24">
        <f>J18*J20</f>
        <v>76.877664297455738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152.414582090317</v>
      </c>
      <c r="C30" s="40">
        <f>IF(ISERROR(B30*3.6/1000000/'E Balans VL '!Z18*100),0,B30*3.6/1000000/'E Balans VL '!Z18*100)</f>
        <v>8.4808523057600688E-3</v>
      </c>
      <c r="D30" s="240" t="s">
        <v>707</v>
      </c>
    </row>
    <row r="31" spans="1:18">
      <c r="A31" s="6" t="s">
        <v>33</v>
      </c>
      <c r="B31" s="38">
        <f>IF( ISERROR(IND_ander_ele_kWh/1000),0,IND_ander_ele_kWh/1000)</f>
        <v>12127.6789800438</v>
      </c>
      <c r="C31" s="40">
        <f>IF(ISERROR(B31*3.6/1000000/'E Balans VL '!Z19*100),0,B31*3.6/1000000/'E Balans VL '!Z19*100)</f>
        <v>0.5637839448259877</v>
      </c>
      <c r="D31" s="240" t="s">
        <v>707</v>
      </c>
    </row>
    <row r="32" spans="1:18">
      <c r="A32" s="174" t="s">
        <v>41</v>
      </c>
      <c r="B32" s="38">
        <f>IF( ISERROR(IND_voed_ele_kWh/1000),0,IND_voed_ele_kWh/1000)</f>
        <v>15484.585088635899</v>
      </c>
      <c r="C32" s="40">
        <f>IF(ISERROR(B32*3.6/1000000/'E Balans VL '!Z20*100),0,B32*3.6/1000000/'E Balans VL '!Z20*100)</f>
        <v>0.54734881043929073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35.547187207780695</v>
      </c>
      <c r="C34" s="40">
        <f>IF(ISERROR(B34*3.6/1000000/'E Balans VL '!Z22*100),0,B34*3.6/1000000/'E Balans VL '!Z22*100)</f>
        <v>7.1439822319497347E-3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37614.238430742706</v>
      </c>
      <c r="C36" s="40">
        <f>IF(ISERROR(B36*3.6/1000000/'E Balans VL '!Z24*100),0,B36*3.6/1000000/'E Balans VL '!Z24*100)</f>
        <v>0.92625904086125732</v>
      </c>
      <c r="D36" s="240" t="s">
        <v>707</v>
      </c>
    </row>
    <row r="37" spans="1:5">
      <c r="A37" s="174" t="s">
        <v>270</v>
      </c>
      <c r="B37" s="38">
        <f>IF( ISERROR(IND_rest_ele_kWh/1000),0,IND_rest_ele_kWh/1000)</f>
        <v>42401.265519123401</v>
      </c>
      <c r="C37" s="40">
        <f>IF(ISERROR(B37*3.6/1000000/'E Balans VL '!Z15*100),0,B37*3.6/1000000/'E Balans VL '!Z15*100)</f>
        <v>0.32019219081007538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917.90187074922801</v>
      </c>
      <c r="C5" s="18">
        <f>'Eigen informatie GS &amp; warmtenet'!B60</f>
        <v>0</v>
      </c>
      <c r="D5" s="31">
        <f>IF(ISERROR(SUM(LB_lb_gas_kWh,LB_rest_gas_kWh)/1000),0,SUM(LB_lb_gas_kWh,LB_rest_gas_kWh)/1000)*0.902</f>
        <v>481.85273628291174</v>
      </c>
      <c r="E5" s="18">
        <f>B17*'E Balans VL '!I25/3.6*1000000/100</f>
        <v>8.6472506368855075</v>
      </c>
      <c r="F5" s="18">
        <f>B17*('E Balans VL '!L25/3.6*1000000+'E Balans VL '!N25/3.6*1000000)/100</f>
        <v>2995.4184291324823</v>
      </c>
      <c r="G5" s="19"/>
      <c r="H5" s="18"/>
      <c r="I5" s="18"/>
      <c r="J5" s="18">
        <f>('E Balans VL '!D25+'E Balans VL '!E25)/3.6*1000000*landbouw!B17/100</f>
        <v>113.54892608552122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917.90187074922801</v>
      </c>
      <c r="C8" s="22">
        <f>C5+C6</f>
        <v>0</v>
      </c>
      <c r="D8" s="22">
        <f>MAX((D5+D6),0)</f>
        <v>481.85273628291174</v>
      </c>
      <c r="E8" s="22">
        <f>MAX((E5+E6),0)</f>
        <v>8.6472506368855075</v>
      </c>
      <c r="F8" s="22">
        <f>MAX((F5+F6),0)</f>
        <v>2995.4184291324823</v>
      </c>
      <c r="G8" s="22"/>
      <c r="H8" s="22"/>
      <c r="I8" s="22"/>
      <c r="J8" s="22">
        <f>MAX((J5+J6),0)</f>
        <v>113.54892608552122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0.21682371899387551</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199.02289728728326</v>
      </c>
      <c r="C12" s="24">
        <f ca="1">C8*C10</f>
        <v>0</v>
      </c>
      <c r="D12" s="24">
        <f>D8*D10</f>
        <v>97.334252729148176</v>
      </c>
      <c r="E12" s="24">
        <f>E8*E10</f>
        <v>1.9629258945730104</v>
      </c>
      <c r="F12" s="24">
        <f>F8*F10</f>
        <v>799.77672057837276</v>
      </c>
      <c r="G12" s="24"/>
      <c r="H12" s="24"/>
      <c r="I12" s="24"/>
      <c r="J12" s="24">
        <f>J8*J10</f>
        <v>40.196319834274512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0.12426924569642972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93.023231662242836</v>
      </c>
      <c r="C26" s="250">
        <f>B26*'GWP N2O_CH4'!B5</f>
        <v>1953.4878649070995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24.75949160340091</v>
      </c>
      <c r="C27" s="250">
        <f>B27*'GWP N2O_CH4'!B5</f>
        <v>519.94932367141917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1.8806685692312595</v>
      </c>
      <c r="C28" s="250">
        <f>B28*'GWP N2O_CH4'!B4</f>
        <v>583.00725646169042</v>
      </c>
      <c r="D28" s="51"/>
    </row>
    <row r="29" spans="1:4">
      <c r="A29" s="42" t="s">
        <v>277</v>
      </c>
      <c r="B29" s="250">
        <f>B34*'ha_N2O bodem landbouw'!B4</f>
        <v>6.3426695822615375</v>
      </c>
      <c r="C29" s="250">
        <f>B29*'GWP N2O_CH4'!B4</f>
        <v>1966.2275705010766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1.712321118279698E-3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2.90465922145565E-5</v>
      </c>
      <c r="C5" s="447" t="s">
        <v>211</v>
      </c>
      <c r="D5" s="432">
        <f>SUM(D6:D11)</f>
        <v>8.0867995002570635E-5</v>
      </c>
      <c r="E5" s="432">
        <f>SUM(E6:E11)</f>
        <v>4.8836389254476864E-3</v>
      </c>
      <c r="F5" s="445" t="s">
        <v>211</v>
      </c>
      <c r="G5" s="432">
        <f>SUM(G6:G11)</f>
        <v>1.2101573796161476</v>
      </c>
      <c r="H5" s="432">
        <f>SUM(H6:H11)</f>
        <v>0.18142888526844353</v>
      </c>
      <c r="I5" s="447" t="s">
        <v>211</v>
      </c>
      <c r="J5" s="447" t="s">
        <v>211</v>
      </c>
      <c r="K5" s="447" t="s">
        <v>211</v>
      </c>
      <c r="L5" s="447" t="s">
        <v>211</v>
      </c>
      <c r="M5" s="432">
        <f>SUM(M6:M11)</f>
        <v>6.2188015369740876E-2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1.8965440720891211E-5</v>
      </c>
      <c r="C6" s="433"/>
      <c r="D6" s="433">
        <f>vkm_2011_GW_PW*SUMIFS(TableVerdeelsleutelVkm[CNG],TableVerdeelsleutelVkm[Voertuigtype],"Lichte voertuigen")*SUMIFS(TableECFTransport[EnergieConsumptieFactor (PJ per km)],TableECFTransport[Index],CONCATENATE($A6,"_CNG_CNG"))</f>
        <v>4.6313923856670929E-5</v>
      </c>
      <c r="E6" s="435">
        <f>vkm_2011_GW_PW*SUMIFS(TableVerdeelsleutelVkm[LPG],TableVerdeelsleutelVkm[Voertuigtype],"Lichte voertuigen")*SUMIFS(TableECFTransport[EnergieConsumptieFactor (PJ per km)],TableECFTransport[Index],CONCATENATE($A6,"_LPG_LPG"))</f>
        <v>2.7452500623015717E-3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0.39685819018997798</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0.10400513012419042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2.2429581880047098E-2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0.33947064171041935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1.369631690822777E-4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1.5123312056718064E-2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4.8950403073645184E-6</v>
      </c>
      <c r="C8" s="433"/>
      <c r="D8" s="435">
        <f>vkm_2011_NGW_PW*SUMIFS(TableVerdeelsleutelVkm[CNG],TableVerdeelsleutelVkm[Voertuigtype],"Lichte voertuigen")*SUMIFS(TableECFTransport[EnergieConsumptieFactor (PJ per km)],TableECFTransport[Index],CONCATENATE($A8,"_CNG_CNG"))</f>
        <v>2.1447095071249189E-5</v>
      </c>
      <c r="E8" s="435">
        <f>vkm_2011_NGW_PW*SUMIFS(TableVerdeelsleutelVkm[LPG],TableVerdeelsleutelVkm[Voertuigtype],"Lichte voertuigen")*SUMIFS(TableECFTransport[EnergieConsumptieFactor (PJ per km)],TableECFTransport[Index],CONCATENATE($A8,"_LPG_LPG"))</f>
        <v>1.1662654572713919E-3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0.1592714194273637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4.6120553537428062E-2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9.2020192447252597E-3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0.10953966505989512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3.8480378227449446E-5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4.8796968119331876E-3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5.1861111863007703E-6</v>
      </c>
      <c r="C10" s="433"/>
      <c r="D10" s="435">
        <f>vkm_2011_SW_PW*SUMIFS(TableVerdeelsleutelVkm[CNG],TableVerdeelsleutelVkm[Voertuigtype],"Lichte voertuigen")*SUMIFS(TableECFTransport[EnergieConsumptieFactor (PJ per km)],TableECFTransport[Index],CONCATENATE($A10,"_CNG_CNG"))</f>
        <v>1.3106976074650521E-5</v>
      </c>
      <c r="E10" s="435">
        <f>vkm_2011_SW_PW*SUMIFS(TableVerdeelsleutelVkm[LPG],TableVerdeelsleutelVkm[Voertuigtype],"Lichte voertuigen")*SUMIFS(TableECFTransport[EnergieConsumptieFactor (PJ per km)],TableECFTransport[Index],CONCATENATE($A10,"_LPG_LPG"))</f>
        <v>9.7212340587472324E-4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0.12807182160531985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3.1094821370306218E-2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7.1254143067476456E-3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7.6945641623171537E-2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3.2936689209100053E-5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3.4279910695696196E-3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8.0684978373768068</v>
      </c>
      <c r="C14" s="22"/>
      <c r="D14" s="22">
        <f t="shared" ref="D14:M14" si="0">((D5)*10^9/3600)+D12</f>
        <v>22.463331945158508</v>
      </c>
      <c r="E14" s="22">
        <f t="shared" si="0"/>
        <v>1356.5663681799128</v>
      </c>
      <c r="F14" s="22"/>
      <c r="G14" s="22">
        <f t="shared" si="0"/>
        <v>336154.82767115207</v>
      </c>
      <c r="H14" s="22">
        <f t="shared" si="0"/>
        <v>50396.912574567643</v>
      </c>
      <c r="I14" s="22"/>
      <c r="J14" s="22"/>
      <c r="K14" s="22"/>
      <c r="L14" s="22"/>
      <c r="M14" s="22">
        <f t="shared" si="0"/>
        <v>17274.44871381691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0.21682371899387551</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1.7494417077940809</v>
      </c>
      <c r="C18" s="24"/>
      <c r="D18" s="24">
        <f t="shared" ref="D18:M18" si="1">D14*D16</f>
        <v>4.537593052922019</v>
      </c>
      <c r="E18" s="24">
        <f t="shared" si="1"/>
        <v>307.94056557684024</v>
      </c>
      <c r="F18" s="24"/>
      <c r="G18" s="24">
        <f t="shared" si="1"/>
        <v>89753.338988197604</v>
      </c>
      <c r="H18" s="24">
        <f t="shared" si="1"/>
        <v>12548.831231067343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6.2010556242883983E-3</v>
      </c>
      <c r="H50" s="323">
        <f t="shared" si="2"/>
        <v>0</v>
      </c>
      <c r="I50" s="323">
        <f t="shared" si="2"/>
        <v>0</v>
      </c>
      <c r="J50" s="323">
        <f t="shared" si="2"/>
        <v>0</v>
      </c>
      <c r="K50" s="323">
        <f t="shared" si="2"/>
        <v>0</v>
      </c>
      <c r="L50" s="323">
        <f t="shared" si="2"/>
        <v>0</v>
      </c>
      <c r="M50" s="323">
        <f t="shared" si="2"/>
        <v>2.722985817436085E-4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6.2010556242883983E-3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2.722985817436085E-4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1722.5154511912219</v>
      </c>
      <c r="H54" s="22">
        <f t="shared" si="3"/>
        <v>0</v>
      </c>
      <c r="I54" s="22">
        <f t="shared" si="3"/>
        <v>0</v>
      </c>
      <c r="J54" s="22">
        <f t="shared" si="3"/>
        <v>0</v>
      </c>
      <c r="K54" s="22">
        <f t="shared" si="3"/>
        <v>0</v>
      </c>
      <c r="L54" s="22">
        <f t="shared" si="3"/>
        <v>0</v>
      </c>
      <c r="M54" s="22">
        <f t="shared" si="3"/>
        <v>75.638494928780148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0.21682371899387551</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459.91162546805629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11422.726477954726</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7636.091199190827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14413.499999999998</v>
      </c>
      <c r="C8" s="558">
        <f>B101</f>
        <v>16957.058823529409</v>
      </c>
      <c r="D8" s="991"/>
      <c r="E8" s="991">
        <f>E101</f>
        <v>0</v>
      </c>
      <c r="F8" s="992"/>
      <c r="G8" s="559"/>
      <c r="H8" s="991">
        <f>I101</f>
        <v>0</v>
      </c>
      <c r="I8" s="991">
        <f>G101+F101</f>
        <v>0</v>
      </c>
      <c r="J8" s="991">
        <f>H101+D101+C101</f>
        <v>0</v>
      </c>
      <c r="K8" s="991"/>
      <c r="L8" s="991"/>
      <c r="M8" s="991"/>
      <c r="N8" s="560"/>
      <c r="O8" s="561">
        <f>C8*$C$12+D8*$D$12+E8*$E$12+F8*$F$12+G8*$G$12+H8*$H$12+I8*$I$12+J8*$J$12</f>
        <v>3425.3258823529409</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33472.317677145555</v>
      </c>
      <c r="C10" s="570">
        <f t="shared" ref="C10:L10" si="0">SUM(C8:C9)</f>
        <v>16957.058823529409</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3425.3258823529409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20590.714285714283</v>
      </c>
      <c r="C17" s="582">
        <f>B102</f>
        <v>24224.369747899153</v>
      </c>
      <c r="D17" s="583"/>
      <c r="E17" s="583">
        <f>E102</f>
        <v>0</v>
      </c>
      <c r="F17" s="584"/>
      <c r="G17" s="585"/>
      <c r="H17" s="582">
        <f>I102</f>
        <v>0</v>
      </c>
      <c r="I17" s="583">
        <f>G102+F102</f>
        <v>0</v>
      </c>
      <c r="J17" s="583">
        <f>H102+D102+C102</f>
        <v>0</v>
      </c>
      <c r="K17" s="583"/>
      <c r="L17" s="583"/>
      <c r="M17" s="583"/>
      <c r="N17" s="998"/>
      <c r="O17" s="586">
        <f>C17*$C$22+E17*$E$22+H17*$H$22+I17*$I$22+J17*$J$22+D17*$D$22+F17*$F$22+G17*$G$22+K17*$K$22+L17*$L$22</f>
        <v>4893.3226890756296</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20590.714285714283</v>
      </c>
      <c r="C20" s="569">
        <f>SUM(C17:C19)</f>
        <v>24224.369747899153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4893.3226890756296</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12030</v>
      </c>
      <c r="C28" s="789">
        <v>2870</v>
      </c>
      <c r="D28" s="642" t="s">
        <v>946</v>
      </c>
      <c r="E28" s="641" t="s">
        <v>947</v>
      </c>
      <c r="F28" s="641" t="s">
        <v>948</v>
      </c>
      <c r="G28" s="641" t="s">
        <v>949</v>
      </c>
      <c r="H28" s="641" t="s">
        <v>950</v>
      </c>
      <c r="I28" s="641" t="s">
        <v>947</v>
      </c>
      <c r="J28" s="788">
        <v>39510</v>
      </c>
      <c r="K28" s="788">
        <v>39513</v>
      </c>
      <c r="L28" s="641" t="s">
        <v>951</v>
      </c>
      <c r="M28" s="641">
        <v>2014</v>
      </c>
      <c r="N28" s="641">
        <v>9062.9999999999982</v>
      </c>
      <c r="O28" s="641">
        <v>12947.142857142855</v>
      </c>
      <c r="P28" s="641">
        <v>25894.28571428571</v>
      </c>
      <c r="Q28" s="641">
        <v>0</v>
      </c>
      <c r="R28" s="641">
        <v>0</v>
      </c>
      <c r="S28" s="641">
        <v>0</v>
      </c>
      <c r="T28" s="641">
        <v>0</v>
      </c>
      <c r="U28" s="641">
        <v>0</v>
      </c>
      <c r="V28" s="641">
        <v>0</v>
      </c>
      <c r="W28" s="641"/>
      <c r="X28" s="641">
        <v>300</v>
      </c>
      <c r="Y28" s="641" t="s">
        <v>34</v>
      </c>
      <c r="Z28" s="643" t="s">
        <v>391</v>
      </c>
    </row>
    <row r="29" spans="1:26" s="595" customFormat="1" ht="25.5">
      <c r="A29" s="594"/>
      <c r="B29" s="789">
        <v>12030</v>
      </c>
      <c r="C29" s="789">
        <v>2870</v>
      </c>
      <c r="D29" s="642" t="s">
        <v>952</v>
      </c>
      <c r="E29" s="641" t="s">
        <v>953</v>
      </c>
      <c r="F29" s="641" t="s">
        <v>954</v>
      </c>
      <c r="G29" s="641" t="s">
        <v>949</v>
      </c>
      <c r="H29" s="641" t="s">
        <v>950</v>
      </c>
      <c r="I29" s="641" t="s">
        <v>953</v>
      </c>
      <c r="J29" s="788">
        <v>40934</v>
      </c>
      <c r="K29" s="788">
        <v>40934</v>
      </c>
      <c r="L29" s="641" t="s">
        <v>951</v>
      </c>
      <c r="M29" s="641">
        <v>1189</v>
      </c>
      <c r="N29" s="641">
        <v>5350.5</v>
      </c>
      <c r="O29" s="641">
        <v>7643.5714285714284</v>
      </c>
      <c r="P29" s="641">
        <v>15287.142857142859</v>
      </c>
      <c r="Q29" s="641">
        <v>0</v>
      </c>
      <c r="R29" s="641">
        <v>0</v>
      </c>
      <c r="S29" s="641">
        <v>0</v>
      </c>
      <c r="T29" s="641">
        <v>0</v>
      </c>
      <c r="U29" s="641">
        <v>0</v>
      </c>
      <c r="V29" s="641">
        <v>0</v>
      </c>
      <c r="W29" s="641"/>
      <c r="X29" s="641">
        <v>300</v>
      </c>
      <c r="Y29" s="641" t="s">
        <v>955</v>
      </c>
      <c r="Z29" s="643" t="s">
        <v>391</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3203</v>
      </c>
      <c r="N58" s="599">
        <f>SUM(N28:N57)</f>
        <v>14413.499999999998</v>
      </c>
      <c r="O58" s="599">
        <f t="shared" ref="O58:W58" si="2">SUM(O28:O57)</f>
        <v>20590.714285714283</v>
      </c>
      <c r="P58" s="599">
        <f t="shared" si="2"/>
        <v>41181.428571428565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3203</v>
      </c>
      <c r="N59" s="599">
        <f t="shared" si="3"/>
        <v>14413.499999999998</v>
      </c>
      <c r="O59" s="599">
        <f t="shared" si="3"/>
        <v>20590.714285714283</v>
      </c>
      <c r="P59" s="599">
        <f t="shared" si="3"/>
        <v>41181.428571428565</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16957.058823529409</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24224.369747899153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2019-06-29T16:11:16Z</dcterms:modified>
</cp:coreProperties>
</file>