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L26" i="14"/>
  <c r="H26"/>
  <c r="K22"/>
  <c r="R12"/>
  <c r="F13" i="15"/>
  <c r="D13"/>
  <c r="C13"/>
  <c r="J10" i="18" l="1"/>
  <c r="J76" i="14"/>
  <c r="Q14" i="48"/>
  <c r="C76" i="14"/>
  <c r="C8" i="56" s="1"/>
  <c r="E8"/>
  <c r="E10" s="1"/>
  <c r="M78" i="14"/>
  <c r="M8" i="56"/>
  <c r="M10" s="1"/>
  <c r="H78" i="14"/>
  <c r="H9" i="56"/>
  <c r="H10" s="1"/>
  <c r="Q87" i="14"/>
  <c r="P17" i="56" s="1"/>
  <c r="D17"/>
  <c r="K78" i="14"/>
  <c r="K8" i="56"/>
  <c r="K10" s="1"/>
  <c r="O78" i="14"/>
  <c r="O9" i="56"/>
  <c r="L90" i="14"/>
  <c r="L17" i="56"/>
  <c r="L20" s="1"/>
  <c r="G90" i="14"/>
  <c r="G18" i="56"/>
  <c r="O90" i="14"/>
  <c r="O18" i="56"/>
  <c r="F90" i="14"/>
  <c r="E20" i="56"/>
  <c r="H90" i="14"/>
  <c r="M20" i="56"/>
  <c r="K20"/>
  <c r="C77" i="14"/>
  <c r="C9" i="56" s="1"/>
  <c r="D9"/>
  <c r="D10" s="1"/>
  <c r="Q88" i="14"/>
  <c r="P18" i="56" s="1"/>
  <c r="D18"/>
  <c r="K90" i="14"/>
  <c r="K18" i="56"/>
  <c r="N78" i="14"/>
  <c r="N8" i="56"/>
  <c r="N10" s="1"/>
  <c r="F78" i="14"/>
  <c r="O10" i="56"/>
  <c r="C88" i="14"/>
  <c r="C18" i="56" s="1"/>
  <c r="G20"/>
  <c r="O20"/>
  <c r="N90" i="14"/>
  <c r="F10" i="56"/>
  <c r="F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90" l="1"/>
  <c r="J17" i="56"/>
  <c r="J20" s="1"/>
  <c r="J8"/>
  <c r="J10" s="1"/>
  <c r="J78" i="14"/>
  <c r="D20" i="56"/>
  <c r="C10"/>
  <c r="Q78" i="14"/>
  <c r="B9" i="6" s="1"/>
  <c r="P9" i="56"/>
  <c r="P10" s="1"/>
  <c r="Q90" i="14"/>
  <c r="B17" i="6" s="1"/>
  <c r="C87" i="14"/>
  <c r="C17" i="56" s="1"/>
  <c r="C20" s="1"/>
  <c r="P20"/>
  <c r="C90" i="14"/>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H28" i="48" l="1"/>
  <c r="H29"/>
  <c r="H32"/>
  <c r="H26"/>
  <c r="H22"/>
  <c r="H25"/>
  <c r="H24"/>
  <c r="H30"/>
  <c r="H23"/>
  <c r="C4"/>
  <c r="D11" i="14"/>
  <c r="F32" i="48"/>
  <c r="F27"/>
  <c r="F30"/>
  <c r="F24"/>
  <c r="F29"/>
  <c r="F28"/>
  <c r="F31"/>
  <c r="N24"/>
  <c r="N27"/>
  <c r="N32"/>
  <c r="N30"/>
  <c r="N31"/>
  <c r="N28"/>
  <c r="N29"/>
  <c r="K25"/>
  <c r="K26"/>
  <c r="K32"/>
  <c r="K28"/>
  <c r="K24"/>
  <c r="K29"/>
  <c r="K22"/>
  <c r="K31"/>
  <c r="K30"/>
  <c r="K27"/>
  <c r="J10" i="14"/>
  <c r="J16" s="1"/>
  <c r="J27" s="1"/>
  <c r="I5" i="48"/>
  <c r="J24"/>
  <c r="J32"/>
  <c r="J30"/>
  <c r="J28"/>
  <c r="J31"/>
  <c r="J29"/>
  <c r="J27"/>
  <c r="Q11" i="14"/>
  <c r="P4" i="48"/>
  <c r="B7"/>
  <c r="C24" i="14"/>
  <c r="C26" s="1"/>
  <c r="O4" i="48"/>
  <c r="P11" i="14"/>
  <c r="I28" i="48"/>
  <c r="I32"/>
  <c r="I31"/>
  <c r="I27"/>
  <c r="I29"/>
  <c r="I22"/>
  <c r="I26"/>
  <c r="I30"/>
  <c r="I25"/>
  <c r="I24"/>
  <c r="B38" i="13"/>
  <c r="B50" s="1"/>
  <c r="E11" i="14"/>
  <c r="D4" i="48"/>
  <c r="D22" s="1"/>
  <c r="G29"/>
  <c r="G32"/>
  <c r="G24"/>
  <c r="G26"/>
  <c r="G30"/>
  <c r="G25"/>
  <c r="G22"/>
  <c r="G23"/>
  <c r="C11" i="14"/>
  <c r="B4" i="48"/>
  <c r="B10"/>
  <c r="C19" i="14"/>
  <c r="E32" i="48"/>
  <c r="E29"/>
  <c r="E31"/>
  <c r="E24"/>
  <c r="E28"/>
  <c r="E30"/>
  <c r="M12" i="13"/>
  <c r="N41" i="14" s="1"/>
  <c r="M17" i="48"/>
  <c r="L10" i="14"/>
  <c r="L16" s="1"/>
  <c r="L27" s="1"/>
  <c r="K5" i="48"/>
  <c r="D30"/>
  <c r="D29"/>
  <c r="D32"/>
  <c r="D31"/>
  <c r="D28"/>
  <c r="D24"/>
  <c r="L32"/>
  <c r="L29"/>
  <c r="L22"/>
  <c r="L28"/>
  <c r="L27"/>
  <c r="L24"/>
  <c r="L30"/>
  <c r="L31"/>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3" i="48" l="1"/>
  <c r="H31" s="1"/>
  <c r="I18" i="14"/>
  <c r="O22" i="48"/>
  <c r="O5"/>
  <c r="O23" s="1"/>
  <c r="P10" i="14"/>
  <c r="L46"/>
  <c r="L61" s="1"/>
  <c r="L63" s="1"/>
  <c r="F4" i="48"/>
  <c r="F22" s="1"/>
  <c r="G11" i="14"/>
  <c r="P8" i="48"/>
  <c r="P26" s="1"/>
  <c r="Q13" i="14"/>
  <c r="M32" i="48"/>
  <c r="M25"/>
  <c r="M26"/>
  <c r="M29"/>
  <c r="M30"/>
  <c r="M24"/>
  <c r="M22"/>
  <c r="M23"/>
  <c r="I23"/>
  <c r="I33" s="1"/>
  <c r="I15"/>
  <c r="H18" i="14"/>
  <c r="G13" i="48"/>
  <c r="M13"/>
  <c r="M31" s="1"/>
  <c r="N18" i="14"/>
  <c r="P15" i="48"/>
  <c r="P22"/>
  <c r="J12" i="17"/>
  <c r="K54" i="14" s="1"/>
  <c r="K56" s="1"/>
  <c r="J7" i="48"/>
  <c r="J25" s="1"/>
  <c r="K24" i="14"/>
  <c r="K26" s="1"/>
  <c r="K23" i="48"/>
  <c r="K33" s="1"/>
  <c r="K15"/>
  <c r="Q16" i="14"/>
  <c r="Q27" s="1"/>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N4" i="48" l="1"/>
  <c r="N22" s="1"/>
  <c r="O11" i="14"/>
  <c r="O8" i="48"/>
  <c r="P13" i="14"/>
  <c r="P16" s="1"/>
  <c r="P27" s="1"/>
  <c r="E20"/>
  <c r="E22" s="1"/>
  <c r="D9" i="48"/>
  <c r="D27" s="1"/>
  <c r="K11" i="14"/>
  <c r="J4" i="48"/>
  <c r="N20" i="14"/>
  <c r="M9" i="48"/>
  <c r="E7"/>
  <c r="E25" s="1"/>
  <c r="F24" i="14"/>
  <c r="F26" s="1"/>
  <c r="F20"/>
  <c r="F22" s="1"/>
  <c r="E9" i="48"/>
  <c r="E27" s="1"/>
  <c r="E12" i="17"/>
  <c r="F54" i="14" s="1"/>
  <c r="F56" s="1"/>
  <c r="H14" i="22"/>
  <c r="P33" i="48"/>
  <c r="N19" i="14"/>
  <c r="N22" s="1"/>
  <c r="N27" s="1"/>
  <c r="M10" i="48"/>
  <c r="M28" s="1"/>
  <c r="B9"/>
  <c r="C20" i="14"/>
  <c r="R18"/>
  <c r="E12" i="13"/>
  <c r="F41" i="14" s="1"/>
  <c r="F11"/>
  <c r="R11" s="1"/>
  <c r="E4" i="48"/>
  <c r="G31"/>
  <c r="Q13"/>
  <c r="G10"/>
  <c r="H19" i="14"/>
  <c r="D18" i="22"/>
  <c r="E50" i="14" s="1"/>
  <c r="E52" s="1"/>
  <c r="I52"/>
  <c r="I61"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N20" i="15"/>
  <c r="O40" i="14" s="1"/>
  <c r="F20" i="15"/>
  <c r="G40" i="14" s="1"/>
  <c r="N5" i="16"/>
  <c r="E5"/>
  <c r="J5"/>
  <c r="C35" i="13"/>
  <c r="F5" i="16"/>
  <c r="C36" i="13"/>
  <c r="N12"/>
  <c r="O41" i="14" s="1"/>
  <c r="C38" i="13"/>
  <c r="C39"/>
  <c r="C32"/>
  <c r="C34"/>
  <c r="J12"/>
  <c r="K41" i="14" s="1"/>
  <c r="L20" i="15"/>
  <c r="M40" i="14" s="1"/>
  <c r="M46" s="1"/>
  <c r="N63" l="1"/>
  <c r="F10"/>
  <c r="E5" i="48"/>
  <c r="E23" s="1"/>
  <c r="H20" i="14"/>
  <c r="R20" s="1"/>
  <c r="R22" s="1"/>
  <c r="G9" i="48"/>
  <c r="G28"/>
  <c r="Q10"/>
  <c r="C22" i="14"/>
  <c r="K10"/>
  <c r="J5" i="48"/>
  <c r="J23" s="1"/>
  <c r="I20" i="14"/>
  <c r="I22" s="1"/>
  <c r="I27" s="1"/>
  <c r="I63" s="1"/>
  <c r="H9" i="48"/>
  <c r="M27"/>
  <c r="M33" s="1"/>
  <c r="M15"/>
  <c r="O26"/>
  <c r="O33" s="1"/>
  <c r="O15"/>
  <c r="R19" i="14"/>
  <c r="H22"/>
  <c r="H27" s="1"/>
  <c r="E22" i="48"/>
  <c r="Q4"/>
  <c r="J22"/>
  <c r="G18" i="22"/>
  <c r="H50" i="14" s="1"/>
  <c r="H52" s="1"/>
  <c r="H61" s="1"/>
  <c r="H63" s="1"/>
  <c r="Q9" i="48"/>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E26" s="1"/>
  <c r="F13" i="14"/>
  <c r="F16" s="1"/>
  <c r="F27" s="1"/>
  <c r="J33" i="48"/>
  <c r="H27"/>
  <c r="H33" s="1"/>
  <c r="H15"/>
  <c r="G27"/>
  <c r="G33" s="1"/>
  <c r="G15"/>
  <c r="K13" i="14"/>
  <c r="K16" s="1"/>
  <c r="K27" s="1"/>
  <c r="J8" i="48"/>
  <c r="J26" s="1"/>
  <c r="E33"/>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15" i="48"/>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<sst xmlns="http://schemas.openxmlformats.org/spreadsheetml/2006/main" count="2555" uniqueCount="973">
  <si>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</si>
  <si>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</si>
  <si>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</si>
  <si>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</si>
  <si>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</si>
  <si>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</si>
  <si>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</si>
  <si>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</si>
  <si>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</si>
  <si>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</si>
  <si>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</si>
  <si>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</si>
  <si>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</si>
  <si>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</si>
  <si>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</si>
  <si>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</si>
  <si>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</si>
  <si>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</si>
  <si>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</si>
  <si>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</si>
  <si>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</si>
  <si>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</si>
  <si>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</si>
  <si>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</si>
  <si>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</si>
  <si>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</si>
  <si>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</si>
  <si>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</si>
  <si>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</si>
  <si>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</si>
  <si>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</si>
  <si>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</si>
  <si>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</si>
  <si>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</si>
  <si>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</si>
  <si>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</si>
  <si>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</si>
  <si>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</si>
  <si>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</si>
  <si>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</si>
  <si>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</si>
  <si>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</si>
  <si>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</si>
  <si>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</si>
  <si>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</si>
  <si>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</si>
  <si>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</si>
  <si>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</si>
  <si>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</si>
  <si>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</si>
  <si>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</si>
  <si>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</si>
  <si>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</si>
  <si>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</si>
  <si>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</si>
  <si>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</si>
  <si>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</si>
  <si>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</si>
  <si>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</si>
  <si>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</si>
  <si>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</si>
  <si>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</si>
  <si>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</si>
  <si>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</si>
  <si>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</si>
  <si>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</si>
  <si>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</si>
  <si>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</si>
  <si>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</si>
  <si>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</si>
  <si>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</si>
  <si>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</si>
  <si>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</si>
  <si>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</si>
  <si>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</si>
  <si>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</si>
  <si>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</si>
  <si>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</si>
  <si>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</si>
  <si>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</si>
  <si>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</si>
  <si>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</si>
  <si>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</si>
  <si>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</si>
  <si>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</si>
  <si>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</si>
  <si>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</si>
  <si>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</si>
  <si>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</si>
  <si>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</si>
  <si>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</si>
  <si>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</si>
  <si>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</si>
  <si>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</si>
  <si>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</si>
  <si>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</si>
  <si>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</si>
  <si>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</si>
  <si>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</si>
  <si>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</si>
  <si>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</si>
  <si>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</si>
  <si>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</si>
  <si>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</si>
  <si>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</si>
  <si>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</si>
  <si>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</si>
  <si>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</si>
  <si>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</si>
  <si>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</si>
  <si>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</si>
  <si>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</si>
  <si>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</si>
  <si>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</si>
  <si>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</si>
  <si>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</si>
  <si>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</si>
  <si>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</si>
  <si>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</si>
  <si>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</si>
  <si>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</si>
  <si>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</si>
  <si>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</si>
  <si>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</si>
  <si>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</si>
  <si>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</si>
  <si>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</si>
  <si>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</si>
  <si>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</si>
  <si>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</si>
  <si>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</si>
  <si>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</si>
  <si>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</si>
  <si>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</si>
  <si>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</si>
  <si>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</si>
  <si>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</si>
  <si>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</si>
  <si>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</si>
  <si>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</si>
  <si>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</si>
  <si>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</si>
  <si>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</si>
  <si>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</si>
  <si>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</si>
  <si>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</si>
  <si>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</si>
  <si>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</si>
  <si>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</si>
  <si>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</si>
  <si>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</si>
  <si>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</si>
  <si>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</si>
  <si>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</si>
  <si>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</si>
  <si>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</si>
  <si>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</si>
  <si>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</si>
  <si>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</si>
  <si>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</si>
  <si>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</si>
  <si>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</si>
  <si>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</si>
  <si>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</si>
  <si>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</si>
  <si>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</si>
  <si>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</si>
  <si>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</si>
  <si>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</si>
  <si>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</si>
  <si>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</si>
  <si>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</si>
  <si>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</si>
  <si>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</si>
  <si>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</si>
  <si>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</si>
  <si>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</si>
  <si>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</si>
  <si>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</si>
  <si>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</si>
  <si>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</si>
  <si>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</si>
  <si>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</si>
  <si>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</si>
  <si>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</si>
  <si>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</si>
  <si>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</si>
  <si>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</si>
  <si>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</si>
  <si>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</si>
  <si>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</si>
  <si>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</si>
  <si>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</si>
  <si>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</si>
  <si>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</si>
  <si>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</si>
  <si>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</si>
  <si>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</si>
  <si>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</si>
  <si>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</si>
  <si>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</si>
  <si>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</si>
  <si>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</si>
  <si>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</si>
  <si>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</si>
  <si>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</si>
  <si>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</si>
  <si>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</si>
  <si>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</si>
  <si>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</si>
  <si>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</si>
  <si>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</si>
  <si>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</si>
  <si>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</si>
  <si>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</si>
  <si>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</si>
  <si>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</si>
  <si>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</si>
  <si>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</si>
  <si>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</si>
  <si>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</si>
  <si>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</si>
  <si>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</si>
  <si>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</si>
  <si>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</si>
  <si>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</si>
  <si>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</si>
  <si>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</si>
  <si>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</si>
  <si>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</si>
  <si>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</si>
  <si>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</si>
  <si>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</si>
  <si>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</si>
  <si>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</si>
  <si>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</si>
  <si>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</si>
  <si>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</si>
  <si>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</si>
  <si>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</si>
  <si>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</si>
  <si>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</si>
  <si>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</si>
  <si>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</si>
  <si>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</si>
  <si>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</si>
  <si>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</si>
  <si>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</si>
  <si>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</si>
  <si>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</si>
  <si>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</si>
  <si>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</si>
  <si>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</si>
  <si>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</si>
  <si>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</si>
  <si>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</si>
  <si>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</si>
  <si>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</si>
  <si>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</si>
  <si>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</si>
  <si>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</si>
  <si>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</si>
  <si>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</si>
  <si>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</si>
  <si>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</si>
  <si>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</si>
  <si>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</si>
  <si>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</si>
  <si>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</si>
  <si>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</si>
  <si>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</si>
  <si>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</si>
  <si>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</si>
  <si>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</si>
  <si>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</si>
  <si>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</si>
  <si>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</si>
  <si>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</si>
  <si>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</si>
  <si>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</si>
  <si>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</si>
  <si>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</si>
  <si>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</si>
  <si>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</si>
  <si>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</si>
  <si>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</si>
  <si>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</si>
  <si>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</si>
  <si>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</si>
  <si>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</si>
  <si>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</si>
  <si>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</si>
  <si>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</si>
  <si>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</si>
  <si>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</si>
  <si>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</si>
  <si>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</si>
  <si>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</si>
  <si>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</si>
  <si>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</si>
  <si>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</si>
  <si>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</si>
  <si>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</si>
  <si>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</si>
  <si>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</si>
  <si>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</si>
  <si>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</si>
  <si>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</si>
  <si>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</si>
  <si>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</si>
  <si>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</si>
  <si>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</si>
  <si>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</si>
  <si>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</si>
  <si>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</si>
  <si>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</si>
  <si>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</si>
  <si>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</si>
  <si>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</si>
  <si>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</si>
  <si>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</si>
  <si>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</si>
  <si>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</si>
  <si>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</si>
  <si>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</si>
  <si>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</si>
  <si>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</si>
  <si>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</si>
  <si>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</si>
  <si>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</si>
  <si>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</si>
  <si>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</si>
  <si>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</si>
  <si>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</si>
  <si>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</si>
  <si>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</si>
  <si>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</si>
  <si>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</si>
  <si>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</si>
  <si>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</si>
  <si>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</si>
  <si>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</si>
  <si>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</si>
  <si>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</si>
  <si>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</si>
  <si>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</si>
  <si>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</si>
  <si>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</si>
  <si>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</si>
  <si>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</si>
  <si>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</si>
  <si>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</si>
  <si>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</si>
  <si>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</si>
  <si>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</si>
  <si>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</si>
  <si>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</si>
  <si>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</si>
  <si>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</si>
  <si>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</si>
  <si>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</si>
  <si>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</si>
  <si>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</si>
  <si>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</si>
  <si>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</si>
  <si>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</si>
  <si>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</si>
  <si>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</si>
  <si>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</si>
  <si>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</si>
  <si>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</si>
  <si>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</si>
  <si>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</si>
  <si>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</si>
  <si>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</si>
  <si>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</si>
  <si>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</si>
  <si>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</si>
  <si>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</si>
  <si>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</si>
  <si>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</si>
  <si>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</si>
  <si>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</si>
  <si>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</si>
  <si>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</si>
  <si>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</si>
  <si>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</si>
  <si>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</si>
  <si>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</si>
  <si>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</si>
  <si>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</si>
  <si>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</si>
  <si>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</si>
  <si>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</si>
  <si>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</si>
  <si>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</si>
  <si>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</si>
  <si>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</si>
  <si>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</si>
  <si>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</si>
  <si>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</si>
  <si>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</si>
  <si>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</si>
  <si>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</si>
  <si>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</si>
  <si>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</si>
  <si>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</si>
  <si>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</si>
  <si>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</si>
  <si>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</si>
  <si>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</si>
  <si>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</si>
  <si>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</si>
  <si>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</si>
  <si>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</si>
  <si>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</si>
  <si>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</si>
  <si>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</si>
  <si>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</si>
  <si>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</si>
  <si>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</si>
  <si>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</si>
  <si>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</si>
  <si>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</si>
  <si>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</si>
  <si>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</si>
  <si>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</si>
  <si>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</si>
  <si>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</si>
  <si>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</si>
  <si>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</si>
  <si>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</si>
  <si>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</si>
  <si>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</si>
  <si>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</si>
  <si>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</si>
  <si>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</si>
  <si>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</si>
  <si>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</si>
  <si>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</si>
  <si>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</si>
  <si>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</si>
  <si>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</si>
  <si>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</si>
  <si>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</si>
  <si>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</si>
  <si>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</si>
  <si>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</si>
  <si>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</si>
  <si>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</si>
  <si>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</si>
  <si>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</si>
  <si>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</si>
  <si>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</si>
  <si>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</si>
  <si>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</si>
  <si>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</si>
  <si>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</si>
  <si>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</si>
  <si>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</si>
  <si>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</si>
  <si>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</si>
  <si>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</si>
  <si>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</si>
  <si>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</si>
  <si>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</si>
  <si>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</si>
  <si>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</si>
  <si>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</si>
  <si>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</si>
  <si>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</si>
  <si>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</si>
  <si>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</si>
  <si>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</si>
  <si>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</si>
  <si>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</si>
  <si>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</si>
  <si>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</si>
  <si>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</si>
  <si>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</si>
  <si>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</si>
  <si>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</si>
  <si>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</si>
  <si>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</si>
  <si>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</si>
  <si>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</si>
  <si>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</si>
  <si>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</si>
  <si>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</si>
  <si>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</si>
  <si>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</si>
  <si>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</si>
  <si>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</si>
  <si>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</si>
  <si>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</si>
  <si>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</si>
  <si>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</si>
  <si>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</si>
  <si>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</si>
  <si>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</si>
  <si>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</si>
  <si>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</si>
  <si>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</si>
  <si>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</si>
  <si>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</si>
  <si>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</si>
  <si>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</si>
  <si>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</si>
  <si>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</si>
  <si>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</si>
  <si>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</si>
  <si>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</si>
  <si>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</si>
  <si>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</si>
  <si>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</si>
  <si>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</si>
  <si>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</si>
  <si>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</si>
  <si>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</si>
  <si>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</si>
  <si>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</si>
  <si>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</si>
  <si>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</si>
  <si>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</si>
  <si>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</si>
  <si>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</si>
  <si>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</si>
  <si>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</si>
  <si>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</si>
  <si>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</si>
  <si>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</si>
  <si>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</si>
  <si>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</si>
  <si>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</si>
  <si>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</si>
  <si>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</si>
  <si>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</si>
  <si>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</si>
  <si>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</si>
  <si>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</si>
  <si>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</si>
  <si>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</si>
  <si>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</si>
  <si>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</si>
  <si>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</si>
  <si>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</si>
  <si>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</si>
  <si>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</si>
  <si>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</si>
  <si>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</si>
  <si>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</si>
  <si>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</si>
  <si>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</si>
  <si>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</si>
  <si>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</si>
  <si>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</si>
  <si>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</si>
  <si>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</si>
  <si>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</si>
  <si>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</si>
  <si>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</si>
  <si>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</si>
  <si>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</si>
  <si>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</si>
  <si>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</si>
  <si>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</si>
  <si>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</si>
  <si>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</si>
  <si>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</si>
  <si>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</si>
  <si>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</si>
  <si>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</si>
  <si>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</si>
  <si>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</si>
  <si>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</si>
  <si>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</si>
  <si>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</si>
  <si>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</si>
  <si>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</si>
  <si>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</si>
  <si>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</si>
  <si>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</si>
  <si>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</si>
  <si>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</si>
  <si>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</si>
  <si>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</si>
  <si>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</si>
  <si>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</si>
  <si>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</si>
  <si>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</si>
  <si>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</si>
  <si>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</si>
  <si>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</si>
  <si>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</si>
  <si>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</si>
  <si>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</si>
  <si>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</si>
  <si>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</si>
  <si>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</si>
  <si>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</si>
  <si>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</si>
  <si>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</si>
  <si>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</si>
  <si>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</si>
  <si>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</si>
  <si>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</si>
  <si>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</si>
  <si>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</si>
  <si>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</si>
  <si>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</si>
  <si>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</si>
  <si>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</si>
  <si>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</si>
  <si>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</si>
  <si>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</si>
  <si>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</si>
  <si>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</si>
  <si>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</si>
  <si>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</si>
  <si>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</si>
  <si>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</si>
  <si>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</si>
  <si>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</si>
  <si>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</si>
  <si>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</si>
  <si>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</si>
  <si>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</si>
  <si>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</si>
  <si>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</si>
  <si>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</si>
  <si>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</si>
  <si>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</si>
  <si>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</si>
  <si>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</si>
  <si>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</si>
  <si>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</si>
  <si>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</si>
  <si>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</si>
  <si>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</si>
  <si>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</si>
  <si>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</si>
  <si>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</si>
  <si>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</si>
  <si>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</si>
  <si>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</si>
  <si>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</si>
  <si>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</si>
  <si>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</si>
  <si>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</si>
  <si>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</si>
  <si>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</si>
  <si>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</si>
  <si>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</si>
  <si>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</si>
  <si>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</si>
  <si>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</si>
  <si>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</si>
  <si>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</si>
  <si>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</si>
  <si>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</si>
  <si>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</si>
  <si>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</si>
  <si>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</si>
  <si>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</si>
  <si>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</si>
  <si>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</si>
  <si>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</si>
  <si>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</si>
  <si>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</si>
  <si>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</si>
  <si>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</si>
  <si>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</si>
  <si>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</si>
  <si>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</si>
  <si>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</si>
  <si>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</si>
  <si>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</si>
  <si>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</si>
  <si>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</si>
  <si>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</si>
  <si>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</si>
  <si>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</si>
  <si>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</si>
  <si>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</si>
  <si>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</si>
  <si>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</si>
  <si>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</si>
  <si>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</si>
  <si>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</si>
  <si>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</si>
  <si>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</si>
  <si>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</si>
  <si>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</si>
  <si>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</si>
  <si>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</si>
  <si>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</si>
  <si>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</si>
  <si>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</si>
  <si>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</si>
  <si>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</si>
  <si>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</si>
  <si>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</si>
  <si>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</si>
  <si>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</si>
  <si>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</si>
  <si>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</si>
  <si>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</si>
  <si>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</si>
  <si>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</si>
  <si>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</si>
  <si>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</si>
  <si>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</si>
  <si>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</si>
  <si>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</si>
  <si>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</si>
  <si>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</si>
  <si>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</si>
  <si>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</si>
  <si>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</si>
  <si>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</si>
  <si>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</si>
  <si>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</si>
  <si>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</si>
  <si>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</si>
  <si>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</si>
  <si>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</si>
  <si>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</si>
  <si>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</si>
  <si>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</si>
  <si>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</si>
  <si>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</si>
  <si>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</si>
  <si>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</si>
  <si>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</si>
  <si>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</si>
  <si>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</si>
  <si>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</si>
  <si>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</si>
  <si>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</si>
  <si>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</si>
  <si>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</si>
  <si>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</si>
  <si>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</si>
  <si>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</si>
  <si>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</si>
  <si>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</si>
  <si>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</si>
  <si>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</si>
  <si>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</si>
  <si>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</si>
  <si>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</si>
  <si>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</si>
  <si>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</si>
  <si>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</si>
  <si>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</si>
  <si>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</si>
  <si>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</si>
  <si>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</si>
  <si>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</si>
  <si>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</si>
  <si>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</si>
  <si>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</si>
  <si>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</si>
  <si>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</si>
  <si>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</si>
  <si>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</si>
  <si>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</si>
  <si>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</si>
  <si>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</si>
  <si>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</si>
  <si>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</si>
  <si>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</si>
  <si>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</si>
  <si>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</si>
  <si>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</si>
  <si>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</si>
  <si>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</si>
  <si>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</si>
  <si>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</si>
  <si>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</si>
  <si>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</si>
  <si>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</si>
  <si>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</si>
  <si>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</si>
  <si>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</si>
  <si>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</si>
  <si>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</si>
  <si>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</si>
  <si>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</si>
  <si>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</si>
  <si>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</si>
  <si>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</si>
  <si>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</si>
  <si>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</si>
  <si>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</si>
  <si>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</si>
  <si>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</si>
  <si>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</si>
  <si>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</si>
  <si>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</si>
  <si>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</si>
  <si>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</si>
  <si>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</si>
  <si>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</si>
  <si>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</si>
  <si>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</si>
  <si>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</si>
  <si>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</si>
  <si>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</si>
  <si>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</si>
  <si>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</si>
  <si>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</si>
  <si>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</si>
  <si>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</si>
  <si>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</si>
  <si>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</si>
  <si>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</si>
  <si>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</si>
  <si>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</si>
  <si>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</si>
  <si>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</si>
  <si>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</si>
  <si>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</si>
  <si>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</si>
  <si>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</si>
  <si>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</si>
  <si>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</si>
  <si>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</si>
  <si>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</si>
  <si>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</si>
  <si>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</si>
  <si>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</si>
  <si>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</si>
  <si>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</si>
  <si>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</si>
  <si>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</si>
  <si>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</si>
  <si>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</si>
  <si>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</si>
  <si>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</si>
  <si>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</si>
  <si>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</si>
  <si>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</si>
  <si>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</si>
  <si>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</si>
  <si>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</si>
  <si>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</si>
  <si>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</si>
  <si>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</si>
  <si>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</si>
  <si>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</si>
  <si>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</si>
  <si>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</si>
  <si>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</si>
  <si>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</si>
  <si>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</si>
  <si>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</si>
  <si>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</si>
  <si>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</si>
  <si>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</si>
  <si>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</si>
  <si>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</si>
  <si>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</si>
  <si>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</si>
  <si>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</si>
  <si>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</si>
  <si>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</si>
  <si>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</si>
  <si>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</si>
  <si>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</si>
  <si>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</si>
  <si>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</si>
  <si>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</si>
  <si>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</si>
  <si>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</si>
  <si>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</si>
  <si>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</si>
  <si>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</si>
  <si>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</si>
  <si>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</si>
  <si>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</si>
  <si>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</si>
  <si>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</si>
  <si>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</si>
  <si>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</si>
  <si>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</si>
  <si>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</si>
  <si>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</si>
  <si>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</si>
  <si>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</si>
  <si>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</si>
  <si>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</si>
  <si>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</si>
  <si>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</si>
  <si>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</si>
  <si>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</si>
  <si>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</si>
  <si>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</si>
  <si>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</si>
  <si>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</si>
  <si>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</si>
  <si>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</si>
  <si>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</si>
  <si>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</si>
  <si>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</si>
  <si>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</si>
  <si>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</si>
  <si>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</si>
  <si>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</si>
  <si>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</si>
  <si>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</si>
  <si>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</si>
  <si>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</si>
  <si>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</si>
  <si>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</si>
  <si>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</si>
  <si>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</si>
  <si>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</si>
  <si>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</si>
  <si>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</si>
  <si>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</si>
  <si>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</si>
  <si>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</si>
  <si>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</si>
  <si>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</si>
  <si>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</si>
  <si>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</si>
  <si>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</si>
  <si>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</si>
  <si>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</si>
  <si>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</si>
  <si>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</si>
  <si>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</si>
  <si>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</si>
  <si>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</si>
  <si>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</si>
  <si>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</si>
  <si>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</si>
  <si>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</si>
  <si>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</si>
  <si>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11053</t>
  </si>
  <si>
    <t>WUUSTWEZEL</t>
  </si>
  <si>
    <t>Paarden&amp;pony's 200 - 600 kg</t>
  </si>
  <si>
    <t>Paarden&amp;pony's &lt; 200 kg</t>
  </si>
  <si>
    <t>op basis van VEA (maart 2018) en Inventaris Hernieuwbare Energiebronnen (juni 2018)</t>
  </si>
  <si>
    <t>VEA (juni 2018)</t>
  </si>
  <si>
    <t>V.W. Tuinderijen bvba</t>
  </si>
  <si>
    <t>Schauwbosweg 10, 2990 Loenhout</t>
  </si>
  <si>
    <t>WKK-0124 V.W. Tuinderijen</t>
  </si>
  <si>
    <t>interne verbrandingsmotor</t>
  </si>
  <si>
    <t>WKK interne verbrandinsgmotor (gas)</t>
  </si>
  <si>
    <t>IVEKA</t>
  </si>
  <si>
    <t>Vissers Neel</t>
  </si>
  <si>
    <t>Heikenweg 29, 2990 Wuustwezel</t>
  </si>
  <si>
    <t>WKK-0163 Vissers Neel</t>
  </si>
  <si>
    <t>Heikenweg 29, 2990 Loenhout</t>
  </si>
  <si>
    <t>De Sprong bvba</t>
  </si>
  <si>
    <t>Heivelden 30, 2990 Wuustwezel</t>
  </si>
  <si>
    <t>WKK-0171 De Sprong</t>
  </si>
  <si>
    <t>Groeikracht de Blackt NV</t>
  </si>
  <si>
    <t>Blaktweg 1, 2990 Loenhout</t>
  </si>
  <si>
    <t>WKK-0066 Groeikracht de Blackt</t>
  </si>
  <si>
    <t>Varico BVBA</t>
  </si>
  <si>
    <t>Sint Lenaartseweg 210 , 2990 Loenhout</t>
  </si>
  <si>
    <t>WKK-0296 Varico</t>
  </si>
  <si>
    <t>Biolectric nv</t>
  </si>
  <si>
    <t>Jan de Malschelaan 4 B, 9140 Temse</t>
  </si>
  <si>
    <t>WKK-0443 Jan Aernouts</t>
  </si>
  <si>
    <t>Vaasweg 6 , 2990 Loenhout</t>
  </si>
  <si>
    <t>WKK-0444 Hugo Vissers</t>
  </si>
  <si>
    <t>Heikenweg 63 , 2990 Wuustwezel</t>
  </si>
  <si>
    <t>WKK-0442 Filip Van Loon</t>
  </si>
  <si>
    <t>Tereik 93 , 2990 Wuustwezel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</si>
</sst>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11053</v>
      </c>
      <c r="B6" s="397"/>
      <c r="C6" s="398"/>
    </row>
    <row r="7" spans="1:7" s="395" customFormat="1" ht="15.75" customHeight="1">
      <c r="A7" s="399" t="str">
        <f>txtMunicipality</f>
        <v>WUUSTWEZEL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0.29003984766853913</v>
      </c>
      <c r="C17" s="510">
        <f ca="1">'EF ele_warmte'!B22</f>
        <v>0.23759731579574694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0.29003984766853913</v>
      </c>
      <c r="C29" s="511">
        <f ca="1">'EF ele_warmte'!B22</f>
        <v>0.23759731579574694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7575</v>
      </c>
      <c r="C9" s="338">
        <v>8404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5899</v>
      </c>
    </row>
    <row r="15" spans="1:6">
      <c r="A15" s="1286" t="s">
        <v>184</v>
      </c>
      <c r="B15" s="335">
        <v>4666</v>
      </c>
    </row>
    <row r="16" spans="1:6">
      <c r="A16" s="1286" t="s">
        <v>6</v>
      </c>
      <c r="B16" s="335">
        <v>6967</v>
      </c>
    </row>
    <row r="17" spans="1:6">
      <c r="A17" s="1286" t="s">
        <v>7</v>
      </c>
      <c r="B17" s="335">
        <v>925</v>
      </c>
    </row>
    <row r="18" spans="1:6">
      <c r="A18" s="1286" t="s">
        <v>8</v>
      </c>
      <c r="B18" s="335">
        <v>3940</v>
      </c>
    </row>
    <row r="19" spans="1:6">
      <c r="A19" s="1286" t="s">
        <v>9</v>
      </c>
      <c r="B19" s="335">
        <v>3854</v>
      </c>
    </row>
    <row r="20" spans="1:6">
      <c r="A20" s="1286" t="s">
        <v>10</v>
      </c>
      <c r="B20" s="335">
        <v>2310</v>
      </c>
    </row>
    <row r="21" spans="1:6">
      <c r="A21" s="1286" t="s">
        <v>11</v>
      </c>
      <c r="B21" s="335">
        <v>42501</v>
      </c>
    </row>
    <row r="22" spans="1:6">
      <c r="A22" s="1286" t="s">
        <v>12</v>
      </c>
      <c r="B22" s="335">
        <v>97852</v>
      </c>
    </row>
    <row r="23" spans="1:6">
      <c r="A23" s="1286" t="s">
        <v>13</v>
      </c>
      <c r="B23" s="335">
        <v>1579</v>
      </c>
    </row>
    <row r="24" spans="1:6">
      <c r="A24" s="1286" t="s">
        <v>14</v>
      </c>
      <c r="B24" s="335">
        <v>74</v>
      </c>
    </row>
    <row r="25" spans="1:6">
      <c r="A25" s="1286" t="s">
        <v>15</v>
      </c>
      <c r="B25" s="335">
        <v>11650</v>
      </c>
    </row>
    <row r="26" spans="1:6">
      <c r="A26" s="1286" t="s">
        <v>16</v>
      </c>
      <c r="B26" s="335">
        <v>360</v>
      </c>
    </row>
    <row r="27" spans="1:6">
      <c r="A27" s="1286" t="s">
        <v>17</v>
      </c>
      <c r="B27" s="335">
        <v>1854</v>
      </c>
    </row>
    <row r="28" spans="1:6" s="341" customFormat="1">
      <c r="A28" s="1287" t="s">
        <v>18</v>
      </c>
      <c r="B28" s="1287">
        <v>922513</v>
      </c>
    </row>
    <row r="29" spans="1:6">
      <c r="A29" s="1287" t="s">
        <v>942</v>
      </c>
      <c r="B29" s="1287">
        <v>376</v>
      </c>
      <c r="C29" s="341"/>
      <c r="D29" s="341"/>
      <c r="E29" s="341"/>
      <c r="F29" s="341"/>
    </row>
    <row r="30" spans="1:6">
      <c r="A30" s="1282" t="s">
        <v>943</v>
      </c>
      <c r="B30" s="1282">
        <v>106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198939.429231441</v>
      </c>
    </row>
    <row r="37" spans="1:6">
      <c r="A37" s="1286" t="s">
        <v>25</v>
      </c>
      <c r="B37" s="1286" t="s">
        <v>28</v>
      </c>
      <c r="C37" s="335">
        <v>0</v>
      </c>
      <c r="D37" s="335">
        <v>0</v>
      </c>
      <c r="E37" s="335">
        <v>0</v>
      </c>
      <c r="F37" s="335">
        <v>0</v>
      </c>
    </row>
    <row r="38" spans="1:6">
      <c r="A38" s="1286" t="s">
        <v>25</v>
      </c>
      <c r="B38" s="1286" t="s">
        <v>29</v>
      </c>
      <c r="C38" s="335">
        <v>4</v>
      </c>
      <c r="D38" s="335">
        <v>43147596.712639503</v>
      </c>
      <c r="E38" s="335">
        <v>4</v>
      </c>
      <c r="F38" s="335">
        <v>70063.196136434999</v>
      </c>
    </row>
    <row r="39" spans="1:6">
      <c r="A39" s="1286" t="s">
        <v>30</v>
      </c>
      <c r="B39" s="1286" t="s">
        <v>31</v>
      </c>
      <c r="C39" s="335">
        <v>4869</v>
      </c>
      <c r="D39" s="335">
        <v>97883034.179420501</v>
      </c>
      <c r="E39" s="335">
        <v>7315</v>
      </c>
      <c r="F39" s="335">
        <v>36523005.098380104</v>
      </c>
    </row>
    <row r="40" spans="1:6">
      <c r="A40" s="1286" t="s">
        <v>30</v>
      </c>
      <c r="B40" s="1286" t="s">
        <v>29</v>
      </c>
      <c r="C40" s="335">
        <v>0</v>
      </c>
      <c r="D40" s="335">
        <v>0</v>
      </c>
      <c r="E40" s="335">
        <v>0</v>
      </c>
      <c r="F40" s="335">
        <v>0</v>
      </c>
    </row>
    <row r="41" spans="1:6">
      <c r="A41" s="1286" t="s">
        <v>32</v>
      </c>
      <c r="B41" s="1286" t="s">
        <v>33</v>
      </c>
      <c r="C41" s="335">
        <v>76</v>
      </c>
      <c r="D41" s="335">
        <v>2073512.6022912799</v>
      </c>
      <c r="E41" s="335">
        <v>210</v>
      </c>
      <c r="F41" s="335">
        <v>2617821.43140782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11</v>
      </c>
      <c r="D44" s="335">
        <v>728746.55653333396</v>
      </c>
      <c r="E44" s="335">
        <v>25</v>
      </c>
      <c r="F44" s="335">
        <v>662880.04593052401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101619.683876792</v>
      </c>
    </row>
    <row r="48" spans="1:6">
      <c r="A48" s="1286" t="s">
        <v>32</v>
      </c>
      <c r="B48" s="1286" t="s">
        <v>29</v>
      </c>
      <c r="C48" s="335">
        <v>30</v>
      </c>
      <c r="D48" s="335">
        <v>4469186.8599240696</v>
      </c>
      <c r="E48" s="335">
        <v>30</v>
      </c>
      <c r="F48" s="335">
        <v>3459321.5165142999</v>
      </c>
    </row>
    <row r="49" spans="1:6">
      <c r="A49" s="1286" t="s">
        <v>32</v>
      </c>
      <c r="B49" s="1286" t="s">
        <v>40</v>
      </c>
      <c r="C49" s="335">
        <v>0</v>
      </c>
      <c r="D49" s="335">
        <v>0</v>
      </c>
      <c r="E49" s="335">
        <v>0</v>
      </c>
      <c r="F49" s="335">
        <v>0</v>
      </c>
    </row>
    <row r="50" spans="1:6">
      <c r="A50" s="1286" t="s">
        <v>32</v>
      </c>
      <c r="B50" s="1286" t="s">
        <v>41</v>
      </c>
      <c r="C50" s="335">
        <v>5</v>
      </c>
      <c r="D50" s="335">
        <v>280404.37376438198</v>
      </c>
      <c r="E50" s="335">
        <v>10</v>
      </c>
      <c r="F50" s="335">
        <v>331428.27557290299</v>
      </c>
    </row>
    <row r="51" spans="1:6">
      <c r="A51" s="1286" t="s">
        <v>42</v>
      </c>
      <c r="B51" s="1286" t="s">
        <v>43</v>
      </c>
      <c r="C51" s="335">
        <v>35</v>
      </c>
      <c r="D51" s="335">
        <v>152180391.52053201</v>
      </c>
      <c r="E51" s="335">
        <v>378</v>
      </c>
      <c r="F51" s="335">
        <v>10774401.4601925</v>
      </c>
    </row>
    <row r="52" spans="1:6">
      <c r="A52" s="1286" t="s">
        <v>42</v>
      </c>
      <c r="B52" s="1286" t="s">
        <v>29</v>
      </c>
      <c r="C52" s="335">
        <v>10</v>
      </c>
      <c r="D52" s="335">
        <v>6812096.0470340997</v>
      </c>
      <c r="E52" s="335">
        <v>5</v>
      </c>
      <c r="F52" s="335">
        <v>342394.61292569898</v>
      </c>
    </row>
    <row r="53" spans="1:6">
      <c r="A53" s="1286" t="s">
        <v>44</v>
      </c>
      <c r="B53" s="1286" t="s">
        <v>45</v>
      </c>
      <c r="C53" s="335">
        <v>90</v>
      </c>
      <c r="D53" s="335">
        <v>2499179.1810896602</v>
      </c>
      <c r="E53" s="335">
        <v>211</v>
      </c>
      <c r="F53" s="335">
        <v>1406584.73680018</v>
      </c>
    </row>
    <row r="54" spans="1:6">
      <c r="A54" s="1286" t="s">
        <v>46</v>
      </c>
      <c r="B54" s="1286" t="s">
        <v>47</v>
      </c>
      <c r="C54" s="335">
        <v>0</v>
      </c>
      <c r="D54" s="335">
        <v>0</v>
      </c>
      <c r="E54" s="335">
        <v>1</v>
      </c>
      <c r="F54" s="335">
        <v>1409217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32</v>
      </c>
      <c r="D57" s="335">
        <v>1097470.805284</v>
      </c>
      <c r="E57" s="335">
        <v>130</v>
      </c>
      <c r="F57" s="335">
        <v>2222362.6786051202</v>
      </c>
    </row>
    <row r="58" spans="1:6">
      <c r="A58" s="1286" t="s">
        <v>49</v>
      </c>
      <c r="B58" s="1286" t="s">
        <v>51</v>
      </c>
      <c r="C58" s="335">
        <v>20</v>
      </c>
      <c r="D58" s="335">
        <v>1156011.715291</v>
      </c>
      <c r="E58" s="335">
        <v>31</v>
      </c>
      <c r="F58" s="335">
        <v>382362.54614019301</v>
      </c>
    </row>
    <row r="59" spans="1:6">
      <c r="A59" s="1286" t="s">
        <v>49</v>
      </c>
      <c r="B59" s="1286" t="s">
        <v>52</v>
      </c>
      <c r="C59" s="335">
        <v>102</v>
      </c>
      <c r="D59" s="335">
        <v>3146743.5514854901</v>
      </c>
      <c r="E59" s="335">
        <v>205</v>
      </c>
      <c r="F59" s="335">
        <v>4829981.0374109996</v>
      </c>
    </row>
    <row r="60" spans="1:6">
      <c r="A60" s="1286" t="s">
        <v>49</v>
      </c>
      <c r="B60" s="1286" t="s">
        <v>53</v>
      </c>
      <c r="C60" s="335">
        <v>44</v>
      </c>
      <c r="D60" s="335">
        <v>2031861.69065059</v>
      </c>
      <c r="E60" s="335">
        <v>62</v>
      </c>
      <c r="F60" s="335">
        <v>1152300.5175106199</v>
      </c>
    </row>
    <row r="61" spans="1:6">
      <c r="A61" s="1286" t="s">
        <v>49</v>
      </c>
      <c r="B61" s="1286" t="s">
        <v>54</v>
      </c>
      <c r="C61" s="335">
        <v>139</v>
      </c>
      <c r="D61" s="335">
        <v>6677370.4049331704</v>
      </c>
      <c r="E61" s="335">
        <v>224</v>
      </c>
      <c r="F61" s="335">
        <v>3576394.4234402101</v>
      </c>
    </row>
    <row r="62" spans="1:6">
      <c r="A62" s="1286" t="s">
        <v>49</v>
      </c>
      <c r="B62" s="1286" t="s">
        <v>55</v>
      </c>
      <c r="C62" s="335">
        <v>6</v>
      </c>
      <c r="D62" s="335">
        <v>705171.95226360299</v>
      </c>
      <c r="E62" s="335">
        <v>12</v>
      </c>
      <c r="F62" s="335">
        <v>312602.20238761202</v>
      </c>
    </row>
    <row r="63" spans="1:6">
      <c r="A63" s="1286" t="s">
        <v>49</v>
      </c>
      <c r="B63" s="1286" t="s">
        <v>29</v>
      </c>
      <c r="C63" s="335">
        <v>78</v>
      </c>
      <c r="D63" s="335">
        <v>3256253.2290956401</v>
      </c>
      <c r="E63" s="335">
        <v>89</v>
      </c>
      <c r="F63" s="335">
        <v>1594375.3691731901</v>
      </c>
    </row>
    <row r="64" spans="1:6">
      <c r="A64" s="1286" t="s">
        <v>56</v>
      </c>
      <c r="B64" s="1286" t="s">
        <v>57</v>
      </c>
      <c r="C64" s="335">
        <v>0</v>
      </c>
      <c r="D64" s="335">
        <v>0</v>
      </c>
      <c r="E64" s="335">
        <v>0</v>
      </c>
      <c r="F64" s="335">
        <v>0</v>
      </c>
    </row>
    <row r="65" spans="1:6">
      <c r="A65" s="1286" t="s">
        <v>56</v>
      </c>
      <c r="B65" s="1286" t="s">
        <v>29</v>
      </c>
      <c r="C65" s="335">
        <v>2</v>
      </c>
      <c r="D65" s="335">
        <v>7515.5781472406998</v>
      </c>
      <c r="E65" s="335">
        <v>3</v>
      </c>
      <c r="F65" s="335">
        <v>65709.731313984594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251484.796717989</v>
      </c>
      <c r="E68" s="335">
        <v>23</v>
      </c>
      <c r="F68" s="335">
        <v>454592.80788509501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68794383</v>
      </c>
      <c r="E73" s="335">
        <v>71417085.865879759</v>
      </c>
    </row>
    <row r="74" spans="1:6">
      <c r="A74" s="1286" t="s">
        <v>64</v>
      </c>
      <c r="B74" s="1286" t="s">
        <v>772</v>
      </c>
      <c r="C74" s="1297" t="s">
        <v>766</v>
      </c>
      <c r="D74" s="335">
        <v>4936884.4268031139</v>
      </c>
      <c r="E74" s="335">
        <v>5321146.1952479538</v>
      </c>
    </row>
    <row r="75" spans="1:6">
      <c r="A75" s="1286" t="s">
        <v>65</v>
      </c>
      <c r="B75" s="1286" t="s">
        <v>771</v>
      </c>
      <c r="C75" s="1297" t="s">
        <v>767</v>
      </c>
      <c r="D75" s="335">
        <v>13359099</v>
      </c>
      <c r="E75" s="335">
        <v>13803917.346296448</v>
      </c>
    </row>
    <row r="76" spans="1:6">
      <c r="A76" s="1286" t="s">
        <v>65</v>
      </c>
      <c r="B76" s="1286" t="s">
        <v>772</v>
      </c>
      <c r="C76" s="1297" t="s">
        <v>768</v>
      </c>
      <c r="D76" s="335">
        <v>308149.42680311401</v>
      </c>
      <c r="E76" s="335">
        <v>365730.90179776796</v>
      </c>
    </row>
    <row r="77" spans="1:6">
      <c r="A77" s="1286" t="s">
        <v>66</v>
      </c>
      <c r="B77" s="1286" t="s">
        <v>771</v>
      </c>
      <c r="C77" s="1297" t="s">
        <v>769</v>
      </c>
      <c r="D77" s="335">
        <v>93063884</v>
      </c>
      <c r="E77" s="335">
        <v>106731567.66134788</v>
      </c>
    </row>
    <row r="78" spans="1:6">
      <c r="A78" s="1282" t="s">
        <v>66</v>
      </c>
      <c r="B78" s="1282" t="s">
        <v>772</v>
      </c>
      <c r="C78" s="1282" t="s">
        <v>770</v>
      </c>
      <c r="D78" s="1282">
        <v>28350350</v>
      </c>
      <c r="E78" s="1282">
        <v>28614396.876292225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573681.14639377198</v>
      </c>
      <c r="C83" s="335">
        <v>540029.85033265315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26653.028448561028</v>
      </c>
    </row>
    <row r="91" spans="1:6">
      <c r="A91" s="1286" t="s">
        <v>68</v>
      </c>
      <c r="B91" s="335">
        <v>4239.0534420849071</v>
      </c>
    </row>
    <row r="92" spans="1:6">
      <c r="A92" s="1282" t="s">
        <v>69</v>
      </c>
      <c r="B92" s="338">
        <v>3120.883992249368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3580</v>
      </c>
    </row>
    <row r="98" spans="1:6">
      <c r="A98" s="1286" t="s">
        <v>72</v>
      </c>
      <c r="B98" s="335">
        <v>5</v>
      </c>
    </row>
    <row r="99" spans="1:6">
      <c r="A99" s="1286" t="s">
        <v>73</v>
      </c>
      <c r="B99" s="335">
        <v>229</v>
      </c>
    </row>
    <row r="100" spans="1:6">
      <c r="A100" s="1286" t="s">
        <v>74</v>
      </c>
      <c r="B100" s="335">
        <v>824</v>
      </c>
    </row>
    <row r="101" spans="1:6">
      <c r="A101" s="1286" t="s">
        <v>75</v>
      </c>
      <c r="B101" s="335">
        <v>181</v>
      </c>
    </row>
    <row r="102" spans="1:6">
      <c r="A102" s="1286" t="s">
        <v>76</v>
      </c>
      <c r="B102" s="335">
        <v>79</v>
      </c>
    </row>
    <row r="103" spans="1:6">
      <c r="A103" s="1286" t="s">
        <v>77</v>
      </c>
      <c r="B103" s="335">
        <v>142</v>
      </c>
    </row>
    <row r="104" spans="1:6">
      <c r="A104" s="1286" t="s">
        <v>78</v>
      </c>
      <c r="B104" s="335">
        <v>1224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23</v>
      </c>
      <c r="C123" s="335">
        <v>8</v>
      </c>
    </row>
    <row r="124" spans="1:6">
      <c r="A124" s="1282" t="s">
        <v>89</v>
      </c>
      <c r="B124" s="335">
        <v>2</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59</v>
      </c>
    </row>
    <row r="130" spans="1:6">
      <c r="A130" s="1286" t="s">
        <v>295</v>
      </c>
      <c r="B130" s="335">
        <v>1</v>
      </c>
    </row>
    <row r="131" spans="1:6">
      <c r="A131" s="1286" t="s">
        <v>296</v>
      </c>
      <c r="B131" s="335">
        <v>0</v>
      </c>
    </row>
    <row r="132" spans="1:6">
      <c r="A132" s="1282" t="s">
        <v>297</v>
      </c>
      <c r="B132" s="338">
        <v>20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75941.79265675749</v>
      </c>
      <c r="C3" s="44" t="s">
        <v>170</v>
      </c>
      <c r="D3" s="44"/>
      <c r="E3" s="157"/>
      <c r="F3" s="44"/>
      <c r="G3" s="44"/>
      <c r="H3" s="44"/>
      <c r="I3" s="44"/>
      <c r="J3" s="44"/>
      <c r="K3" s="97"/>
    </row>
    <row r="4" spans="1:11">
      <c r="A4" s="365" t="s">
        <v>171</v>
      </c>
      <c r="B4" s="50">
        <f>IF(ISERROR('SEAP template'!B78),0,'SEAP template'!B78)</f>
        <v>34024.209064713483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12762.359999999999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0.29003984766853913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18231.942857142865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76734.633116883138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0.23759731579574694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1409.2170000000001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1409.2170000000001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0.29003984766853913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408.72908401191575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36523.005098380105</v>
      </c>
      <c r="C5" s="18">
        <f>IF(ISERROR('Eigen informatie GS &amp; warmtenet'!B57),0,'Eigen informatie GS &amp; warmtenet'!B57)</f>
        <v>0</v>
      </c>
      <c r="D5" s="31">
        <f>(SUM(HH_hh_gas_kWh,HH_rest_gas_kWh)/1000)*0.902</f>
        <v>88290.496829837299</v>
      </c>
      <c r="E5" s="18">
        <f>B46*B57</f>
        <v>10828.371337104112</v>
      </c>
      <c r="F5" s="18">
        <f>B51*B62</f>
        <v>0</v>
      </c>
      <c r="G5" s="19"/>
      <c r="H5" s="18"/>
      <c r="I5" s="18"/>
      <c r="J5" s="18">
        <f>B50*B61+C50*C61</f>
        <v>413.39694656178187</v>
      </c>
      <c r="K5" s="18"/>
      <c r="L5" s="18"/>
      <c r="M5" s="18"/>
      <c r="N5" s="18">
        <f>B48*B59+C48*C59</f>
        <v>27794.640913159827</v>
      </c>
      <c r="O5" s="18">
        <f>B69*B70*B71</f>
        <v>106.30666666666667</v>
      </c>
      <c r="P5" s="18">
        <f>B77*B78*B79/1000-B77*B78*B79/1000/B80</f>
        <v>858</v>
      </c>
    </row>
    <row r="6" spans="1:16">
      <c r="A6" s="17" t="s">
        <v>639</v>
      </c>
      <c r="B6" s="780">
        <f>kWh_PV_kleiner_dan_10kW</f>
        <v>4239.0534420849071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40762.058540465012</v>
      </c>
      <c r="C8" s="22">
        <f>C5</f>
        <v>0</v>
      </c>
      <c r="D8" s="22">
        <f>D5</f>
        <v>88290.496829837299</v>
      </c>
      <c r="E8" s="22">
        <f>E5</f>
        <v>10828.371337104112</v>
      </c>
      <c r="F8" s="22">
        <f>F5</f>
        <v>0</v>
      </c>
      <c r="G8" s="22"/>
      <c r="H8" s="22"/>
      <c r="I8" s="22"/>
      <c r="J8" s="22">
        <f>J5</f>
        <v>413.39694656178187</v>
      </c>
      <c r="K8" s="22"/>
      <c r="L8" s="22">
        <f>L5</f>
        <v>0</v>
      </c>
      <c r="M8" s="22">
        <f>M5</f>
        <v>0</v>
      </c>
      <c r="N8" s="22">
        <f>N5</f>
        <v>27794.640913159827</v>
      </c>
      <c r="O8" s="22">
        <f>O5</f>
        <v>106.30666666666667</v>
      </c>
      <c r="P8" s="22">
        <f>P5</f>
        <v>858</v>
      </c>
    </row>
    <row r="9" spans="1:16">
      <c r="B9" s="20"/>
      <c r="C9" s="20"/>
      <c r="D9" s="262"/>
      <c r="E9" s="20"/>
      <c r="F9" s="20"/>
      <c r="G9" s="20"/>
      <c r="H9" s="20"/>
      <c r="I9" s="20"/>
      <c r="J9" s="20"/>
      <c r="K9" s="20"/>
      <c r="L9" s="20"/>
      <c r="M9" s="20"/>
      <c r="N9" s="20"/>
      <c r="O9" s="20"/>
      <c r="P9" s="20"/>
    </row>
    <row r="10" spans="1:16">
      <c r="A10" s="25" t="s">
        <v>214</v>
      </c>
      <c r="B10" s="26">
        <f ca="1">'EF ele_warmte'!B12</f>
        <v>0.29003984766853913</v>
      </c>
      <c r="C10" s="26">
        <f ca="1">'EF ele_warmte'!B22</f>
        <v>0.23759731579574694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11822.621249732547</v>
      </c>
      <c r="C12" s="24">
        <f ca="1">C10*C8</f>
        <v>0</v>
      </c>
      <c r="D12" s="24">
        <f>D8*D10</f>
        <v>17834.680359627135</v>
      </c>
      <c r="E12" s="24">
        <f>E10*E8</f>
        <v>2458.0402935226334</v>
      </c>
      <c r="F12" s="24">
        <f>F10*F8</f>
        <v>0</v>
      </c>
      <c r="G12" s="24"/>
      <c r="H12" s="24"/>
      <c r="I12" s="24"/>
      <c r="J12" s="24">
        <f>J10*J8</f>
        <v>146.34251908287078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3580</v>
      </c>
      <c r="C18" s="169" t="s">
        <v>111</v>
      </c>
      <c r="D18" s="231"/>
      <c r="E18" s="16"/>
    </row>
    <row r="19" spans="1:7">
      <c r="A19" s="174" t="s">
        <v>72</v>
      </c>
      <c r="B19" s="38">
        <f>aantalw2001_ander</f>
        <v>5</v>
      </c>
      <c r="C19" s="169" t="s">
        <v>111</v>
      </c>
      <c r="D19" s="232"/>
      <c r="E19" s="16"/>
    </row>
    <row r="20" spans="1:7">
      <c r="A20" s="174" t="s">
        <v>73</v>
      </c>
      <c r="B20" s="38">
        <f>aantalw2001_propaan</f>
        <v>229</v>
      </c>
      <c r="C20" s="170">
        <f>IF(ISERROR(B20/SUM($B$20,$B$21,$B$22)*100),0,B20/SUM($B$20,$B$21,$B$22)*100)</f>
        <v>18.557536466774714</v>
      </c>
      <c r="D20" s="232"/>
      <c r="E20" s="16"/>
    </row>
    <row r="21" spans="1:7">
      <c r="A21" s="174" t="s">
        <v>74</v>
      </c>
      <c r="B21" s="38">
        <f>aantalw2001_elektriciteit</f>
        <v>824</v>
      </c>
      <c r="C21" s="170">
        <f>IF(ISERROR(B21/SUM($B$20,$B$21,$B$22)*100),0,B21/SUM($B$20,$B$21,$B$22)*100)</f>
        <v>66.774716369529983</v>
      </c>
      <c r="D21" s="232"/>
      <c r="E21" s="16"/>
    </row>
    <row r="22" spans="1:7">
      <c r="A22" s="174" t="s">
        <v>75</v>
      </c>
      <c r="B22" s="38">
        <f>aantalw2001_hout</f>
        <v>181</v>
      </c>
      <c r="C22" s="170">
        <f>IF(ISERROR(B22/SUM($B$20,$B$21,$B$22)*100),0,B22/SUM($B$20,$B$21,$B$22)*100)</f>
        <v>14.667747163695299</v>
      </c>
      <c r="D22" s="232"/>
      <c r="E22" s="16"/>
    </row>
    <row r="23" spans="1:7">
      <c r="A23" s="174" t="s">
        <v>76</v>
      </c>
      <c r="B23" s="38">
        <f>aantalw2001_niet_gespec</f>
        <v>79</v>
      </c>
      <c r="C23" s="169" t="s">
        <v>111</v>
      </c>
      <c r="D23" s="231"/>
      <c r="E23" s="16"/>
    </row>
    <row r="24" spans="1:7">
      <c r="A24" s="174" t="s">
        <v>77</v>
      </c>
      <c r="B24" s="38">
        <f>aantalw2001_steenkool</f>
        <v>142</v>
      </c>
      <c r="C24" s="169" t="s">
        <v>111</v>
      </c>
      <c r="D24" s="232"/>
      <c r="E24" s="16"/>
    </row>
    <row r="25" spans="1:7">
      <c r="A25" s="174" t="s">
        <v>78</v>
      </c>
      <c r="B25" s="38">
        <f>aantalw2001_stookolie</f>
        <v>1224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7575</v>
      </c>
      <c r="C28" s="37"/>
      <c r="D28" s="231"/>
    </row>
    <row r="29" spans="1:7" s="16" customFormat="1">
      <c r="A29" s="233" t="s">
        <v>666</v>
      </c>
      <c r="B29" s="38">
        <f>SUM(HH_hh_gas_aantal,HH_rest_gas_aantal)</f>
        <v>4869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4869</v>
      </c>
      <c r="C32" s="170">
        <f>IF(ISERROR(B32/SUM($B$32,$B$34,$B$35,$B$36,$B$38,$B$39)*100),0,B32/SUM($B$32,$B$34,$B$35,$B$36,$B$38,$B$39)*100)</f>
        <v>64.661354581673308</v>
      </c>
      <c r="D32" s="236"/>
      <c r="G32" s="16"/>
    </row>
    <row r="33" spans="1:7">
      <c r="A33" s="174" t="s">
        <v>72</v>
      </c>
      <c r="B33" s="35" t="s">
        <v>111</v>
      </c>
      <c r="C33" s="170"/>
      <c r="D33" s="236"/>
      <c r="G33" s="16"/>
    </row>
    <row r="34" spans="1:7">
      <c r="A34" s="174" t="s">
        <v>73</v>
      </c>
      <c r="B34" s="34">
        <f>IF((($B$28-$B$32-$B$39-$B$77-$B$38)*C20/100)&lt;0,0,($B$28-$B$32-$B$39-$B$77-$B$38)*C20/100)</f>
        <v>491.38500810372767</v>
      </c>
      <c r="C34" s="170">
        <f>IF(ISERROR(B34/SUM($B$32,$B$34,$B$35,$B$36,$B$38,$B$39)*100),0,B34/SUM($B$32,$B$34,$B$35,$B$36,$B$38,$B$39)*100)</f>
        <v>6.5256973187746041</v>
      </c>
      <c r="D34" s="236"/>
      <c r="G34" s="16"/>
    </row>
    <row r="35" spans="1:7">
      <c r="A35" s="174" t="s">
        <v>74</v>
      </c>
      <c r="B35" s="34">
        <f>IF((($B$28-$B$32-$B$39-$B$77-$B$38)*C21/100)&lt;0,0,($B$28-$B$32-$B$39-$B$77-$B$38)*C21/100)</f>
        <v>1768.1277147487845</v>
      </c>
      <c r="C35" s="170">
        <f>IF(ISERROR(B35/SUM($B$32,$B$34,$B$35,$B$36,$B$38,$B$39)*100),0,B35/SUM($B$32,$B$34,$B$35,$B$36,$B$38,$B$39)*100)</f>
        <v>23.481111749651848</v>
      </c>
      <c r="D35" s="236"/>
      <c r="G35" s="16"/>
    </row>
    <row r="36" spans="1:7">
      <c r="A36" s="174" t="s">
        <v>75</v>
      </c>
      <c r="B36" s="34">
        <f>IF((($B$28-$B$32-$B$39-$B$77-$B$38)*C22/100)&lt;0,0,($B$28-$B$32-$B$39-$B$77-$B$38)*C22/100)</f>
        <v>388.38727714748785</v>
      </c>
      <c r="C36" s="170">
        <f>IF(ISERROR(B36/SUM($B$32,$B$34,$B$35,$B$36,$B$38,$B$39)*100),0,B36/SUM($B$32,$B$34,$B$35,$B$36,$B$38,$B$39)*100)</f>
        <v>5.1578655663676996</v>
      </c>
      <c r="D36" s="236"/>
      <c r="G36" s="16"/>
    </row>
    <row r="37" spans="1:7">
      <c r="A37" s="174" t="s">
        <v>76</v>
      </c>
      <c r="B37" s="35" t="s">
        <v>111</v>
      </c>
      <c r="C37" s="170"/>
      <c r="D37" s="176"/>
      <c r="G37" s="16"/>
    </row>
    <row r="38" spans="1:7">
      <c r="A38" s="174" t="s">
        <v>77</v>
      </c>
      <c r="B38" s="34">
        <f>IF((B24-(B29-B18)*0.1)&lt;0,0,B24-(B29-B18)*0.1)</f>
        <v>13.099999999999994</v>
      </c>
      <c r="C38" s="170">
        <f>IF(ISERROR(B38/SUM($B$32,$B$34,$B$35,$B$36,$B$38,$B$39)*100),0,B38/SUM($B$32,$B$34,$B$35,$B$36,$B$38,$B$39)*100)</f>
        <v>0.17397078353253642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4869</v>
      </c>
      <c r="C44" s="35" t="s">
        <v>111</v>
      </c>
      <c r="D44" s="177"/>
    </row>
    <row r="45" spans="1:7">
      <c r="A45" s="174" t="s">
        <v>72</v>
      </c>
      <c r="B45" s="34" t="str">
        <f t="shared" si="0"/>
        <v>-</v>
      </c>
      <c r="C45" s="35" t="s">
        <v>111</v>
      </c>
      <c r="D45" s="177"/>
    </row>
    <row r="46" spans="1:7">
      <c r="A46" s="174" t="s">
        <v>73</v>
      </c>
      <c r="B46" s="34">
        <f t="shared" si="0"/>
        <v>491.38500810372767</v>
      </c>
      <c r="C46" s="35" t="s">
        <v>111</v>
      </c>
      <c r="D46" s="177"/>
    </row>
    <row r="47" spans="1:7">
      <c r="A47" s="174" t="s">
        <v>74</v>
      </c>
      <c r="B47" s="34">
        <f t="shared" si="0"/>
        <v>1768.1277147487845</v>
      </c>
      <c r="C47" s="35" t="s">
        <v>111</v>
      </c>
      <c r="D47" s="177"/>
    </row>
    <row r="48" spans="1:7">
      <c r="A48" s="174" t="s">
        <v>75</v>
      </c>
      <c r="B48" s="34">
        <f t="shared" si="0"/>
        <v>388.38727714748785</v>
      </c>
      <c r="C48" s="34">
        <f>B48*10</f>
        <v>3883.8727714748784</v>
      </c>
      <c r="D48" s="237"/>
    </row>
    <row r="49" spans="1:6">
      <c r="A49" s="174" t="s">
        <v>76</v>
      </c>
      <c r="B49" s="34" t="str">
        <f t="shared" si="0"/>
        <v>-</v>
      </c>
      <c r="C49" s="35" t="s">
        <v>111</v>
      </c>
      <c r="D49" s="237"/>
    </row>
    <row r="50" spans="1:6">
      <c r="A50" s="174" t="s">
        <v>77</v>
      </c>
      <c r="B50" s="34">
        <f t="shared" si="0"/>
        <v>13.099999999999994</v>
      </c>
      <c r="C50" s="34">
        <f>B50*2</f>
        <v>26.199999999999989</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14070.378774667946</v>
      </c>
      <c r="C5" s="18">
        <f>IF(ISERROR('Eigen informatie GS &amp; warmtenet'!B58),0,'Eigen informatie GS &amp; warmtenet'!B58)</f>
        <v>0</v>
      </c>
      <c r="D5" s="31">
        <f>SUM(D6:D12)</f>
        <v>16299.936780801152</v>
      </c>
      <c r="E5" s="18">
        <f>SUM(E6:E12)</f>
        <v>124.2043827670839</v>
      </c>
      <c r="F5" s="18">
        <f>SUM(F6:F12)</f>
        <v>2890.3388932689095</v>
      </c>
      <c r="G5" s="19"/>
      <c r="H5" s="18"/>
      <c r="I5" s="18"/>
      <c r="J5" s="18">
        <f>SUM(J6:J12)</f>
        <v>0</v>
      </c>
      <c r="K5" s="18"/>
      <c r="L5" s="18"/>
      <c r="M5" s="18"/>
      <c r="N5" s="18">
        <f>SUM(N6:N12)</f>
        <v>1416.0511860024576</v>
      </c>
      <c r="O5" s="18">
        <f>B38*B39*B40</f>
        <v>1.5633333333333335</v>
      </c>
      <c r="P5" s="18">
        <f>B46*B47*B48/1000-B46*B47*B48/1000/B49</f>
        <v>0</v>
      </c>
      <c r="R5" s="33"/>
    </row>
    <row r="6" spans="1:18">
      <c r="A6" s="33" t="s">
        <v>54</v>
      </c>
      <c r="B6" s="38">
        <f>B26</f>
        <v>3576.3944234402102</v>
      </c>
      <c r="C6" s="34"/>
      <c r="D6" s="38">
        <f>IF(ISERROR(TER_kantoor_gas_kWh/1000),0,TER_kantoor_gas_kWh/1000)*0.902</f>
        <v>6022.9881052497194</v>
      </c>
      <c r="E6" s="34">
        <f>$C$26*'E Balans VL '!I12/100/3.6*1000000</f>
        <v>5.869588097641441</v>
      </c>
      <c r="F6" s="34">
        <f>$C$26*('E Balans VL '!L12+'E Balans VL '!N12)/100/3.6*1000000</f>
        <v>421.57275453243551</v>
      </c>
      <c r="G6" s="35"/>
      <c r="H6" s="34"/>
      <c r="I6" s="34"/>
      <c r="J6" s="34">
        <f>$C$26*('E Balans VL '!D12+'E Balans VL '!E12)/100/3.6*1000000</f>
        <v>0</v>
      </c>
      <c r="K6" s="34"/>
      <c r="L6" s="34"/>
      <c r="M6" s="34"/>
      <c r="N6" s="34">
        <f>$C$26*'E Balans VL '!Y12/100/3.6*1000000</f>
        <v>0.72259355764202471</v>
      </c>
      <c r="O6" s="34"/>
      <c r="P6" s="34"/>
      <c r="R6" s="33"/>
    </row>
    <row r="7" spans="1:18">
      <c r="A7" s="33" t="s">
        <v>53</v>
      </c>
      <c r="B7" s="38">
        <f t="shared" ref="B7:B12" si="0">B27</f>
        <v>1152.30051751062</v>
      </c>
      <c r="C7" s="34"/>
      <c r="D7" s="38">
        <f>IF(ISERROR(TER_horeca_gas_kWh/1000),0,TER_horeca_gas_kWh/1000)*0.902</f>
        <v>1832.7392449668321</v>
      </c>
      <c r="E7" s="34">
        <f>$C$27*'E Balans VL '!I9/100/3.6*1000000</f>
        <v>59.796058633825112</v>
      </c>
      <c r="F7" s="34">
        <f>$C$27*('E Balans VL '!L9+'E Balans VL '!N9)/100/3.6*1000000</f>
        <v>262.95581420932297</v>
      </c>
      <c r="G7" s="35"/>
      <c r="H7" s="34"/>
      <c r="I7" s="34"/>
      <c r="J7" s="34">
        <f>$C$27*('E Balans VL '!D9+'E Balans VL '!E9)/100/3.6*1000000</f>
        <v>0</v>
      </c>
      <c r="K7" s="34"/>
      <c r="L7" s="34"/>
      <c r="M7" s="34"/>
      <c r="N7" s="34">
        <f>$C$27*'E Balans VL '!Y9/100/3.6*1000000</f>
        <v>0.12168240658437127</v>
      </c>
      <c r="O7" s="34"/>
      <c r="P7" s="34"/>
      <c r="R7" s="33"/>
    </row>
    <row r="8" spans="1:18">
      <c r="A8" s="6" t="s">
        <v>52</v>
      </c>
      <c r="B8" s="38">
        <f t="shared" si="0"/>
        <v>4829.9810374109993</v>
      </c>
      <c r="C8" s="34"/>
      <c r="D8" s="38">
        <f>IF(ISERROR(TER_handel_gas_kWh/1000),0,TER_handel_gas_kWh/1000)*0.902</f>
        <v>2838.362683439912</v>
      </c>
      <c r="E8" s="34">
        <f>$C$28*'E Balans VL '!I13/100/3.6*1000000</f>
        <v>26.010041412241769</v>
      </c>
      <c r="F8" s="34">
        <f>$C$28*('E Balans VL '!L13+'E Balans VL '!N13)/100/3.6*1000000</f>
        <v>984.97666763688198</v>
      </c>
      <c r="G8" s="35"/>
      <c r="H8" s="34"/>
      <c r="I8" s="34"/>
      <c r="J8" s="34">
        <f>$C$28*('E Balans VL '!D13+'E Balans VL '!E13)/100/3.6*1000000</f>
        <v>0</v>
      </c>
      <c r="K8" s="34"/>
      <c r="L8" s="34"/>
      <c r="M8" s="34"/>
      <c r="N8" s="34">
        <f>$C$28*'E Balans VL '!Y13/100/3.6*1000000</f>
        <v>24.016945059136354</v>
      </c>
      <c r="O8" s="34"/>
      <c r="P8" s="34"/>
      <c r="R8" s="33"/>
    </row>
    <row r="9" spans="1:18">
      <c r="A9" s="33" t="s">
        <v>51</v>
      </c>
      <c r="B9" s="38">
        <f t="shared" si="0"/>
        <v>382.36254614019299</v>
      </c>
      <c r="C9" s="34"/>
      <c r="D9" s="38">
        <f>IF(ISERROR(TER_gezond_gas_kWh/1000),0,TER_gezond_gas_kWh/1000)*0.902</f>
        <v>1042.7225671924821</v>
      </c>
      <c r="E9" s="34">
        <f>$C$29*'E Balans VL '!I10/100/3.6*1000000</f>
        <v>0.37892563143381042</v>
      </c>
      <c r="F9" s="34">
        <f>$C$29*('E Balans VL '!L10+'E Balans VL '!N10)/100/3.6*1000000</f>
        <v>132.66878233307486</v>
      </c>
      <c r="G9" s="35"/>
      <c r="H9" s="34"/>
      <c r="I9" s="34"/>
      <c r="J9" s="34">
        <f>$C$29*('E Balans VL '!D10+'E Balans VL '!E10)/100/3.6*1000000</f>
        <v>0</v>
      </c>
      <c r="K9" s="34"/>
      <c r="L9" s="34"/>
      <c r="M9" s="34"/>
      <c r="N9" s="34">
        <f>$C$29*'E Balans VL '!Y10/100/3.6*1000000</f>
        <v>3.2947849361814767</v>
      </c>
      <c r="O9" s="34"/>
      <c r="P9" s="34"/>
      <c r="R9" s="33"/>
    </row>
    <row r="10" spans="1:18">
      <c r="A10" s="33" t="s">
        <v>50</v>
      </c>
      <c r="B10" s="38">
        <f t="shared" si="0"/>
        <v>2222.36267860512</v>
      </c>
      <c r="C10" s="34"/>
      <c r="D10" s="38">
        <f>IF(ISERROR(TER_ander_gas_kWh/1000),0,TER_ander_gas_kWh/1000)*0.902</f>
        <v>989.91866636616817</v>
      </c>
      <c r="E10" s="34">
        <f>$C$30*'E Balans VL '!I14/100/3.6*1000000</f>
        <v>18.181147804305684</v>
      </c>
      <c r="F10" s="34">
        <f>$C$30*('E Balans VL '!L14+'E Balans VL '!N14)/100/3.6*1000000</f>
        <v>649.72837109228647</v>
      </c>
      <c r="G10" s="35"/>
      <c r="H10" s="34"/>
      <c r="I10" s="34"/>
      <c r="J10" s="34">
        <f>$C$30*('E Balans VL '!D14+'E Balans VL '!E14)/100/3.6*1000000</f>
        <v>0</v>
      </c>
      <c r="K10" s="34"/>
      <c r="L10" s="34"/>
      <c r="M10" s="34"/>
      <c r="N10" s="34">
        <f>$C$30*'E Balans VL '!Y14/100/3.6*1000000</f>
        <v>1282.0116669332622</v>
      </c>
      <c r="O10" s="34"/>
      <c r="P10" s="34"/>
      <c r="R10" s="33"/>
    </row>
    <row r="11" spans="1:18">
      <c r="A11" s="33" t="s">
        <v>55</v>
      </c>
      <c r="B11" s="38">
        <f t="shared" si="0"/>
        <v>312.60220238761201</v>
      </c>
      <c r="C11" s="34"/>
      <c r="D11" s="38">
        <f>IF(ISERROR(TER_onderwijs_gas_kWh/1000),0,TER_onderwijs_gas_kWh/1000)*0.902</f>
        <v>636.06510094176986</v>
      </c>
      <c r="E11" s="34">
        <f>$C$31*'E Balans VL '!I11/100/3.6*1000000</f>
        <v>0.19267480755527855</v>
      </c>
      <c r="F11" s="34">
        <f>$C$31*('E Balans VL '!L11+'E Balans VL '!N11)/100/3.6*1000000</f>
        <v>120.85707393234559</v>
      </c>
      <c r="G11" s="35"/>
      <c r="H11" s="34"/>
      <c r="I11" s="34"/>
      <c r="J11" s="34">
        <f>$C$31*('E Balans VL '!D11+'E Balans VL '!E11)/100/3.6*1000000</f>
        <v>0</v>
      </c>
      <c r="K11" s="34"/>
      <c r="L11" s="34"/>
      <c r="M11" s="34"/>
      <c r="N11" s="34">
        <f>$C$31*'E Balans VL '!Y11/100/3.6*1000000</f>
        <v>1.0168279751452469</v>
      </c>
      <c r="O11" s="34"/>
      <c r="P11" s="34"/>
      <c r="R11" s="33"/>
    </row>
    <row r="12" spans="1:18">
      <c r="A12" s="33" t="s">
        <v>260</v>
      </c>
      <c r="B12" s="38">
        <f t="shared" si="0"/>
        <v>1594.3753691731902</v>
      </c>
      <c r="C12" s="34"/>
      <c r="D12" s="38">
        <f>IF(ISERROR(TER_rest_gas_kWh/1000),0,TER_rest_gas_kWh/1000)*0.902</f>
        <v>2937.1404126442676</v>
      </c>
      <c r="E12" s="34">
        <f>$C$32*'E Balans VL '!I8/100/3.6*1000000</f>
        <v>13.7759463800808</v>
      </c>
      <c r="F12" s="34">
        <f>$C$32*('E Balans VL '!L8+'E Balans VL '!N8)/100/3.6*1000000</f>
        <v>317.57942953256224</v>
      </c>
      <c r="G12" s="35"/>
      <c r="H12" s="34"/>
      <c r="I12" s="34"/>
      <c r="J12" s="34">
        <f>$C$32*('E Balans VL '!D8+'E Balans VL '!E8)/100/3.6*1000000</f>
        <v>0</v>
      </c>
      <c r="K12" s="34"/>
      <c r="L12" s="34"/>
      <c r="M12" s="34"/>
      <c r="N12" s="34">
        <f>$C$32*'E Balans VL '!Y8/100/3.6*1000000</f>
        <v>104.86668513450596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14070.378774667946</v>
      </c>
      <c r="C16" s="22">
        <f t="shared" ca="1" si="1"/>
        <v>0</v>
      </c>
      <c r="D16" s="22">
        <f t="shared" ca="1" si="1"/>
        <v>16299.936780801152</v>
      </c>
      <c r="E16" s="22">
        <f t="shared" si="1"/>
        <v>124.2043827670839</v>
      </c>
      <c r="F16" s="22">
        <f t="shared" ca="1" si="1"/>
        <v>2890.3388932689095</v>
      </c>
      <c r="G16" s="22">
        <f t="shared" si="1"/>
        <v>0</v>
      </c>
      <c r="H16" s="22">
        <f t="shared" si="1"/>
        <v>0</v>
      </c>
      <c r="I16" s="22">
        <f t="shared" si="1"/>
        <v>0</v>
      </c>
      <c r="J16" s="22">
        <f t="shared" si="1"/>
        <v>0</v>
      </c>
      <c r="K16" s="22">
        <f t="shared" si="1"/>
        <v>0</v>
      </c>
      <c r="L16" s="22">
        <f t="shared" ca="1" si="1"/>
        <v>0</v>
      </c>
      <c r="M16" s="22">
        <f t="shared" si="1"/>
        <v>0</v>
      </c>
      <c r="N16" s="22">
        <f t="shared" ca="1" si="1"/>
        <v>1416.0511860024576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0.29003984766853913</v>
      </c>
      <c r="C18" s="26">
        <f ca="1">'EF ele_warmte'!B22</f>
        <v>0.23759731579574694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4080.9705164433376</v>
      </c>
      <c r="C20" s="24">
        <f t="shared" ref="C20:P20" ca="1" si="2">C16*C18</f>
        <v>0</v>
      </c>
      <c r="D20" s="24">
        <f t="shared" ca="1" si="2"/>
        <v>3292.587229721833</v>
      </c>
      <c r="E20" s="24">
        <f t="shared" si="2"/>
        <v>28.194394888128045</v>
      </c>
      <c r="F20" s="24">
        <f t="shared" ca="1" si="2"/>
        <v>771.72048450279885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3576.3944234402102</v>
      </c>
      <c r="C26" s="40">
        <f>IF(ISERROR(B26*3.6/1000000/'E Balans VL '!Z12*100),0,B26*3.6/1000000/'E Balans VL '!Z12*100)</f>
        <v>7.5995816754638901E-2</v>
      </c>
      <c r="D26" s="240" t="s">
        <v>707</v>
      </c>
      <c r="F26" s="6"/>
    </row>
    <row r="27" spans="1:18">
      <c r="A27" s="234" t="s">
        <v>53</v>
      </c>
      <c r="B27" s="34">
        <f>IF(ISERROR(TER_horeca_ele_kWh/1000),0,TER_horeca_ele_kWh/1000)</f>
        <v>1152.30051751062</v>
      </c>
      <c r="C27" s="40">
        <f>IF(ISERROR(B27*3.6/1000000/'E Balans VL '!Z9*100),0,B27*3.6/1000000/'E Balans VL '!Z9*100)</f>
        <v>9.0694961429345036E-2</v>
      </c>
      <c r="D27" s="240" t="s">
        <v>707</v>
      </c>
      <c r="F27" s="6"/>
    </row>
    <row r="28" spans="1:18">
      <c r="A28" s="174" t="s">
        <v>52</v>
      </c>
      <c r="B28" s="34">
        <f>IF(ISERROR(TER_handel_ele_kWh/1000),0,TER_handel_ele_kWh/1000)</f>
        <v>4829.9810374109993</v>
      </c>
      <c r="C28" s="40">
        <f>IF(ISERROR(B28*3.6/1000000/'E Balans VL '!Z13*100),0,B28*3.6/1000000/'E Balans VL '!Z13*100)</f>
        <v>0.13529035376168205</v>
      </c>
      <c r="D28" s="240" t="s">
        <v>707</v>
      </c>
      <c r="F28" s="6"/>
    </row>
    <row r="29" spans="1:18">
      <c r="A29" s="234" t="s">
        <v>51</v>
      </c>
      <c r="B29" s="34">
        <f>IF(ISERROR(TER_gezond_ele_kWh/1000),0,TER_gezond_ele_kWh/1000)</f>
        <v>382.36254614019299</v>
      </c>
      <c r="C29" s="40">
        <f>IF(ISERROR(B29*3.6/1000000/'E Balans VL '!Z10*100),0,B29*3.6/1000000/'E Balans VL '!Z10*100)</f>
        <v>4.8915731829066285E-2</v>
      </c>
      <c r="D29" s="240" t="s">
        <v>707</v>
      </c>
      <c r="F29" s="6"/>
    </row>
    <row r="30" spans="1:18">
      <c r="A30" s="234" t="s">
        <v>50</v>
      </c>
      <c r="B30" s="34">
        <f>IF(ISERROR(TER_ander_ele_kWh/1000),0,TER_ander_ele_kWh/1000)</f>
        <v>2222.36267860512</v>
      </c>
      <c r="C30" s="40">
        <f>IF(ISERROR(B30*3.6/1000000/'E Balans VL '!Z14*100),0,B30*3.6/1000000/'E Balans VL '!Z14*100)</f>
        <v>0.16621400240461121</v>
      </c>
      <c r="D30" s="240" t="s">
        <v>707</v>
      </c>
      <c r="F30" s="6"/>
    </row>
    <row r="31" spans="1:18">
      <c r="A31" s="234" t="s">
        <v>55</v>
      </c>
      <c r="B31" s="34">
        <f>IF(ISERROR(TER_onderwijs_ele_kWh/1000),0,TER_onderwijs_ele_kWh/1000)</f>
        <v>312.60220238761201</v>
      </c>
      <c r="C31" s="40">
        <f>IF(ISERROR(B31*3.6/1000000/'E Balans VL '!Z11*100),0,B31*3.6/1000000/'E Balans VL '!Z11*100)</f>
        <v>6.6006359957497374E-2</v>
      </c>
      <c r="D31" s="240" t="s">
        <v>707</v>
      </c>
    </row>
    <row r="32" spans="1:18">
      <c r="A32" s="234" t="s">
        <v>260</v>
      </c>
      <c r="B32" s="34">
        <f>IF(ISERROR(TER_rest_ele_kWh/1000),0,TER_rest_ele_kWh/1000)</f>
        <v>1594.3753691731902</v>
      </c>
      <c r="C32" s="40">
        <f>IF(ISERROR(B32*3.6/1000000/'E Balans VL '!Z8*100),0,B32*3.6/1000000/'E Balans VL '!Z8*100)</f>
        <v>1.3134355978059028E-2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7173.0709533023391</v>
      </c>
      <c r="C5" s="18">
        <f>IF(ISERROR('Eigen informatie GS &amp; warmtenet'!B59),0,'Eigen informatie GS &amp; warmtenet'!B59)</f>
        <v>0</v>
      </c>
      <c r="D5" s="31">
        <f>SUM(D6:D15)</f>
        <v>6811.7690540467847</v>
      </c>
      <c r="E5" s="18">
        <f>SUM(E6:E15)</f>
        <v>58.972643010386918</v>
      </c>
      <c r="F5" s="18">
        <f>SUM(F6:F15)</f>
        <v>2904.8376005969753</v>
      </c>
      <c r="G5" s="19"/>
      <c r="H5" s="18"/>
      <c r="I5" s="18"/>
      <c r="J5" s="18">
        <f>SUM(J6:J15)</f>
        <v>28.515327081935993</v>
      </c>
      <c r="K5" s="18"/>
      <c r="L5" s="18"/>
      <c r="M5" s="18"/>
      <c r="N5" s="18">
        <f>SUM(N6:N15)</f>
        <v>349.11069381915786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662.88004593052403</v>
      </c>
      <c r="C8" s="34"/>
      <c r="D8" s="38">
        <f>IF( ISERROR(IND_metaal_Gas_kWH/1000),0,IND_metaal_Gas_kWH/1000)*0.902</f>
        <v>657.32939399306724</v>
      </c>
      <c r="E8" s="34">
        <f>C30*'E Balans VL '!I18/100/3.6*1000000</f>
        <v>6.0367291191154964</v>
      </c>
      <c r="F8" s="34">
        <f>C30*'E Balans VL '!L18/100/3.6*1000000+C30*'E Balans VL '!N18/100/3.6*1000000</f>
        <v>87.428844060705686</v>
      </c>
      <c r="G8" s="35"/>
      <c r="H8" s="34"/>
      <c r="I8" s="34"/>
      <c r="J8" s="41">
        <f>C30*'E Balans VL '!D18/100/3.6*1000000+C30*'E Balans VL '!E18/100/3.6*1000000</f>
        <v>10.870270286091309</v>
      </c>
      <c r="K8" s="34"/>
      <c r="L8" s="34"/>
      <c r="M8" s="34"/>
      <c r="N8" s="34">
        <f>C30*'E Balans VL '!Y18/100/3.6*1000000</f>
        <v>2.2780553894404534</v>
      </c>
      <c r="O8" s="34"/>
      <c r="P8" s="34"/>
      <c r="R8" s="33"/>
    </row>
    <row r="9" spans="1:18">
      <c r="A9" s="6" t="s">
        <v>33</v>
      </c>
      <c r="B9" s="38">
        <f t="shared" si="0"/>
        <v>2617.82143140782</v>
      </c>
      <c r="C9" s="34"/>
      <c r="D9" s="38">
        <f>IF( ISERROR(IND_andere_gas_kWh/1000),0,IND_andere_gas_kWh/1000)*0.902</f>
        <v>1870.3083672667346</v>
      </c>
      <c r="E9" s="34">
        <f>C31*'E Balans VL '!I19/100/3.6*1000000</f>
        <v>15.131399074592721</v>
      </c>
      <c r="F9" s="34">
        <f>C31*'E Balans VL '!L19/100/3.6*1000000+C31*'E Balans VL '!N19/100/3.6*1000000</f>
        <v>2082.6029132675985</v>
      </c>
      <c r="G9" s="35"/>
      <c r="H9" s="34"/>
      <c r="I9" s="34"/>
      <c r="J9" s="41">
        <f>C31*'E Balans VL '!D19/100/3.6*1000000+C31*'E Balans VL '!E19/100/3.6*1000000</f>
        <v>0.24761682947431729</v>
      </c>
      <c r="K9" s="34"/>
      <c r="L9" s="34"/>
      <c r="M9" s="34"/>
      <c r="N9" s="34">
        <f>C31*'E Balans VL '!Y19/100/3.6*1000000</f>
        <v>198.33958972519079</v>
      </c>
      <c r="O9" s="34"/>
      <c r="P9" s="34"/>
      <c r="R9" s="33"/>
    </row>
    <row r="10" spans="1:18">
      <c r="A10" s="6" t="s">
        <v>41</v>
      </c>
      <c r="B10" s="38">
        <f t="shared" si="0"/>
        <v>331.42827557290298</v>
      </c>
      <c r="C10" s="34"/>
      <c r="D10" s="38">
        <f>IF( ISERROR(IND_voed_gas_kWh/1000),0,IND_voed_gas_kWh/1000)*0.902</f>
        <v>252.92474513547256</v>
      </c>
      <c r="E10" s="34">
        <f>C32*'E Balans VL '!I20/100/3.6*1000000</f>
        <v>3.2588070154005089</v>
      </c>
      <c r="F10" s="34">
        <f>C32*'E Balans VL '!L20/100/3.6*1000000+C32*'E Balans VL '!N20/100/3.6*1000000</f>
        <v>36.809436017793246</v>
      </c>
      <c r="G10" s="35"/>
      <c r="H10" s="34"/>
      <c r="I10" s="34"/>
      <c r="J10" s="41">
        <f>C32*'E Balans VL '!D20/100/3.6*1000000+C32*'E Balans VL '!E20/100/3.6*1000000</f>
        <v>1.3063092934164331E-3</v>
      </c>
      <c r="K10" s="34"/>
      <c r="L10" s="34"/>
      <c r="M10" s="34"/>
      <c r="N10" s="34">
        <f>C32*'E Balans VL '!Y20/100/3.6*1000000</f>
        <v>4.9076731597545251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101.619683876792</v>
      </c>
      <c r="C13" s="34"/>
      <c r="D13" s="38">
        <f>IF( ISERROR(IND_papier_gas_kWh/1000),0,IND_papier_gas_kWh/1000)*0.902</f>
        <v>0</v>
      </c>
      <c r="E13" s="34">
        <f>C35*'E Balans VL '!I23/100/3.6*1000000</f>
        <v>3.4613137718593201</v>
      </c>
      <c r="F13" s="34">
        <f>C35*'E Balans VL '!L23/100/3.6*1000000+C35*'E Balans VL '!N23/100/3.6*1000000</f>
        <v>16.785186813803126</v>
      </c>
      <c r="G13" s="35"/>
      <c r="H13" s="34"/>
      <c r="I13" s="34"/>
      <c r="J13" s="41">
        <f>C35*'E Balans VL '!D23/100/3.6*1000000+C35*'E Balans VL '!E23/100/3.6*1000000</f>
        <v>0</v>
      </c>
      <c r="K13" s="34"/>
      <c r="L13" s="34"/>
      <c r="M13" s="34"/>
      <c r="N13" s="34">
        <f>C35*'E Balans VL '!Y23/100/3.6*1000000</f>
        <v>37.393318437997742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3459.3215165143001</v>
      </c>
      <c r="C15" s="34"/>
      <c r="D15" s="38">
        <f>IF( ISERROR(IND_rest_gas_kWh/1000),0,IND_rest_gas_kWh/1000)*0.902</f>
        <v>4031.2065476515108</v>
      </c>
      <c r="E15" s="34">
        <f>C37*'E Balans VL '!I15/100/3.6*1000000</f>
        <v>31.084394029418871</v>
      </c>
      <c r="F15" s="34">
        <f>C37*'E Balans VL '!L15/100/3.6*1000000+C37*'E Balans VL '!N15/100/3.6*1000000</f>
        <v>681.21122043707464</v>
      </c>
      <c r="G15" s="35"/>
      <c r="H15" s="34"/>
      <c r="I15" s="34"/>
      <c r="J15" s="41">
        <f>C37*'E Balans VL '!D15/100/3.6*1000000+C37*'E Balans VL '!E15/100/3.6*1000000</f>
        <v>17.396133657076952</v>
      </c>
      <c r="K15" s="34"/>
      <c r="L15" s="34"/>
      <c r="M15" s="34"/>
      <c r="N15" s="34">
        <f>C37*'E Balans VL '!Y15/100/3.6*1000000</f>
        <v>106.19205710677434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7173.0709533023391</v>
      </c>
      <c r="C18" s="22">
        <f>C5+C16</f>
        <v>0</v>
      </c>
      <c r="D18" s="22">
        <f>MAX((D5+D16),0)</f>
        <v>6811.7690540467847</v>
      </c>
      <c r="E18" s="22">
        <f>MAX((E5+E16),0)</f>
        <v>58.972643010386918</v>
      </c>
      <c r="F18" s="22">
        <f>MAX((F5+F16),0)</f>
        <v>2904.8376005969753</v>
      </c>
      <c r="G18" s="22"/>
      <c r="H18" s="22"/>
      <c r="I18" s="22"/>
      <c r="J18" s="22">
        <f>MAX((J5+J16),0)</f>
        <v>28.515327081935993</v>
      </c>
      <c r="K18" s="22"/>
      <c r="L18" s="22">
        <f>MAX((L5+L16),0)</f>
        <v>0</v>
      </c>
      <c r="M18" s="22"/>
      <c r="N18" s="22">
        <f>MAX((N5+N16),0)</f>
        <v>349.11069381915786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0.29003984766853913</v>
      </c>
      <c r="C20" s="26">
        <f ca="1">'EF ele_warmte'!B22</f>
        <v>0.23759731579574694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2080.476406611433</v>
      </c>
      <c r="C22" s="24">
        <f ca="1">C18*C20</f>
        <v>0</v>
      </c>
      <c r="D22" s="24">
        <f>D18*D20</f>
        <v>1375.9773489174506</v>
      </c>
      <c r="E22" s="24">
        <f>E18*E20</f>
        <v>13.386789963357831</v>
      </c>
      <c r="F22" s="24">
        <f>F18*F20</f>
        <v>775.5916393593925</v>
      </c>
      <c r="G22" s="24"/>
      <c r="H22" s="24"/>
      <c r="I22" s="24"/>
      <c r="J22" s="24">
        <f>J18*J20</f>
        <v>10.09442578700534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662.88004593052403</v>
      </c>
      <c r="C30" s="40">
        <f>IF(ISERROR(B30*3.6/1000000/'E Balans VL '!Z18*100),0,B30*3.6/1000000/'E Balans VL '!Z18*100)</f>
        <v>3.6884841915197426E-2</v>
      </c>
      <c r="D30" s="240" t="s">
        <v>707</v>
      </c>
    </row>
    <row r="31" spans="1:18">
      <c r="A31" s="6" t="s">
        <v>33</v>
      </c>
      <c r="B31" s="38">
        <f>IF( ISERROR(IND_ander_ele_kWh/1000),0,IND_ander_ele_kWh/1000)</f>
        <v>2617.82143140782</v>
      </c>
      <c r="C31" s="40">
        <f>IF(ISERROR(B31*3.6/1000000/'E Balans VL '!Z19*100),0,B31*3.6/1000000/'E Balans VL '!Z19*100)</f>
        <v>0.1216956431546133</v>
      </c>
      <c r="D31" s="240" t="s">
        <v>707</v>
      </c>
    </row>
    <row r="32" spans="1:18">
      <c r="A32" s="174" t="s">
        <v>41</v>
      </c>
      <c r="B32" s="38">
        <f>IF( ISERROR(IND_voed_ele_kWh/1000),0,IND_voed_ele_kWh/1000)</f>
        <v>331.42827557290298</v>
      </c>
      <c r="C32" s="40">
        <f>IF(ISERROR(B32*3.6/1000000/'E Balans VL '!Z20*100),0,B32*3.6/1000000/'E Balans VL '!Z20*100)</f>
        <v>1.1715320193752432E-2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101.619683876792</v>
      </c>
      <c r="C35" s="40">
        <f>IF(ISERROR(B35*3.6/1000000/'E Balans VL '!Z22*100),0,B35*3.6/1000000/'E Balans VL '!Z22*100)</f>
        <v>2.042269088096085E-2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3459.3215165143001</v>
      </c>
      <c r="C37" s="40">
        <f>IF(ISERROR(B37*3.6/1000000/'E Balans VL '!Z15*100),0,B37*3.6/1000000/'E Balans VL '!Z15*100)</f>
        <v>2.6122987640300167E-2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11116.796073118199</v>
      </c>
      <c r="C5" s="18">
        <f>'Eigen informatie GS &amp; warmtenet'!B60</f>
        <v>0</v>
      </c>
      <c r="D5" s="31">
        <f>IF(ISERROR(SUM(LB_lb_gas_kWh,LB_rest_gas_kWh)/1000),0,SUM(LB_lb_gas_kWh,LB_rest_gas_kWh)/1000)*0.902</f>
        <v>143411.22378594463</v>
      </c>
      <c r="E5" s="18">
        <f>B17*'E Balans VL '!I25/3.6*1000000/100</f>
        <v>104.72766750647622</v>
      </c>
      <c r="F5" s="18">
        <f>B17*('E Balans VL '!L25/3.6*1000000+'E Balans VL '!N25/3.6*1000000)/100</f>
        <v>36277.794927191426</v>
      </c>
      <c r="G5" s="19"/>
      <c r="H5" s="18"/>
      <c r="I5" s="18"/>
      <c r="J5" s="18">
        <f>('E Balans VL '!D25+'E Balans VL '!E25)/3.6*1000000*landbouw!B17/100</f>
        <v>1375.2017463304342</v>
      </c>
      <c r="K5" s="18"/>
      <c r="L5" s="18">
        <f>L6*(-1)</f>
        <v>0</v>
      </c>
      <c r="M5" s="18"/>
      <c r="N5" s="18">
        <f>N6*(-1)</f>
        <v>32.123376623376622</v>
      </c>
      <c r="O5" s="18"/>
      <c r="P5" s="18"/>
      <c r="R5" s="33"/>
    </row>
    <row r="6" spans="1:18">
      <c r="A6" s="17" t="s">
        <v>502</v>
      </c>
      <c r="B6" s="18" t="s">
        <v>211</v>
      </c>
      <c r="C6" s="18">
        <f>'lokale energieproductie'!O92+'lokale energieproductie'!O61</f>
        <v>76734.633116883138</v>
      </c>
      <c r="D6" s="312">
        <f>('lokale energieproductie'!P61+'lokale energieproductie'!P92)*(-1)</f>
        <v>-153437.14285714287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-32.123376623376622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11116.796073118199</v>
      </c>
      <c r="C8" s="22">
        <f>C5+C6</f>
        <v>76734.633116883138</v>
      </c>
      <c r="D8" s="22">
        <f>MAX((D5+D6),0)</f>
        <v>0</v>
      </c>
      <c r="E8" s="22">
        <f>MAX((E5+E6),0)</f>
        <v>104.72766750647622</v>
      </c>
      <c r="F8" s="22">
        <f>MAX((F5+F6),0)</f>
        <v>36277.794927191426</v>
      </c>
      <c r="G8" s="22"/>
      <c r="H8" s="22"/>
      <c r="I8" s="22"/>
      <c r="J8" s="22">
        <f>MAX((J5+J6),0)</f>
        <v>1375.2017463304342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0.29003984766853913</v>
      </c>
      <c r="C10" s="32">
        <f ca="1">'EF ele_warmte'!B22</f>
        <v>0.23759731579574694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3224.3138396094164</v>
      </c>
      <c r="C12" s="24">
        <f ca="1">C8*C10</f>
        <v>18231.942857142865</v>
      </c>
      <c r="D12" s="24">
        <f>D8*D10</f>
        <v>0</v>
      </c>
      <c r="E12" s="24">
        <f>E8*E10</f>
        <v>23.773180523970105</v>
      </c>
      <c r="F12" s="24">
        <f>F8*F10</f>
        <v>9686.1712455601119</v>
      </c>
      <c r="G12" s="24"/>
      <c r="H12" s="24"/>
      <c r="I12" s="24"/>
      <c r="J12" s="24">
        <f>J8*J10</f>
        <v>486.82141820097365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1.5050365475775913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1778.9172798647389</v>
      </c>
      <c r="C26" s="250">
        <f>B26*'GWP N2O_CH4'!B5</f>
        <v>37357.262877159519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1044.7706077353532</v>
      </c>
      <c r="C27" s="250">
        <f>B27*'GWP N2O_CH4'!B5</f>
        <v>21940.182762442419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27.027937838078248</v>
      </c>
      <c r="C28" s="250">
        <f>B28*'GWP N2O_CH4'!B4</f>
        <v>8378.6607298042563</v>
      </c>
      <c r="D28" s="51"/>
    </row>
    <row r="29" spans="1:4">
      <c r="A29" s="42" t="s">
        <v>277</v>
      </c>
      <c r="B29" s="250">
        <f>B34*'ha_N2O bodem landbouw'!B4</f>
        <v>32.535137274574616</v>
      </c>
      <c r="C29" s="250">
        <f>B29*'GWP N2O_CH4'!B4</f>
        <v>10085.892555118131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8.7834628493321208E-3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1.3271682253708803E-5</v>
      </c>
      <c r="C5" s="447" t="s">
        <v>211</v>
      </c>
      <c r="D5" s="432">
        <f>SUM(D6:D11)</f>
        <v>3.4973397184298911E-5</v>
      </c>
      <c r="E5" s="432">
        <f>SUM(E6:E11)</f>
        <v>2.3166675621623641E-3</v>
      </c>
      <c r="F5" s="445" t="s">
        <v>211</v>
      </c>
      <c r="G5" s="432">
        <f>SUM(G6:G11)</f>
        <v>0.62160695241178088</v>
      </c>
      <c r="H5" s="432">
        <f>SUM(H6:H11)</f>
        <v>8.0503161966378647E-2</v>
      </c>
      <c r="I5" s="447" t="s">
        <v>211</v>
      </c>
      <c r="J5" s="447" t="s">
        <v>211</v>
      </c>
      <c r="K5" s="447" t="s">
        <v>211</v>
      </c>
      <c r="L5" s="447" t="s">
        <v>211</v>
      </c>
      <c r="M5" s="432">
        <f>SUM(M6:M11)</f>
        <v>3.1362987217628056E-2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5.2107688459142032E-6</v>
      </c>
      <c r="C6" s="433"/>
      <c r="D6" s="433">
        <f>vkm_2011_GW_PW*SUMIFS(TableVerdeelsleutelVkm[CNG],TableVerdeelsleutelVkm[Voertuigtype],"Lichte voertuigen")*SUMIFS(TableECFTransport[EnergieConsumptieFactor (PJ per km)],TableECFTransport[Index],CONCATENATE($A6,"_CNG_CNG"))</f>
        <v>1.2724784787023021E-5</v>
      </c>
      <c r="E6" s="435">
        <f>vkm_2011_GW_PW*SUMIFS(TableVerdeelsleutelVkm[LPG],TableVerdeelsleutelVkm[Voertuigtype],"Lichte voertuigen")*SUMIFS(TableECFTransport[EnergieConsumptieFactor (PJ per km)],TableECFTransport[Index],CONCATENATE($A6,"_LPG_LPG"))</f>
        <v>7.5425948225540896E-4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0.10903708087362896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2.8575486319672379E-2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6.1625441880023462E-3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4.5900882676752117E-2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1.8519216635070905E-5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2.0448701216156462E-3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1.0118729733891732E-6</v>
      </c>
      <c r="C8" s="433"/>
      <c r="D8" s="435">
        <f>vkm_2011_NGW_PW*SUMIFS(TableVerdeelsleutelVkm[CNG],TableVerdeelsleutelVkm[Voertuigtype],"Lichte voertuigen")*SUMIFS(TableECFTransport[EnergieConsumptieFactor (PJ per km)],TableECFTransport[Index],CONCATENATE($A8,"_CNG_CNG"))</f>
        <v>4.4334131074784491E-6</v>
      </c>
      <c r="E8" s="435">
        <f>vkm_2011_NGW_PW*SUMIFS(TableVerdeelsleutelVkm[LPG],TableVerdeelsleutelVkm[Voertuigtype],"Lichte voertuigen")*SUMIFS(TableECFTransport[EnergieConsumptieFactor (PJ per km)],TableECFTransport[Index],CONCATENATE($A8,"_LPG_LPG"))</f>
        <v>2.410833051231109E-4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3.2923619548017612E-2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9.533760441576002E-3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1.9021854754364045E-3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3.9720446123321929E-3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1.3953464157049516E-6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1.7694388074909412E-4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7.0490404344054269E-6</v>
      </c>
      <c r="C10" s="433"/>
      <c r="D10" s="435">
        <f>vkm_2011_SW_PW*SUMIFS(TableVerdeelsleutelVkm[CNG],TableVerdeelsleutelVkm[Voertuigtype],"Lichte voertuigen")*SUMIFS(TableECFTransport[EnergieConsumptieFactor (PJ per km)],TableECFTransport[Index],CONCATENATE($A10,"_CNG_CNG"))</f>
        <v>1.7815199289797438E-5</v>
      </c>
      <c r="E10" s="435">
        <f>vkm_2011_SW_PW*SUMIFS(TableVerdeelsleutelVkm[LPG],TableVerdeelsleutelVkm[Voertuigtype],"Lichte voertuigen")*SUMIFS(TableECFTransport[EnergieConsumptieFactor (PJ per km)],TableECFTransport[Index],CONCATENATE($A10,"_LPG_LPG"))</f>
        <v>1.3213247747838443E-3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0.17407714886417799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4.2264549537405639E-2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9.6849704442958512E-3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0.25569617583687199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1.0945110467385206E-4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1.1391473107528713E-2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3.6865784038080007</v>
      </c>
      <c r="C14" s="22"/>
      <c r="D14" s="22">
        <f t="shared" ref="D14:M14" si="0">((D5)*10^9/3600)+D12</f>
        <v>9.7148325511941422</v>
      </c>
      <c r="E14" s="22">
        <f t="shared" si="0"/>
        <v>643.51876726732326</v>
      </c>
      <c r="F14" s="22"/>
      <c r="G14" s="22">
        <f t="shared" si="0"/>
        <v>172668.59789216134</v>
      </c>
      <c r="H14" s="22">
        <f t="shared" si="0"/>
        <v>22361.989435105177</v>
      </c>
      <c r="I14" s="22"/>
      <c r="J14" s="22"/>
      <c r="K14" s="22"/>
      <c r="L14" s="22"/>
      <c r="M14" s="22">
        <f t="shared" si="0"/>
        <v>8711.9408937855715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0.29003984766853913</v>
      </c>
      <c r="C16" s="57">
        <f ca="1">'EF ele_warmte'!B22</f>
        <v>0.23759731579574694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1.0692546386585986</v>
      </c>
      <c r="C18" s="24"/>
      <c r="D18" s="24">
        <f t="shared" ref="D18:M18" si="1">D14*D16</f>
        <v>1.9623961753412169</v>
      </c>
      <c r="E18" s="24">
        <f t="shared" si="1"/>
        <v>146.0787601696824</v>
      </c>
      <c r="F18" s="24"/>
      <c r="G18" s="24">
        <f t="shared" si="1"/>
        <v>46102.515637207078</v>
      </c>
      <c r="H18" s="24">
        <f t="shared" si="1"/>
        <v>5568.1353693411893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7.51939275631942E-3</v>
      </c>
      <c r="H50" s="323">
        <f t="shared" si="2"/>
        <v>0</v>
      </c>
      <c r="I50" s="323">
        <f t="shared" si="2"/>
        <v>0</v>
      </c>
      <c r="J50" s="323">
        <f t="shared" si="2"/>
        <v>0</v>
      </c>
      <c r="K50" s="323">
        <f t="shared" si="2"/>
        <v>0</v>
      </c>
      <c r="L50" s="323">
        <f t="shared" si="2"/>
        <v>0</v>
      </c>
      <c r="M50" s="323">
        <f t="shared" si="2"/>
        <v>3.3018893994422188E-4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7.51939275631942E-3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3.3018893994422188E-4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2088.720210088728</v>
      </c>
      <c r="H54" s="22">
        <f t="shared" si="3"/>
        <v>0</v>
      </c>
      <c r="I54" s="22">
        <f t="shared" si="3"/>
        <v>0</v>
      </c>
      <c r="J54" s="22">
        <f t="shared" si="3"/>
        <v>0</v>
      </c>
      <c r="K54" s="22">
        <f t="shared" si="3"/>
        <v>0</v>
      </c>
      <c r="L54" s="22">
        <f t="shared" si="3"/>
        <v>0</v>
      </c>
      <c r="M54" s="22">
        <f t="shared" si="3"/>
        <v>91.719149984506075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0.29003984766853913</v>
      </c>
      <c r="C56" s="57">
        <f ca="1">'EF ele_warmte'!B22</f>
        <v>0.23759731579574694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557.68829609369038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15479.595774667947</v>
      </c>
      <c r="D10" s="688">
        <f ca="1">tertiair!C16</f>
        <v>0</v>
      </c>
      <c r="E10" s="688">
        <f ca="1">tertiair!D16</f>
        <v>16299.936780801152</v>
      </c>
      <c r="F10" s="688">
        <f>tertiair!E16</f>
        <v>124.2043827670839</v>
      </c>
      <c r="G10" s="688">
        <f ca="1">tertiair!F16</f>
        <v>2890.3388932689095</v>
      </c>
      <c r="H10" s="688">
        <f>tertiair!G16</f>
        <v>0</v>
      </c>
      <c r="I10" s="688">
        <f>tertiair!H16</f>
        <v>0</v>
      </c>
      <c r="J10" s="688">
        <f>tertiair!I16</f>
        <v>0</v>
      </c>
      <c r="K10" s="688">
        <f>tertiair!J16</f>
        <v>0</v>
      </c>
      <c r="L10" s="688">
        <f>tertiair!K16</f>
        <v>0</v>
      </c>
      <c r="M10" s="688">
        <f ca="1">tertiair!L16</f>
        <v>0</v>
      </c>
      <c r="N10" s="688">
        <f>tertiair!M16</f>
        <v>0</v>
      </c>
      <c r="O10" s="688">
        <f ca="1">tertiair!N16</f>
        <v>1416.0511860024576</v>
      </c>
      <c r="P10" s="688">
        <f>tertiair!O16</f>
        <v>1.5633333333333335</v>
      </c>
      <c r="Q10" s="689">
        <f>tertiair!P16</f>
        <v>0</v>
      </c>
      <c r="R10" s="691">
        <f ca="1">SUM(C10:Q10)</f>
        <v>36211.69035084088</v>
      </c>
      <c r="S10" s="68"/>
    </row>
    <row r="11" spans="1:19" s="457" customFormat="1">
      <c r="A11" s="803" t="s">
        <v>225</v>
      </c>
      <c r="B11" s="808"/>
      <c r="C11" s="688">
        <f>huishoudens!B8</f>
        <v>40762.058540465012</v>
      </c>
      <c r="D11" s="688">
        <f>huishoudens!C8</f>
        <v>0</v>
      </c>
      <c r="E11" s="688">
        <f>huishoudens!D8</f>
        <v>88290.496829837299</v>
      </c>
      <c r="F11" s="688">
        <f>huishoudens!E8</f>
        <v>10828.371337104112</v>
      </c>
      <c r="G11" s="688">
        <f>huishoudens!F8</f>
        <v>0</v>
      </c>
      <c r="H11" s="688">
        <f>huishoudens!G8</f>
        <v>0</v>
      </c>
      <c r="I11" s="688">
        <f>huishoudens!H8</f>
        <v>0</v>
      </c>
      <c r="J11" s="688">
        <f>huishoudens!I8</f>
        <v>0</v>
      </c>
      <c r="K11" s="688">
        <f>huishoudens!J8</f>
        <v>413.39694656178187</v>
      </c>
      <c r="L11" s="688">
        <f>huishoudens!K8</f>
        <v>0</v>
      </c>
      <c r="M11" s="688">
        <f>huishoudens!L8</f>
        <v>0</v>
      </c>
      <c r="N11" s="688">
        <f>huishoudens!M8</f>
        <v>0</v>
      </c>
      <c r="O11" s="688">
        <f>huishoudens!N8</f>
        <v>27794.640913159827</v>
      </c>
      <c r="P11" s="688">
        <f>huishoudens!O8</f>
        <v>106.30666666666667</v>
      </c>
      <c r="Q11" s="689">
        <f>huishoudens!P8</f>
        <v>858</v>
      </c>
      <c r="R11" s="691">
        <f>SUM(C11:Q11)</f>
        <v>169053.27123379472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7173.0709533023391</v>
      </c>
      <c r="D13" s="688">
        <f>industrie!C18</f>
        <v>0</v>
      </c>
      <c r="E13" s="688">
        <f>industrie!D18</f>
        <v>6811.7690540467847</v>
      </c>
      <c r="F13" s="688">
        <f>industrie!E18</f>
        <v>58.972643010386918</v>
      </c>
      <c r="G13" s="688">
        <f>industrie!F18</f>
        <v>2904.8376005969753</v>
      </c>
      <c r="H13" s="688">
        <f>industrie!G18</f>
        <v>0</v>
      </c>
      <c r="I13" s="688">
        <f>industrie!H18</f>
        <v>0</v>
      </c>
      <c r="J13" s="688">
        <f>industrie!I18</f>
        <v>0</v>
      </c>
      <c r="K13" s="688">
        <f>industrie!J18</f>
        <v>28.515327081935993</v>
      </c>
      <c r="L13" s="688">
        <f>industrie!K18</f>
        <v>0</v>
      </c>
      <c r="M13" s="688">
        <f>industrie!L18</f>
        <v>0</v>
      </c>
      <c r="N13" s="688">
        <f>industrie!M18</f>
        <v>0</v>
      </c>
      <c r="O13" s="688">
        <f>industrie!N18</f>
        <v>349.11069381915786</v>
      </c>
      <c r="P13" s="688">
        <f>industrie!O18</f>
        <v>0</v>
      </c>
      <c r="Q13" s="689">
        <f>industrie!P18</f>
        <v>0</v>
      </c>
      <c r="R13" s="691">
        <f>SUM(C13:Q13)</f>
        <v>17326.276271857583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63414.725268435301</v>
      </c>
      <c r="D16" s="721">
        <f t="shared" ref="D16:R16" ca="1" si="0">SUM(D9:D15)</f>
        <v>0</v>
      </c>
      <c r="E16" s="721">
        <f t="shared" ca="1" si="0"/>
        <v>111402.20266468525</v>
      </c>
      <c r="F16" s="721">
        <f t="shared" si="0"/>
        <v>11011.548362881584</v>
      </c>
      <c r="G16" s="721">
        <f t="shared" ca="1" si="0"/>
        <v>5795.1764938658853</v>
      </c>
      <c r="H16" s="721">
        <f t="shared" si="0"/>
        <v>0</v>
      </c>
      <c r="I16" s="721">
        <f t="shared" si="0"/>
        <v>0</v>
      </c>
      <c r="J16" s="721">
        <f t="shared" si="0"/>
        <v>0</v>
      </c>
      <c r="K16" s="721">
        <f t="shared" si="0"/>
        <v>441.91227364371787</v>
      </c>
      <c r="L16" s="721">
        <f t="shared" si="0"/>
        <v>0</v>
      </c>
      <c r="M16" s="721">
        <f t="shared" ca="1" si="0"/>
        <v>0</v>
      </c>
      <c r="N16" s="721">
        <f t="shared" si="0"/>
        <v>0</v>
      </c>
      <c r="O16" s="721">
        <f t="shared" ca="1" si="0"/>
        <v>29559.802792981442</v>
      </c>
      <c r="P16" s="721">
        <f t="shared" si="0"/>
        <v>107.87</v>
      </c>
      <c r="Q16" s="721">
        <f t="shared" si="0"/>
        <v>858</v>
      </c>
      <c r="R16" s="721">
        <f t="shared" ca="1" si="0"/>
        <v>222591.23785649319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2088.720210088728</v>
      </c>
      <c r="I19" s="688">
        <f>transport!H54</f>
        <v>0</v>
      </c>
      <c r="J19" s="688">
        <f>transport!I54</f>
        <v>0</v>
      </c>
      <c r="K19" s="688">
        <f>transport!J54</f>
        <v>0</v>
      </c>
      <c r="L19" s="688">
        <f>transport!K54</f>
        <v>0</v>
      </c>
      <c r="M19" s="688">
        <f>transport!L54</f>
        <v>0</v>
      </c>
      <c r="N19" s="688">
        <f>transport!M54</f>
        <v>91.719149984506075</v>
      </c>
      <c r="O19" s="688">
        <f>transport!N54</f>
        <v>0</v>
      </c>
      <c r="P19" s="688">
        <f>transport!O54</f>
        <v>0</v>
      </c>
      <c r="Q19" s="689">
        <f>transport!P54</f>
        <v>0</v>
      </c>
      <c r="R19" s="691">
        <f>SUM(C19:Q19)</f>
        <v>2180.4393600732342</v>
      </c>
      <c r="S19" s="68"/>
    </row>
    <row r="20" spans="1:19" s="457" customFormat="1">
      <c r="A20" s="803" t="s">
        <v>307</v>
      </c>
      <c r="B20" s="808"/>
      <c r="C20" s="688">
        <f>transport!B14</f>
        <v>3.6865784038080007</v>
      </c>
      <c r="D20" s="688">
        <f>transport!C14</f>
        <v>0</v>
      </c>
      <c r="E20" s="688">
        <f>transport!D14</f>
        <v>9.7148325511941422</v>
      </c>
      <c r="F20" s="688">
        <f>transport!E14</f>
        <v>643.51876726732326</v>
      </c>
      <c r="G20" s="688">
        <f>transport!F14</f>
        <v>0</v>
      </c>
      <c r="H20" s="688">
        <f>transport!G14</f>
        <v>172668.59789216134</v>
      </c>
      <c r="I20" s="688">
        <f>transport!H14</f>
        <v>22361.989435105177</v>
      </c>
      <c r="J20" s="688">
        <f>transport!I14</f>
        <v>0</v>
      </c>
      <c r="K20" s="688">
        <f>transport!J14</f>
        <v>0</v>
      </c>
      <c r="L20" s="688">
        <f>transport!K14</f>
        <v>0</v>
      </c>
      <c r="M20" s="688">
        <f>transport!L14</f>
        <v>0</v>
      </c>
      <c r="N20" s="688">
        <f>transport!M14</f>
        <v>8711.9408937855715</v>
      </c>
      <c r="O20" s="688">
        <f>transport!N14</f>
        <v>0</v>
      </c>
      <c r="P20" s="688">
        <f>transport!O14</f>
        <v>0</v>
      </c>
      <c r="Q20" s="689">
        <f>transport!P14</f>
        <v>0</v>
      </c>
      <c r="R20" s="691">
        <f>SUM(C20:Q20)</f>
        <v>204399.44839927441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3.6865784038080007</v>
      </c>
      <c r="D22" s="806">
        <f t="shared" ref="D22:R22" si="1">SUM(D18:D21)</f>
        <v>0</v>
      </c>
      <c r="E22" s="806">
        <f t="shared" si="1"/>
        <v>9.7148325511941422</v>
      </c>
      <c r="F22" s="806">
        <f t="shared" si="1"/>
        <v>643.51876726732326</v>
      </c>
      <c r="G22" s="806">
        <f t="shared" si="1"/>
        <v>0</v>
      </c>
      <c r="H22" s="806">
        <f t="shared" si="1"/>
        <v>174757.31810225008</v>
      </c>
      <c r="I22" s="806">
        <f t="shared" si="1"/>
        <v>22361.989435105177</v>
      </c>
      <c r="J22" s="806">
        <f t="shared" si="1"/>
        <v>0</v>
      </c>
      <c r="K22" s="806">
        <f t="shared" si="1"/>
        <v>0</v>
      </c>
      <c r="L22" s="806">
        <f t="shared" si="1"/>
        <v>0</v>
      </c>
      <c r="M22" s="806">
        <f t="shared" si="1"/>
        <v>0</v>
      </c>
      <c r="N22" s="806">
        <f t="shared" si="1"/>
        <v>8803.6600437700781</v>
      </c>
      <c r="O22" s="806">
        <f t="shared" si="1"/>
        <v>0</v>
      </c>
      <c r="P22" s="806">
        <f t="shared" si="1"/>
        <v>0</v>
      </c>
      <c r="Q22" s="806">
        <f t="shared" si="1"/>
        <v>0</v>
      </c>
      <c r="R22" s="806">
        <f t="shared" si="1"/>
        <v>206579.88775934765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11116.796073118199</v>
      </c>
      <c r="D24" s="688">
        <f>+landbouw!C8</f>
        <v>76734.633116883138</v>
      </c>
      <c r="E24" s="688">
        <f>+landbouw!D8</f>
        <v>0</v>
      </c>
      <c r="F24" s="688">
        <f>+landbouw!E8</f>
        <v>104.72766750647622</v>
      </c>
      <c r="G24" s="688">
        <f>+landbouw!F8</f>
        <v>36277.794927191426</v>
      </c>
      <c r="H24" s="688">
        <f>+landbouw!G8</f>
        <v>0</v>
      </c>
      <c r="I24" s="688">
        <f>+landbouw!H8</f>
        <v>0</v>
      </c>
      <c r="J24" s="688">
        <f>+landbouw!I8</f>
        <v>0</v>
      </c>
      <c r="K24" s="688">
        <f>+landbouw!J8</f>
        <v>1375.2017463304342</v>
      </c>
      <c r="L24" s="688">
        <f>+landbouw!K8</f>
        <v>0</v>
      </c>
      <c r="M24" s="688">
        <f>+landbouw!L8</f>
        <v>0</v>
      </c>
      <c r="N24" s="688">
        <f>+landbouw!M8</f>
        <v>0</v>
      </c>
      <c r="O24" s="688">
        <f>+landbouw!N8</f>
        <v>0</v>
      </c>
      <c r="P24" s="688">
        <f>+landbouw!O8</f>
        <v>0</v>
      </c>
      <c r="Q24" s="689">
        <f>+landbouw!P8</f>
        <v>0</v>
      </c>
      <c r="R24" s="691">
        <f>SUM(C24:Q24)</f>
        <v>125609.15353102967</v>
      </c>
      <c r="S24" s="68"/>
    </row>
    <row r="25" spans="1:19" s="457" customFormat="1" ht="15" thickBot="1">
      <c r="A25" s="825" t="s">
        <v>912</v>
      </c>
      <c r="B25" s="1001"/>
      <c r="C25" s="1002">
        <f>IF(Onbekend_ele_kWh="---",0,Onbekend_ele_kWh)/1000+IF(REST_rest_ele_kWh="---",0,REST_rest_ele_kWh)/1000</f>
        <v>1406.5847368001801</v>
      </c>
      <c r="D25" s="1002"/>
      <c r="E25" s="1002">
        <f>IF(onbekend_gas_kWh="---",0,onbekend_gas_kWh)/1000+IF(REST_rest_gas_kWh="---",0,REST_rest_gas_kWh)/1000</f>
        <v>2499.1791810896602</v>
      </c>
      <c r="F25" s="1002"/>
      <c r="G25" s="1002"/>
      <c r="H25" s="1002"/>
      <c r="I25" s="1002"/>
      <c r="J25" s="1002"/>
      <c r="K25" s="1002"/>
      <c r="L25" s="1002"/>
      <c r="M25" s="1002"/>
      <c r="N25" s="1002"/>
      <c r="O25" s="1002"/>
      <c r="P25" s="1002"/>
      <c r="Q25" s="1003"/>
      <c r="R25" s="691">
        <f>SUM(C25:Q25)</f>
        <v>3905.7639178898403</v>
      </c>
      <c r="S25" s="68"/>
    </row>
    <row r="26" spans="1:19" s="457" customFormat="1" ht="15.75" thickBot="1">
      <c r="A26" s="694" t="s">
        <v>913</v>
      </c>
      <c r="B26" s="811"/>
      <c r="C26" s="806">
        <f>SUM(C24:C25)</f>
        <v>12523.380809918379</v>
      </c>
      <c r="D26" s="806">
        <f t="shared" ref="D26:R26" si="2">SUM(D24:D25)</f>
        <v>76734.633116883138</v>
      </c>
      <c r="E26" s="806">
        <f t="shared" si="2"/>
        <v>2499.1791810896602</v>
      </c>
      <c r="F26" s="806">
        <f t="shared" si="2"/>
        <v>104.72766750647622</v>
      </c>
      <c r="G26" s="806">
        <f t="shared" si="2"/>
        <v>36277.794927191426</v>
      </c>
      <c r="H26" s="806">
        <f t="shared" si="2"/>
        <v>0</v>
      </c>
      <c r="I26" s="806">
        <f t="shared" si="2"/>
        <v>0</v>
      </c>
      <c r="J26" s="806">
        <f t="shared" si="2"/>
        <v>0</v>
      </c>
      <c r="K26" s="806">
        <f t="shared" si="2"/>
        <v>1375.2017463304342</v>
      </c>
      <c r="L26" s="806">
        <f t="shared" si="2"/>
        <v>0</v>
      </c>
      <c r="M26" s="806">
        <f t="shared" si="2"/>
        <v>0</v>
      </c>
      <c r="N26" s="806">
        <f t="shared" si="2"/>
        <v>0</v>
      </c>
      <c r="O26" s="806">
        <f t="shared" si="2"/>
        <v>0</v>
      </c>
      <c r="P26" s="806">
        <f t="shared" si="2"/>
        <v>0</v>
      </c>
      <c r="Q26" s="806">
        <f t="shared" si="2"/>
        <v>0</v>
      </c>
      <c r="R26" s="806">
        <f t="shared" si="2"/>
        <v>129514.91744891951</v>
      </c>
      <c r="S26" s="68"/>
    </row>
    <row r="27" spans="1:19" s="457" customFormat="1" ht="17.25" thickTop="1" thickBot="1">
      <c r="A27" s="695" t="s">
        <v>116</v>
      </c>
      <c r="B27" s="798"/>
      <c r="C27" s="696">
        <f ca="1">C22+C16+C26</f>
        <v>75941.79265675749</v>
      </c>
      <c r="D27" s="696">
        <f t="shared" ref="D27:R27" ca="1" si="3">D22+D16+D26</f>
        <v>76734.633116883138</v>
      </c>
      <c r="E27" s="696">
        <f t="shared" ca="1" si="3"/>
        <v>113911.0966783261</v>
      </c>
      <c r="F27" s="696">
        <f t="shared" si="3"/>
        <v>11759.794797655384</v>
      </c>
      <c r="G27" s="696">
        <f t="shared" ca="1" si="3"/>
        <v>42072.971421057315</v>
      </c>
      <c r="H27" s="696">
        <f t="shared" si="3"/>
        <v>174757.31810225008</v>
      </c>
      <c r="I27" s="696">
        <f t="shared" si="3"/>
        <v>22361.989435105177</v>
      </c>
      <c r="J27" s="696">
        <f t="shared" si="3"/>
        <v>0</v>
      </c>
      <c r="K27" s="696">
        <f t="shared" si="3"/>
        <v>1817.1140199741521</v>
      </c>
      <c r="L27" s="696">
        <f t="shared" si="3"/>
        <v>0</v>
      </c>
      <c r="M27" s="696">
        <f t="shared" ca="1" si="3"/>
        <v>0</v>
      </c>
      <c r="N27" s="696">
        <f t="shared" si="3"/>
        <v>8803.6600437700781</v>
      </c>
      <c r="O27" s="696">
        <f t="shared" ca="1" si="3"/>
        <v>29559.802792981442</v>
      </c>
      <c r="P27" s="696">
        <f t="shared" si="3"/>
        <v>107.87</v>
      </c>
      <c r="Q27" s="696">
        <f t="shared" si="3"/>
        <v>858</v>
      </c>
      <c r="R27" s="696">
        <f t="shared" ca="1" si="3"/>
        <v>558686.04306476039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4489.6996004552529</v>
      </c>
      <c r="D40" s="688">
        <f ca="1">tertiair!C20</f>
        <v>0</v>
      </c>
      <c r="E40" s="688">
        <f ca="1">tertiair!D20</f>
        <v>3292.587229721833</v>
      </c>
      <c r="F40" s="688">
        <f>tertiair!E20</f>
        <v>28.194394888128045</v>
      </c>
      <c r="G40" s="688">
        <f ca="1">tertiair!F20</f>
        <v>771.72048450279885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8582.201709568013</v>
      </c>
    </row>
    <row r="41" spans="1:18">
      <c r="A41" s="816" t="s">
        <v>225</v>
      </c>
      <c r="B41" s="823"/>
      <c r="C41" s="688">
        <f ca="1">huishoudens!B12</f>
        <v>11822.621249732547</v>
      </c>
      <c r="D41" s="688">
        <f ca="1">huishoudens!C12</f>
        <v>0</v>
      </c>
      <c r="E41" s="688">
        <f>huishoudens!D12</f>
        <v>17834.680359627135</v>
      </c>
      <c r="F41" s="688">
        <f>huishoudens!E12</f>
        <v>2458.0402935226334</v>
      </c>
      <c r="G41" s="688">
        <f>huishoudens!F12</f>
        <v>0</v>
      </c>
      <c r="H41" s="688">
        <f>huishoudens!G12</f>
        <v>0</v>
      </c>
      <c r="I41" s="688">
        <f>huishoudens!H12</f>
        <v>0</v>
      </c>
      <c r="J41" s="688">
        <f>huishoudens!I12</f>
        <v>0</v>
      </c>
      <c r="K41" s="688">
        <f>huishoudens!J12</f>
        <v>146.34251908287078</v>
      </c>
      <c r="L41" s="688">
        <f>huishoudens!K12</f>
        <v>0</v>
      </c>
      <c r="M41" s="688">
        <f>huishoudens!L12</f>
        <v>0</v>
      </c>
      <c r="N41" s="688">
        <f>huishoudens!M12</f>
        <v>0</v>
      </c>
      <c r="O41" s="688">
        <f>huishoudens!N12</f>
        <v>0</v>
      </c>
      <c r="P41" s="688">
        <f>huishoudens!O12</f>
        <v>0</v>
      </c>
      <c r="Q41" s="763">
        <f>huishoudens!P12</f>
        <v>0</v>
      </c>
      <c r="R41" s="844">
        <f t="shared" ca="1" si="4"/>
        <v>32261.684421965187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2080.476406611433</v>
      </c>
      <c r="D43" s="688">
        <f ca="1">industrie!C22</f>
        <v>0</v>
      </c>
      <c r="E43" s="688">
        <f>industrie!D22</f>
        <v>1375.9773489174506</v>
      </c>
      <c r="F43" s="688">
        <f>industrie!E22</f>
        <v>13.386789963357831</v>
      </c>
      <c r="G43" s="688">
        <f>industrie!F22</f>
        <v>775.5916393593925</v>
      </c>
      <c r="H43" s="688">
        <f>industrie!G22</f>
        <v>0</v>
      </c>
      <c r="I43" s="688">
        <f>industrie!H22</f>
        <v>0</v>
      </c>
      <c r="J43" s="688">
        <f>industrie!I22</f>
        <v>0</v>
      </c>
      <c r="K43" s="688">
        <f>industrie!J22</f>
        <v>10.09442578700534</v>
      </c>
      <c r="L43" s="688">
        <f>industrie!K22</f>
        <v>0</v>
      </c>
      <c r="M43" s="688">
        <f>industrie!L22</f>
        <v>0</v>
      </c>
      <c r="N43" s="688">
        <f>industrie!M22</f>
        <v>0</v>
      </c>
      <c r="O43" s="688">
        <f>industrie!N22</f>
        <v>0</v>
      </c>
      <c r="P43" s="688">
        <f>industrie!O22</f>
        <v>0</v>
      </c>
      <c r="Q43" s="763">
        <f>industrie!P22</f>
        <v>0</v>
      </c>
      <c r="R43" s="843">
        <f t="shared" ca="1" si="4"/>
        <v>4255.5266106386389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18392.797256799233</v>
      </c>
      <c r="D46" s="721">
        <f t="shared" ref="D46:Q46" ca="1" si="5">SUM(D39:D45)</f>
        <v>0</v>
      </c>
      <c r="E46" s="721">
        <f t="shared" ca="1" si="5"/>
        <v>22503.24493826642</v>
      </c>
      <c r="F46" s="721">
        <f t="shared" si="5"/>
        <v>2499.6214783741193</v>
      </c>
      <c r="G46" s="721">
        <f t="shared" ca="1" si="5"/>
        <v>1547.3121238621914</v>
      </c>
      <c r="H46" s="721">
        <f t="shared" si="5"/>
        <v>0</v>
      </c>
      <c r="I46" s="721">
        <f t="shared" si="5"/>
        <v>0</v>
      </c>
      <c r="J46" s="721">
        <f t="shared" si="5"/>
        <v>0</v>
      </c>
      <c r="K46" s="721">
        <f t="shared" si="5"/>
        <v>156.43694486987613</v>
      </c>
      <c r="L46" s="721">
        <f t="shared" si="5"/>
        <v>0</v>
      </c>
      <c r="M46" s="721">
        <f t="shared" ca="1" si="5"/>
        <v>0</v>
      </c>
      <c r="N46" s="721">
        <f t="shared" si="5"/>
        <v>0</v>
      </c>
      <c r="O46" s="721">
        <f t="shared" ca="1" si="5"/>
        <v>0</v>
      </c>
      <c r="P46" s="721">
        <f t="shared" si="5"/>
        <v>0</v>
      </c>
      <c r="Q46" s="721">
        <f t="shared" si="5"/>
        <v>0</v>
      </c>
      <c r="R46" s="721">
        <f ca="1">SUM(R39:R45)</f>
        <v>45099.412742171844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557.68829609369038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557.68829609369038</v>
      </c>
    </row>
    <row r="50" spans="1:18">
      <c r="A50" s="819" t="s">
        <v>307</v>
      </c>
      <c r="B50" s="829"/>
      <c r="C50" s="1008">
        <f ca="1">transport!B18</f>
        <v>1.0692546386585986</v>
      </c>
      <c r="D50" s="1008">
        <f>transport!C18</f>
        <v>0</v>
      </c>
      <c r="E50" s="1008">
        <f>transport!D18</f>
        <v>1.9623961753412169</v>
      </c>
      <c r="F50" s="1008">
        <f>transport!E18</f>
        <v>146.0787601696824</v>
      </c>
      <c r="G50" s="1008">
        <f>transport!F18</f>
        <v>0</v>
      </c>
      <c r="H50" s="1008">
        <f>transport!G18</f>
        <v>46102.515637207078</v>
      </c>
      <c r="I50" s="1008">
        <f>transport!H18</f>
        <v>5568.1353693411893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51819.761417531947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1.0692546386585986</v>
      </c>
      <c r="D52" s="721">
        <f t="shared" ref="D52:Q52" ca="1" si="6">SUM(D48:D51)</f>
        <v>0</v>
      </c>
      <c r="E52" s="721">
        <f t="shared" si="6"/>
        <v>1.9623961753412169</v>
      </c>
      <c r="F52" s="721">
        <f t="shared" si="6"/>
        <v>146.0787601696824</v>
      </c>
      <c r="G52" s="721">
        <f t="shared" si="6"/>
        <v>0</v>
      </c>
      <c r="H52" s="721">
        <f t="shared" si="6"/>
        <v>46660.203933300771</v>
      </c>
      <c r="I52" s="721">
        <f t="shared" si="6"/>
        <v>5568.1353693411893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52377.44971362564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3224.3138396094164</v>
      </c>
      <c r="D54" s="1008">
        <f ca="1">+landbouw!C12</f>
        <v>18231.942857142865</v>
      </c>
      <c r="E54" s="1008">
        <f>+landbouw!D12</f>
        <v>0</v>
      </c>
      <c r="F54" s="1008">
        <f>+landbouw!E12</f>
        <v>23.773180523970105</v>
      </c>
      <c r="G54" s="1008">
        <f>+landbouw!F12</f>
        <v>9686.1712455601119</v>
      </c>
      <c r="H54" s="1008">
        <f>+landbouw!G12</f>
        <v>0</v>
      </c>
      <c r="I54" s="1008">
        <f>+landbouw!H12</f>
        <v>0</v>
      </c>
      <c r="J54" s="1008">
        <f>+landbouw!I12</f>
        <v>0</v>
      </c>
      <c r="K54" s="1008">
        <f>+landbouw!J12</f>
        <v>486.82141820097365</v>
      </c>
      <c r="L54" s="1008">
        <f>+landbouw!K12</f>
        <v>0</v>
      </c>
      <c r="M54" s="1008">
        <f>+landbouw!L12</f>
        <v>0</v>
      </c>
      <c r="N54" s="1008">
        <f>+landbouw!M12</f>
        <v>0</v>
      </c>
      <c r="O54" s="1008">
        <f>+landbouw!N12</f>
        <v>0</v>
      </c>
      <c r="P54" s="1008">
        <f>+landbouw!O12</f>
        <v>0</v>
      </c>
      <c r="Q54" s="1009">
        <f>+landbouw!P12</f>
        <v>0</v>
      </c>
      <c r="R54" s="720">
        <f ca="1">SUM(C54:Q54)</f>
        <v>31653.022541037335</v>
      </c>
    </row>
    <row r="55" spans="1:18" ht="15" thickBot="1">
      <c r="A55" s="819" t="s">
        <v>912</v>
      </c>
      <c r="B55" s="829"/>
      <c r="C55" s="1008">
        <f ca="1">C25*'EF ele_warmte'!B12</f>
        <v>407.96562279441645</v>
      </c>
      <c r="D55" s="1008"/>
      <c r="E55" s="1008">
        <f>E25*EF_CO2_aardgas</f>
        <v>504.83419458011139</v>
      </c>
      <c r="F55" s="1008"/>
      <c r="G55" s="1008"/>
      <c r="H55" s="1008"/>
      <c r="I55" s="1008"/>
      <c r="J55" s="1008"/>
      <c r="K55" s="1008"/>
      <c r="L55" s="1008"/>
      <c r="M55" s="1008"/>
      <c r="N55" s="1008"/>
      <c r="O55" s="1008"/>
      <c r="P55" s="1008"/>
      <c r="Q55" s="1009"/>
      <c r="R55" s="720">
        <f ca="1">SUM(C55:Q55)</f>
        <v>912.79981737452783</v>
      </c>
    </row>
    <row r="56" spans="1:18" ht="15.75" thickBot="1">
      <c r="A56" s="817" t="s">
        <v>913</v>
      </c>
      <c r="B56" s="830"/>
      <c r="C56" s="721">
        <f ca="1">SUM(C54:C55)</f>
        <v>3632.2794624038329</v>
      </c>
      <c r="D56" s="721">
        <f t="shared" ref="D56:Q56" ca="1" si="7">SUM(D54:D55)</f>
        <v>18231.942857142865</v>
      </c>
      <c r="E56" s="721">
        <f t="shared" si="7"/>
        <v>504.83419458011139</v>
      </c>
      <c r="F56" s="721">
        <f t="shared" si="7"/>
        <v>23.773180523970105</v>
      </c>
      <c r="G56" s="721">
        <f t="shared" si="7"/>
        <v>9686.1712455601119</v>
      </c>
      <c r="H56" s="721">
        <f t="shared" si="7"/>
        <v>0</v>
      </c>
      <c r="I56" s="721">
        <f t="shared" si="7"/>
        <v>0</v>
      </c>
      <c r="J56" s="721">
        <f t="shared" si="7"/>
        <v>0</v>
      </c>
      <c r="K56" s="721">
        <f t="shared" si="7"/>
        <v>486.82141820097365</v>
      </c>
      <c r="L56" s="721">
        <f t="shared" si="7"/>
        <v>0</v>
      </c>
      <c r="M56" s="721">
        <f t="shared" si="7"/>
        <v>0</v>
      </c>
      <c r="N56" s="721">
        <f t="shared" si="7"/>
        <v>0</v>
      </c>
      <c r="O56" s="721">
        <f t="shared" si="7"/>
        <v>0</v>
      </c>
      <c r="P56" s="721">
        <f t="shared" si="7"/>
        <v>0</v>
      </c>
      <c r="Q56" s="722">
        <f t="shared" si="7"/>
        <v>0</v>
      </c>
      <c r="R56" s="723">
        <f ca="1">SUM(R54:R55)</f>
        <v>32565.822358411864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22026.145973841725</v>
      </c>
      <c r="D61" s="729">
        <f t="shared" ref="D61:Q61" ca="1" si="8">D46+D52+D56</f>
        <v>18231.942857142865</v>
      </c>
      <c r="E61" s="729">
        <f t="shared" ca="1" si="8"/>
        <v>23010.041529021873</v>
      </c>
      <c r="F61" s="729">
        <f t="shared" si="8"/>
        <v>2669.4734190677718</v>
      </c>
      <c r="G61" s="729">
        <f t="shared" ca="1" si="8"/>
        <v>11233.483369422303</v>
      </c>
      <c r="H61" s="729">
        <f t="shared" si="8"/>
        <v>46660.203933300771</v>
      </c>
      <c r="I61" s="729">
        <f t="shared" si="8"/>
        <v>5568.1353693411893</v>
      </c>
      <c r="J61" s="729">
        <f t="shared" si="8"/>
        <v>0</v>
      </c>
      <c r="K61" s="729">
        <f t="shared" si="8"/>
        <v>643.25836307084978</v>
      </c>
      <c r="L61" s="729">
        <f t="shared" si="8"/>
        <v>0</v>
      </c>
      <c r="M61" s="729">
        <f t="shared" ca="1" si="8"/>
        <v>0</v>
      </c>
      <c r="N61" s="729">
        <f t="shared" si="8"/>
        <v>0</v>
      </c>
      <c r="O61" s="729">
        <f t="shared" ca="1" si="8"/>
        <v>0</v>
      </c>
      <c r="P61" s="729">
        <f t="shared" si="8"/>
        <v>0</v>
      </c>
      <c r="Q61" s="729">
        <f t="shared" si="8"/>
        <v>0</v>
      </c>
      <c r="R61" s="729">
        <f ca="1">R46+R52+R56</f>
        <v>130042.68481420935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0.29003984766853913</v>
      </c>
      <c r="D63" s="773">
        <f t="shared" ca="1" si="9"/>
        <v>0.23759731579574694</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26653.028448561028</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7359.9374343342752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11.243181818181817</v>
      </c>
      <c r="C76" s="739">
        <f>'lokale energieproductie'!B8*IFERROR(SUM(D76:H76)/SUM(D76:O76),0)</f>
        <v>53703</v>
      </c>
      <c r="D76" s="1020">
        <f>'lokale energieproductie'!C8</f>
        <v>63179.999999999993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13.227272727272725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12762.359999999999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34024.209064713483</v>
      </c>
      <c r="C78" s="744">
        <f>SUM(C72:C77)</f>
        <v>53703</v>
      </c>
      <c r="D78" s="745">
        <f t="shared" ref="D78:H78" si="10">SUM(D76:D77)</f>
        <v>63179.999999999993</v>
      </c>
      <c r="E78" s="745">
        <f t="shared" si="10"/>
        <v>0</v>
      </c>
      <c r="F78" s="745">
        <f t="shared" si="10"/>
        <v>0</v>
      </c>
      <c r="G78" s="745">
        <f t="shared" si="10"/>
        <v>0</v>
      </c>
      <c r="H78" s="745">
        <f t="shared" si="10"/>
        <v>0</v>
      </c>
      <c r="I78" s="745">
        <f>SUM(I76:I77)</f>
        <v>0</v>
      </c>
      <c r="J78" s="745">
        <f>SUM(J76:J77)</f>
        <v>13.227272727272725</v>
      </c>
      <c r="K78" s="745">
        <f t="shared" ref="K78:L78" si="11">SUM(K76:K77)</f>
        <v>0</v>
      </c>
      <c r="L78" s="745">
        <f t="shared" si="11"/>
        <v>0</v>
      </c>
      <c r="M78" s="745">
        <f>SUM(M76:M77)</f>
        <v>0</v>
      </c>
      <c r="N78" s="745">
        <f>SUM(N76:N77)</f>
        <v>0</v>
      </c>
      <c r="O78" s="854">
        <f>SUM(O76:O77)</f>
        <v>0</v>
      </c>
      <c r="P78" s="746">
        <v>0</v>
      </c>
      <c r="Q78" s="746">
        <f>SUM(Q76:Q77)</f>
        <v>12762.359999999999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16.061688311688314</v>
      </c>
      <c r="C87" s="755">
        <f>'lokale energieproductie'!B17*IFERROR(SUM(D87:H87)/SUM(D87:O87),0)</f>
        <v>76718.571428571449</v>
      </c>
      <c r="D87" s="766">
        <f>'lokale energieproductie'!C17</f>
        <v>90257.142857142884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18.896103896103899</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18231.942857142865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16.061688311688314</v>
      </c>
      <c r="C90" s="744">
        <f>SUM(C87:C89)</f>
        <v>76718.571428571449</v>
      </c>
      <c r="D90" s="744">
        <f t="shared" ref="D90:H90" si="12">SUM(D87:D89)</f>
        <v>90257.142857142884</v>
      </c>
      <c r="E90" s="744">
        <f t="shared" si="12"/>
        <v>0</v>
      </c>
      <c r="F90" s="744">
        <f t="shared" si="12"/>
        <v>0</v>
      </c>
      <c r="G90" s="744">
        <f t="shared" si="12"/>
        <v>0</v>
      </c>
      <c r="H90" s="744">
        <f t="shared" si="12"/>
        <v>0</v>
      </c>
      <c r="I90" s="744">
        <f>SUM(I87:I89)</f>
        <v>0</v>
      </c>
      <c r="J90" s="744">
        <f>SUM(J87:J89)</f>
        <v>18.896103896103899</v>
      </c>
      <c r="K90" s="744">
        <f t="shared" ref="K90:L90" si="13">SUM(K87:K89)</f>
        <v>0</v>
      </c>
      <c r="L90" s="744">
        <f t="shared" si="13"/>
        <v>0</v>
      </c>
      <c r="M90" s="744">
        <f>SUM(M87:M89)</f>
        <v>0</v>
      </c>
      <c r="N90" s="744">
        <f>SUM(N87:N89)</f>
        <v>0</v>
      </c>
      <c r="O90" s="744">
        <f>SUM(O87:O89)</f>
        <v>0</v>
      </c>
      <c r="P90" s="744">
        <v>0</v>
      </c>
      <c r="Q90" s="744">
        <f>SUM(Q87:Q89)</f>
        <v>18231.942857142865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26653.028448561028</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7359.9374343342752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53714.243181818179</v>
      </c>
      <c r="C8" s="558">
        <f>B101</f>
        <v>63179.999999999993</v>
      </c>
      <c r="D8" s="991"/>
      <c r="E8" s="991">
        <f>E101</f>
        <v>0</v>
      </c>
      <c r="F8" s="992"/>
      <c r="G8" s="559"/>
      <c r="H8" s="991">
        <f>I101</f>
        <v>0</v>
      </c>
      <c r="I8" s="991">
        <f>G101+F101</f>
        <v>0</v>
      </c>
      <c r="J8" s="991">
        <f>H101+D101+C101</f>
        <v>13.227272727272725</v>
      </c>
      <c r="K8" s="991"/>
      <c r="L8" s="991"/>
      <c r="M8" s="991"/>
      <c r="N8" s="560"/>
      <c r="O8" s="561">
        <f>C8*$C$12+D8*$D$12+E8*$E$12+F8*$F$12+G8*$G$12+H8*$H$12+I8*$I$12+J8*$J$12</f>
        <v>12762.359999999999</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87727.209064713476</v>
      </c>
      <c r="C10" s="570">
        <f t="shared" ref="C10:L10" si="0">SUM(C8:C9)</f>
        <v>63179.999999999993</v>
      </c>
      <c r="D10" s="570">
        <f t="shared" si="0"/>
        <v>0</v>
      </c>
      <c r="E10" s="570">
        <f t="shared" si="0"/>
        <v>0</v>
      </c>
      <c r="F10" s="570">
        <f t="shared" si="0"/>
        <v>0</v>
      </c>
      <c r="G10" s="570">
        <f t="shared" si="0"/>
        <v>0</v>
      </c>
      <c r="H10" s="570">
        <f t="shared" si="0"/>
        <v>0</v>
      </c>
      <c r="I10" s="570">
        <f t="shared" si="0"/>
        <v>0</v>
      </c>
      <c r="J10" s="570">
        <f t="shared" si="0"/>
        <v>13.227272727272725</v>
      </c>
      <c r="K10" s="570">
        <f t="shared" si="0"/>
        <v>0</v>
      </c>
      <c r="L10" s="570">
        <f t="shared" si="0"/>
        <v>0</v>
      </c>
      <c r="M10" s="995"/>
      <c r="N10" s="995"/>
      <c r="O10" s="571">
        <f>SUM(O4:O9)</f>
        <v>12762.359999999999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76734.633116883138</v>
      </c>
      <c r="C17" s="582">
        <f>B102</f>
        <v>90257.142857142884</v>
      </c>
      <c r="D17" s="583"/>
      <c r="E17" s="583">
        <f>E102</f>
        <v>0</v>
      </c>
      <c r="F17" s="584"/>
      <c r="G17" s="585"/>
      <c r="H17" s="582">
        <f>I102</f>
        <v>0</v>
      </c>
      <c r="I17" s="583">
        <f>G102+F102</f>
        <v>0</v>
      </c>
      <c r="J17" s="583">
        <f>H102+D102+C102</f>
        <v>18.896103896103899</v>
      </c>
      <c r="K17" s="583"/>
      <c r="L17" s="583"/>
      <c r="M17" s="583"/>
      <c r="N17" s="998"/>
      <c r="O17" s="586">
        <f>C17*$C$22+E17*$E$22+H17*$H$22+I17*$I$22+J17*$J$22+D17*$D$22+F17*$F$22+G17*$G$22+K17*$K$22+L17*$L$22</f>
        <v>18231.942857142865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76734.633116883138</v>
      </c>
      <c r="C20" s="569">
        <f>SUM(C17:C19)</f>
        <v>90257.142857142884</v>
      </c>
      <c r="D20" s="569">
        <f t="shared" ref="D20:L20" si="1">SUM(D17:D19)</f>
        <v>0</v>
      </c>
      <c r="E20" s="569">
        <f t="shared" si="1"/>
        <v>0</v>
      </c>
      <c r="F20" s="569">
        <f t="shared" si="1"/>
        <v>0</v>
      </c>
      <c r="G20" s="569">
        <f t="shared" si="1"/>
        <v>0</v>
      </c>
      <c r="H20" s="569">
        <f t="shared" si="1"/>
        <v>0</v>
      </c>
      <c r="I20" s="569">
        <f t="shared" si="1"/>
        <v>0</v>
      </c>
      <c r="J20" s="569">
        <f t="shared" si="1"/>
        <v>18.896103896103899</v>
      </c>
      <c r="K20" s="569">
        <f t="shared" si="1"/>
        <v>0</v>
      </c>
      <c r="L20" s="569">
        <f t="shared" si="1"/>
        <v>0</v>
      </c>
      <c r="M20" s="569"/>
      <c r="N20" s="569"/>
      <c r="O20" s="590">
        <f>SUM(O17:O19)</f>
        <v>18231.942857142865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11053</v>
      </c>
      <c r="C28" s="789">
        <v>2990</v>
      </c>
      <c r="D28" s="642" t="s">
        <v>946</v>
      </c>
      <c r="E28" s="641" t="s">
        <v>947</v>
      </c>
      <c r="F28" s="641" t="s">
        <v>948</v>
      </c>
      <c r="G28" s="641" t="s">
        <v>949</v>
      </c>
      <c r="H28" s="641" t="s">
        <v>950</v>
      </c>
      <c r="I28" s="641" t="s">
        <v>947</v>
      </c>
      <c r="J28" s="788">
        <v>39623</v>
      </c>
      <c r="K28" s="788">
        <v>39623</v>
      </c>
      <c r="L28" s="641" t="s">
        <v>951</v>
      </c>
      <c r="M28" s="641">
        <v>5140</v>
      </c>
      <c r="N28" s="641">
        <v>23130</v>
      </c>
      <c r="O28" s="641">
        <v>33042.857142857145</v>
      </c>
      <c r="P28" s="641">
        <v>66085.71428571429</v>
      </c>
      <c r="Q28" s="641">
        <v>0</v>
      </c>
      <c r="R28" s="641">
        <v>0</v>
      </c>
      <c r="S28" s="641">
        <v>0</v>
      </c>
      <c r="T28" s="641">
        <v>0</v>
      </c>
      <c r="U28" s="641">
        <v>0</v>
      </c>
      <c r="V28" s="641">
        <v>0</v>
      </c>
      <c r="W28" s="641"/>
      <c r="X28" s="641">
        <v>10</v>
      </c>
      <c r="Y28" s="641" t="s">
        <v>112</v>
      </c>
      <c r="Z28" s="643" t="s">
        <v>112</v>
      </c>
    </row>
    <row r="29" spans="1:26" s="595" customFormat="1" ht="25.5">
      <c r="A29" s="594"/>
      <c r="B29" s="789">
        <v>11053</v>
      </c>
      <c r="C29" s="789">
        <v>2990</v>
      </c>
      <c r="D29" s="642" t="s">
        <v>952</v>
      </c>
      <c r="E29" s="641" t="s">
        <v>953</v>
      </c>
      <c r="F29" s="641" t="s">
        <v>954</v>
      </c>
      <c r="G29" s="641" t="s">
        <v>949</v>
      </c>
      <c r="H29" s="641" t="s">
        <v>950</v>
      </c>
      <c r="I29" s="641" t="s">
        <v>955</v>
      </c>
      <c r="J29" s="788">
        <v>39778</v>
      </c>
      <c r="K29" s="788">
        <v>39806</v>
      </c>
      <c r="L29" s="641" t="s">
        <v>951</v>
      </c>
      <c r="M29" s="641">
        <v>801</v>
      </c>
      <c r="N29" s="641">
        <v>3604.5</v>
      </c>
      <c r="O29" s="641">
        <v>5149.2857142857147</v>
      </c>
      <c r="P29" s="641">
        <v>10298.571428571429</v>
      </c>
      <c r="Q29" s="641">
        <v>0</v>
      </c>
      <c r="R29" s="641">
        <v>0</v>
      </c>
      <c r="S29" s="641">
        <v>0</v>
      </c>
      <c r="T29" s="641">
        <v>0</v>
      </c>
      <c r="U29" s="641">
        <v>0</v>
      </c>
      <c r="V29" s="641">
        <v>0</v>
      </c>
      <c r="W29" s="641"/>
      <c r="X29" s="641">
        <v>10</v>
      </c>
      <c r="Y29" s="641" t="s">
        <v>112</v>
      </c>
      <c r="Z29" s="643" t="s">
        <v>112</v>
      </c>
    </row>
    <row r="30" spans="1:26" s="595" customFormat="1" ht="25.5">
      <c r="A30" s="594"/>
      <c r="B30" s="789">
        <v>11053</v>
      </c>
      <c r="C30" s="789">
        <v>2990</v>
      </c>
      <c r="D30" s="642" t="s">
        <v>956</v>
      </c>
      <c r="E30" s="641" t="s">
        <v>957</v>
      </c>
      <c r="F30" s="641" t="s">
        <v>958</v>
      </c>
      <c r="G30" s="641" t="s">
        <v>949</v>
      </c>
      <c r="H30" s="641" t="s">
        <v>950</v>
      </c>
      <c r="I30" s="641" t="s">
        <v>957</v>
      </c>
      <c r="J30" s="788">
        <v>39798</v>
      </c>
      <c r="K30" s="788">
        <v>39798</v>
      </c>
      <c r="L30" s="641" t="s">
        <v>951</v>
      </c>
      <c r="M30" s="641">
        <v>1558</v>
      </c>
      <c r="N30" s="641">
        <v>7011</v>
      </c>
      <c r="O30" s="641">
        <v>10015.714285714286</v>
      </c>
      <c r="P30" s="641">
        <v>20031.428571428572</v>
      </c>
      <c r="Q30" s="641">
        <v>0</v>
      </c>
      <c r="R30" s="641">
        <v>0</v>
      </c>
      <c r="S30" s="641">
        <v>0</v>
      </c>
      <c r="T30" s="641">
        <v>0</v>
      </c>
      <c r="U30" s="641">
        <v>0</v>
      </c>
      <c r="V30" s="641">
        <v>0</v>
      </c>
      <c r="W30" s="641"/>
      <c r="X30" s="641">
        <v>10</v>
      </c>
      <c r="Y30" s="641" t="s">
        <v>112</v>
      </c>
      <c r="Z30" s="643" t="s">
        <v>112</v>
      </c>
    </row>
    <row r="31" spans="1:26" s="595" customFormat="1" ht="38.25">
      <c r="A31" s="594"/>
      <c r="B31" s="789">
        <v>11053</v>
      </c>
      <c r="C31" s="789">
        <v>2990</v>
      </c>
      <c r="D31" s="642" t="s">
        <v>959</v>
      </c>
      <c r="E31" s="641" t="s">
        <v>960</v>
      </c>
      <c r="F31" s="641" t="s">
        <v>961</v>
      </c>
      <c r="G31" s="641" t="s">
        <v>949</v>
      </c>
      <c r="H31" s="641" t="s">
        <v>950</v>
      </c>
      <c r="I31" s="641" t="s">
        <v>960</v>
      </c>
      <c r="J31" s="788">
        <v>40259</v>
      </c>
      <c r="K31" s="788">
        <v>39255</v>
      </c>
      <c r="L31" s="641" t="s">
        <v>951</v>
      </c>
      <c r="M31" s="641">
        <v>3435</v>
      </c>
      <c r="N31" s="641">
        <v>15457.5</v>
      </c>
      <c r="O31" s="641">
        <v>22082.142857142859</v>
      </c>
      <c r="P31" s="641">
        <v>44164.285714285717</v>
      </c>
      <c r="Q31" s="641">
        <v>0</v>
      </c>
      <c r="R31" s="641">
        <v>0</v>
      </c>
      <c r="S31" s="641">
        <v>0</v>
      </c>
      <c r="T31" s="641">
        <v>0</v>
      </c>
      <c r="U31" s="641">
        <v>0</v>
      </c>
      <c r="V31" s="641">
        <v>0</v>
      </c>
      <c r="W31" s="641"/>
      <c r="X31" s="641">
        <v>10</v>
      </c>
      <c r="Y31" s="641" t="s">
        <v>112</v>
      </c>
      <c r="Z31" s="643" t="s">
        <v>112</v>
      </c>
    </row>
    <row r="32" spans="1:26" s="595" customFormat="1" ht="25.5">
      <c r="A32" s="594"/>
      <c r="B32" s="789">
        <v>11053</v>
      </c>
      <c r="C32" s="789">
        <v>2990</v>
      </c>
      <c r="D32" s="642" t="s">
        <v>962</v>
      </c>
      <c r="E32" s="641" t="s">
        <v>963</v>
      </c>
      <c r="F32" s="641" t="s">
        <v>964</v>
      </c>
      <c r="G32" s="641" t="s">
        <v>949</v>
      </c>
      <c r="H32" s="641" t="s">
        <v>950</v>
      </c>
      <c r="I32" s="641" t="s">
        <v>963</v>
      </c>
      <c r="J32" s="788">
        <v>40941</v>
      </c>
      <c r="K32" s="788">
        <v>40941</v>
      </c>
      <c r="L32" s="641" t="s">
        <v>951</v>
      </c>
      <c r="M32" s="641">
        <v>2000</v>
      </c>
      <c r="N32" s="641">
        <v>4500</v>
      </c>
      <c r="O32" s="641">
        <v>6428.5714285714284</v>
      </c>
      <c r="P32" s="641">
        <v>12857.142857142859</v>
      </c>
      <c r="Q32" s="641">
        <v>0</v>
      </c>
      <c r="R32" s="641">
        <v>0</v>
      </c>
      <c r="S32" s="641">
        <v>0</v>
      </c>
      <c r="T32" s="641">
        <v>0</v>
      </c>
      <c r="U32" s="641">
        <v>0</v>
      </c>
      <c r="V32" s="641">
        <v>0</v>
      </c>
      <c r="W32" s="641"/>
      <c r="X32" s="641">
        <v>10</v>
      </c>
      <c r="Y32" s="641" t="s">
        <v>112</v>
      </c>
      <c r="Z32" s="643" t="s">
        <v>112</v>
      </c>
    </row>
    <row r="33" spans="1:26" s="595" customFormat="1" ht="25.5">
      <c r="A33" s="594"/>
      <c r="B33" s="789">
        <v>11053</v>
      </c>
      <c r="C33" s="789">
        <v>2990</v>
      </c>
      <c r="D33" s="642" t="s">
        <v>965</v>
      </c>
      <c r="E33" s="641" t="s">
        <v>966</v>
      </c>
      <c r="F33" s="641" t="s">
        <v>967</v>
      </c>
      <c r="G33" s="641" t="s">
        <v>949</v>
      </c>
      <c r="H33" s="641" t="s">
        <v>950</v>
      </c>
      <c r="I33" s="641" t="s">
        <v>968</v>
      </c>
      <c r="J33" s="788">
        <v>41086</v>
      </c>
      <c r="K33" s="788">
        <v>41244</v>
      </c>
      <c r="L33" s="641" t="s">
        <v>951</v>
      </c>
      <c r="M33" s="641">
        <v>9.6999999999999993</v>
      </c>
      <c r="N33" s="641">
        <v>3.6374999999999993</v>
      </c>
      <c r="O33" s="641">
        <v>5.1964285714285703</v>
      </c>
      <c r="P33" s="641">
        <v>0</v>
      </c>
      <c r="Q33" s="641">
        <v>10.392857142857142</v>
      </c>
      <c r="R33" s="641">
        <v>0</v>
      </c>
      <c r="S33" s="641">
        <v>0</v>
      </c>
      <c r="T33" s="641">
        <v>0</v>
      </c>
      <c r="U33" s="641">
        <v>0</v>
      </c>
      <c r="V33" s="641">
        <v>0</v>
      </c>
      <c r="W33" s="641"/>
      <c r="X33" s="641">
        <v>10</v>
      </c>
      <c r="Y33" s="641" t="s">
        <v>112</v>
      </c>
      <c r="Z33" s="643" t="s">
        <v>112</v>
      </c>
    </row>
    <row r="34" spans="1:26" s="595" customFormat="1" ht="25.5">
      <c r="A34" s="594"/>
      <c r="B34" s="789">
        <v>11053</v>
      </c>
      <c r="C34" s="789">
        <v>2990</v>
      </c>
      <c r="D34" s="642" t="s">
        <v>965</v>
      </c>
      <c r="E34" s="641" t="s">
        <v>966</v>
      </c>
      <c r="F34" s="641" t="s">
        <v>969</v>
      </c>
      <c r="G34" s="641" t="s">
        <v>949</v>
      </c>
      <c r="H34" s="641" t="s">
        <v>950</v>
      </c>
      <c r="I34" s="641" t="s">
        <v>970</v>
      </c>
      <c r="J34" s="788">
        <v>41086</v>
      </c>
      <c r="K34" s="788">
        <v>41244</v>
      </c>
      <c r="L34" s="641" t="s">
        <v>951</v>
      </c>
      <c r="M34" s="641">
        <v>9.6999999999999993</v>
      </c>
      <c r="N34" s="641">
        <v>3.6374999999999993</v>
      </c>
      <c r="O34" s="641">
        <v>5.1964285714285703</v>
      </c>
      <c r="P34" s="641">
        <v>0</v>
      </c>
      <c r="Q34" s="641">
        <v>10.392857142857142</v>
      </c>
      <c r="R34" s="641">
        <v>0</v>
      </c>
      <c r="S34" s="641">
        <v>0</v>
      </c>
      <c r="T34" s="641">
        <v>0</v>
      </c>
      <c r="U34" s="641">
        <v>0</v>
      </c>
      <c r="V34" s="641">
        <v>0</v>
      </c>
      <c r="W34" s="641"/>
      <c r="X34" s="641">
        <v>10</v>
      </c>
      <c r="Y34" s="641" t="s">
        <v>112</v>
      </c>
      <c r="Z34" s="643" t="s">
        <v>112</v>
      </c>
    </row>
    <row r="35" spans="1:26" s="595" customFormat="1" ht="25.5">
      <c r="A35" s="594"/>
      <c r="B35" s="789">
        <v>11053</v>
      </c>
      <c r="C35" s="789">
        <v>2990</v>
      </c>
      <c r="D35" s="642" t="s">
        <v>965</v>
      </c>
      <c r="E35" s="641" t="s">
        <v>966</v>
      </c>
      <c r="F35" s="641" t="s">
        <v>971</v>
      </c>
      <c r="G35" s="641" t="s">
        <v>949</v>
      </c>
      <c r="H35" s="641" t="s">
        <v>950</v>
      </c>
      <c r="I35" s="641" t="s">
        <v>972</v>
      </c>
      <c r="J35" s="788">
        <v>41086</v>
      </c>
      <c r="K35" s="788">
        <v>41214</v>
      </c>
      <c r="L35" s="641" t="s">
        <v>951</v>
      </c>
      <c r="M35" s="641">
        <v>9.6999999999999993</v>
      </c>
      <c r="N35" s="641">
        <v>3.9681818181818178</v>
      </c>
      <c r="O35" s="641">
        <v>5.6688311688311686</v>
      </c>
      <c r="P35" s="641">
        <v>0</v>
      </c>
      <c r="Q35" s="641">
        <v>11.337662337662337</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12963.100000000002</v>
      </c>
      <c r="N58" s="599">
        <f>SUM(N28:N57)</f>
        <v>53714.243181818179</v>
      </c>
      <c r="O58" s="599">
        <f t="shared" ref="O58:W58" si="2">SUM(O28:O57)</f>
        <v>76734.633116883138</v>
      </c>
      <c r="P58" s="599">
        <f t="shared" si="2"/>
        <v>153437.14285714287</v>
      </c>
      <c r="Q58" s="599">
        <f t="shared" si="2"/>
        <v>32.123376623376622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12963.100000000002</v>
      </c>
      <c r="N61" s="604">
        <f t="shared" si="4"/>
        <v>53714.243181818179</v>
      </c>
      <c r="O61" s="604">
        <f t="shared" si="4"/>
        <v>76734.633116883138</v>
      </c>
      <c r="P61" s="604">
        <f t="shared" si="4"/>
        <v>153437.14285714287</v>
      </c>
      <c r="Q61" s="604">
        <f t="shared" si="4"/>
        <v>32.123376623376622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0.58823529411764719</v>
      </c>
      <c r="C98" s="624">
        <f>IF(ISERROR(N58/(O58+N58)),0,N58/(N58+O58))</f>
        <v>0.41176470588235287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63179.999999999993</v>
      </c>
      <c r="C101" s="633">
        <f t="shared" si="9"/>
        <v>13.227272727272725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90257.142857142884</v>
      </c>
      <c r="C102" s="636">
        <f t="shared" si="10"/>
        <v>18.896103896103899</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40762.058540465012</v>
      </c>
      <c r="C4" s="461">
        <f>huishoudens!C8</f>
        <v>0</v>
      </c>
      <c r="D4" s="461">
        <f>huishoudens!D8</f>
        <v>88290.496829837299</v>
      </c>
      <c r="E4" s="461">
        <f>huishoudens!E8</f>
        <v>10828.371337104112</v>
      </c>
      <c r="F4" s="461">
        <f>huishoudens!F8</f>
        <v>0</v>
      </c>
      <c r="G4" s="461">
        <f>huishoudens!G8</f>
        <v>0</v>
      </c>
      <c r="H4" s="461">
        <f>huishoudens!H8</f>
        <v>0</v>
      </c>
      <c r="I4" s="461">
        <f>huishoudens!I8</f>
        <v>0</v>
      </c>
      <c r="J4" s="461">
        <f>huishoudens!J8</f>
        <v>413.39694656178187</v>
      </c>
      <c r="K4" s="461">
        <f>huishoudens!K8</f>
        <v>0</v>
      </c>
      <c r="L4" s="461">
        <f>huishoudens!L8</f>
        <v>0</v>
      </c>
      <c r="M4" s="461">
        <f>huishoudens!M8</f>
        <v>0</v>
      </c>
      <c r="N4" s="461">
        <f>huishoudens!N8</f>
        <v>27794.640913159827</v>
      </c>
      <c r="O4" s="461">
        <f>huishoudens!O8</f>
        <v>106.30666666666667</v>
      </c>
      <c r="P4" s="462">
        <f>huishoudens!P8</f>
        <v>858</v>
      </c>
      <c r="Q4" s="463">
        <f>SUM(B4:P4)</f>
        <v>169053.27123379472</v>
      </c>
    </row>
    <row r="5" spans="1:17">
      <c r="A5" s="460" t="s">
        <v>156</v>
      </c>
      <c r="B5" s="461">
        <f ca="1">tertiair!B16</f>
        <v>14070.378774667946</v>
      </c>
      <c r="C5" s="461">
        <f ca="1">tertiair!C16</f>
        <v>0</v>
      </c>
      <c r="D5" s="461">
        <f ca="1">tertiair!D16</f>
        <v>16299.936780801152</v>
      </c>
      <c r="E5" s="461">
        <f>tertiair!E16</f>
        <v>124.2043827670839</v>
      </c>
      <c r="F5" s="461">
        <f ca="1">tertiair!F16</f>
        <v>2890.3388932689095</v>
      </c>
      <c r="G5" s="461">
        <f>tertiair!G16</f>
        <v>0</v>
      </c>
      <c r="H5" s="461">
        <f>tertiair!H16</f>
        <v>0</v>
      </c>
      <c r="I5" s="461">
        <f>tertiair!I16</f>
        <v>0</v>
      </c>
      <c r="J5" s="461">
        <f>tertiair!J16</f>
        <v>0</v>
      </c>
      <c r="K5" s="461">
        <f>tertiair!K16</f>
        <v>0</v>
      </c>
      <c r="L5" s="461">
        <f ca="1">tertiair!L16</f>
        <v>0</v>
      </c>
      <c r="M5" s="461">
        <f>tertiair!M16</f>
        <v>0</v>
      </c>
      <c r="N5" s="461">
        <f ca="1">tertiair!N16</f>
        <v>1416.0511860024576</v>
      </c>
      <c r="O5" s="461">
        <f>tertiair!O16</f>
        <v>1.5633333333333335</v>
      </c>
      <c r="P5" s="462">
        <f>tertiair!P16</f>
        <v>0</v>
      </c>
      <c r="Q5" s="460">
        <f t="shared" ref="Q5:Q14" ca="1" si="0">SUM(B5:P5)</f>
        <v>34802.473350840875</v>
      </c>
    </row>
    <row r="6" spans="1:17">
      <c r="A6" s="460" t="s">
        <v>194</v>
      </c>
      <c r="B6" s="461">
        <f>'openbare verlichting'!B8</f>
        <v>1409.2170000000001</v>
      </c>
      <c r="C6" s="461"/>
      <c r="D6" s="461"/>
      <c r="E6" s="461"/>
      <c r="F6" s="461"/>
      <c r="G6" s="461"/>
      <c r="H6" s="461"/>
      <c r="I6" s="461"/>
      <c r="J6" s="461"/>
      <c r="K6" s="461"/>
      <c r="L6" s="461"/>
      <c r="M6" s="461"/>
      <c r="N6" s="461"/>
      <c r="O6" s="461"/>
      <c r="P6" s="462"/>
      <c r="Q6" s="460">
        <f t="shared" si="0"/>
        <v>1409.2170000000001</v>
      </c>
    </row>
    <row r="7" spans="1:17">
      <c r="A7" s="460" t="s">
        <v>112</v>
      </c>
      <c r="B7" s="461">
        <f>landbouw!B8</f>
        <v>11116.796073118199</v>
      </c>
      <c r="C7" s="461">
        <f>landbouw!C8</f>
        <v>76734.633116883138</v>
      </c>
      <c r="D7" s="461">
        <f>landbouw!D8</f>
        <v>0</v>
      </c>
      <c r="E7" s="461">
        <f>landbouw!E8</f>
        <v>104.72766750647622</v>
      </c>
      <c r="F7" s="461">
        <f>landbouw!F8</f>
        <v>36277.794927191426</v>
      </c>
      <c r="G7" s="461">
        <f>landbouw!G8</f>
        <v>0</v>
      </c>
      <c r="H7" s="461">
        <f>landbouw!H8</f>
        <v>0</v>
      </c>
      <c r="I7" s="461">
        <f>landbouw!I8</f>
        <v>0</v>
      </c>
      <c r="J7" s="461">
        <f>landbouw!J8</f>
        <v>1375.2017463304342</v>
      </c>
      <c r="K7" s="461">
        <f>landbouw!K8</f>
        <v>0</v>
      </c>
      <c r="L7" s="461">
        <f>landbouw!L8</f>
        <v>0</v>
      </c>
      <c r="M7" s="461">
        <f>landbouw!M8</f>
        <v>0</v>
      </c>
      <c r="N7" s="461">
        <f>landbouw!N8</f>
        <v>0</v>
      </c>
      <c r="O7" s="461">
        <f>landbouw!O8</f>
        <v>0</v>
      </c>
      <c r="P7" s="462">
        <f>landbouw!P8</f>
        <v>0</v>
      </c>
      <c r="Q7" s="460">
        <f t="shared" si="0"/>
        <v>125609.15353102967</v>
      </c>
    </row>
    <row r="8" spans="1:17">
      <c r="A8" s="460" t="s">
        <v>685</v>
      </c>
      <c r="B8" s="461">
        <f>industrie!B18</f>
        <v>7173.0709533023391</v>
      </c>
      <c r="C8" s="461">
        <f>industrie!C18</f>
        <v>0</v>
      </c>
      <c r="D8" s="461">
        <f>industrie!D18</f>
        <v>6811.7690540467847</v>
      </c>
      <c r="E8" s="461">
        <f>industrie!E18</f>
        <v>58.972643010386918</v>
      </c>
      <c r="F8" s="461">
        <f>industrie!F18</f>
        <v>2904.8376005969753</v>
      </c>
      <c r="G8" s="461">
        <f>industrie!G18</f>
        <v>0</v>
      </c>
      <c r="H8" s="461">
        <f>industrie!H18</f>
        <v>0</v>
      </c>
      <c r="I8" s="461">
        <f>industrie!I18</f>
        <v>0</v>
      </c>
      <c r="J8" s="461">
        <f>industrie!J18</f>
        <v>28.515327081935993</v>
      </c>
      <c r="K8" s="461">
        <f>industrie!K18</f>
        <v>0</v>
      </c>
      <c r="L8" s="461">
        <f>industrie!L18</f>
        <v>0</v>
      </c>
      <c r="M8" s="461">
        <f>industrie!M18</f>
        <v>0</v>
      </c>
      <c r="N8" s="461">
        <f>industrie!N18</f>
        <v>349.11069381915786</v>
      </c>
      <c r="O8" s="461">
        <f>industrie!O18</f>
        <v>0</v>
      </c>
      <c r="P8" s="462">
        <f>industrie!P18</f>
        <v>0</v>
      </c>
      <c r="Q8" s="460">
        <f t="shared" si="0"/>
        <v>17326.276271857583</v>
      </c>
    </row>
    <row r="9" spans="1:17" s="466" customFormat="1">
      <c r="A9" s="464" t="s">
        <v>579</v>
      </c>
      <c r="B9" s="465">
        <f>transport!B14</f>
        <v>3.6865784038080007</v>
      </c>
      <c r="C9" s="465">
        <f>transport!C14</f>
        <v>0</v>
      </c>
      <c r="D9" s="465">
        <f>transport!D14</f>
        <v>9.7148325511941422</v>
      </c>
      <c r="E9" s="465">
        <f>transport!E14</f>
        <v>643.51876726732326</v>
      </c>
      <c r="F9" s="465">
        <f>transport!F14</f>
        <v>0</v>
      </c>
      <c r="G9" s="465">
        <f>transport!G14</f>
        <v>172668.59789216134</v>
      </c>
      <c r="H9" s="465">
        <f>transport!H14</f>
        <v>22361.989435105177</v>
      </c>
      <c r="I9" s="465">
        <f>transport!I14</f>
        <v>0</v>
      </c>
      <c r="J9" s="465">
        <f>transport!J14</f>
        <v>0</v>
      </c>
      <c r="K9" s="465">
        <f>transport!K14</f>
        <v>0</v>
      </c>
      <c r="L9" s="465">
        <f>transport!L14</f>
        <v>0</v>
      </c>
      <c r="M9" s="465">
        <f>transport!M14</f>
        <v>8711.9408937855715</v>
      </c>
      <c r="N9" s="465">
        <f>transport!N14</f>
        <v>0</v>
      </c>
      <c r="O9" s="465">
        <f>transport!O14</f>
        <v>0</v>
      </c>
      <c r="P9" s="465">
        <f>transport!P14</f>
        <v>0</v>
      </c>
      <c r="Q9" s="464">
        <f>SUM(B9:P9)</f>
        <v>204399.44839927441</v>
      </c>
    </row>
    <row r="10" spans="1:17">
      <c r="A10" s="460" t="s">
        <v>569</v>
      </c>
      <c r="B10" s="461">
        <f>transport!B54</f>
        <v>0</v>
      </c>
      <c r="C10" s="461">
        <f>transport!C54</f>
        <v>0</v>
      </c>
      <c r="D10" s="461">
        <f>transport!D54</f>
        <v>0</v>
      </c>
      <c r="E10" s="461">
        <f>transport!E54</f>
        <v>0</v>
      </c>
      <c r="F10" s="461">
        <f>transport!F54</f>
        <v>0</v>
      </c>
      <c r="G10" s="461">
        <f>transport!G54</f>
        <v>2088.720210088728</v>
      </c>
      <c r="H10" s="461">
        <f>transport!H54</f>
        <v>0</v>
      </c>
      <c r="I10" s="461">
        <f>transport!I54</f>
        <v>0</v>
      </c>
      <c r="J10" s="461">
        <f>transport!J54</f>
        <v>0</v>
      </c>
      <c r="K10" s="461">
        <f>transport!K54</f>
        <v>0</v>
      </c>
      <c r="L10" s="461">
        <f>transport!L54</f>
        <v>0</v>
      </c>
      <c r="M10" s="461">
        <f>transport!M54</f>
        <v>91.719149984506075</v>
      </c>
      <c r="N10" s="461">
        <f>transport!N54</f>
        <v>0</v>
      </c>
      <c r="O10" s="461">
        <f>transport!O54</f>
        <v>0</v>
      </c>
      <c r="P10" s="462">
        <f>transport!P54</f>
        <v>0</v>
      </c>
      <c r="Q10" s="460">
        <f t="shared" si="0"/>
        <v>2180.4393600732342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1406.5847368001801</v>
      </c>
      <c r="C14" s="468"/>
      <c r="D14" s="468">
        <f>'SEAP template'!E25</f>
        <v>2499.1791810896602</v>
      </c>
      <c r="E14" s="468"/>
      <c r="F14" s="468"/>
      <c r="G14" s="468"/>
      <c r="H14" s="468"/>
      <c r="I14" s="468"/>
      <c r="J14" s="468"/>
      <c r="K14" s="468"/>
      <c r="L14" s="468"/>
      <c r="M14" s="468"/>
      <c r="N14" s="468"/>
      <c r="O14" s="468"/>
      <c r="P14" s="469"/>
      <c r="Q14" s="460">
        <f t="shared" si="0"/>
        <v>3905.7639178898403</v>
      </c>
    </row>
    <row r="15" spans="1:17" s="473" customFormat="1">
      <c r="A15" s="470" t="s">
        <v>573</v>
      </c>
      <c r="B15" s="471">
        <f ca="1">SUM(B4:B14)</f>
        <v>75941.792656757476</v>
      </c>
      <c r="C15" s="471">
        <f t="shared" ref="C15:Q15" ca="1" si="1">SUM(C4:C14)</f>
        <v>76734.633116883138</v>
      </c>
      <c r="D15" s="471">
        <f t="shared" ca="1" si="1"/>
        <v>113911.0966783261</v>
      </c>
      <c r="E15" s="471">
        <f t="shared" si="1"/>
        <v>11759.794797655384</v>
      </c>
      <c r="F15" s="471">
        <f t="shared" ca="1" si="1"/>
        <v>42072.971421057315</v>
      </c>
      <c r="G15" s="471">
        <f t="shared" si="1"/>
        <v>174757.31810225008</v>
      </c>
      <c r="H15" s="471">
        <f t="shared" si="1"/>
        <v>22361.989435105177</v>
      </c>
      <c r="I15" s="471">
        <f t="shared" si="1"/>
        <v>0</v>
      </c>
      <c r="J15" s="471">
        <f t="shared" si="1"/>
        <v>1817.1140199741521</v>
      </c>
      <c r="K15" s="471">
        <f t="shared" si="1"/>
        <v>0</v>
      </c>
      <c r="L15" s="471">
        <f t="shared" ca="1" si="1"/>
        <v>0</v>
      </c>
      <c r="M15" s="471">
        <f t="shared" si="1"/>
        <v>8803.6600437700781</v>
      </c>
      <c r="N15" s="471">
        <f t="shared" ca="1" si="1"/>
        <v>29559.802792981442</v>
      </c>
      <c r="O15" s="471">
        <f t="shared" si="1"/>
        <v>107.87</v>
      </c>
      <c r="P15" s="471">
        <f t="shared" si="1"/>
        <v>858</v>
      </c>
      <c r="Q15" s="471">
        <f t="shared" ca="1" si="1"/>
        <v>558686.04306476016</v>
      </c>
    </row>
    <row r="17" spans="1:17">
      <c r="A17" s="474" t="s">
        <v>574</v>
      </c>
      <c r="B17" s="778">
        <f ca="1">huishoudens!B10</f>
        <v>0.29003984766853913</v>
      </c>
      <c r="C17" s="778">
        <f ca="1">huishoudens!C10</f>
        <v>0.23759731579574694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11822.621249732547</v>
      </c>
      <c r="C22" s="461">
        <f t="shared" ref="C22:C32" ca="1" si="3">C4*$C$17</f>
        <v>0</v>
      </c>
      <c r="D22" s="461">
        <f t="shared" ref="D22:D32" si="4">D4*$D$17</f>
        <v>17834.680359627135</v>
      </c>
      <c r="E22" s="461">
        <f t="shared" ref="E22:E32" si="5">E4*$E$17</f>
        <v>2458.0402935226334</v>
      </c>
      <c r="F22" s="461">
        <f t="shared" ref="F22:F32" si="6">F4*$F$17</f>
        <v>0</v>
      </c>
      <c r="G22" s="461">
        <f t="shared" ref="G22:G32" si="7">G4*$G$17</f>
        <v>0</v>
      </c>
      <c r="H22" s="461">
        <f t="shared" ref="H22:H32" si="8">H4*$H$17</f>
        <v>0</v>
      </c>
      <c r="I22" s="461">
        <f t="shared" ref="I22:I32" si="9">I4*$I$17</f>
        <v>0</v>
      </c>
      <c r="J22" s="461">
        <f t="shared" ref="J22:J32" si="10">J4*$J$17</f>
        <v>146.34251908287078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32261.684421965187</v>
      </c>
    </row>
    <row r="23" spans="1:17">
      <c r="A23" s="460" t="s">
        <v>156</v>
      </c>
      <c r="B23" s="461">
        <f t="shared" ca="1" si="2"/>
        <v>4080.9705164433376</v>
      </c>
      <c r="C23" s="461">
        <f t="shared" ca="1" si="3"/>
        <v>0</v>
      </c>
      <c r="D23" s="461">
        <f t="shared" ca="1" si="4"/>
        <v>3292.587229721833</v>
      </c>
      <c r="E23" s="461">
        <f t="shared" si="5"/>
        <v>28.194394888128045</v>
      </c>
      <c r="F23" s="461">
        <f t="shared" ca="1" si="6"/>
        <v>771.72048450279885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8173.4726255560972</v>
      </c>
    </row>
    <row r="24" spans="1:17">
      <c r="A24" s="460" t="s">
        <v>194</v>
      </c>
      <c r="B24" s="461">
        <f t="shared" ca="1" si="2"/>
        <v>408.72908401191575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408.72908401191575</v>
      </c>
    </row>
    <row r="25" spans="1:17">
      <c r="A25" s="460" t="s">
        <v>112</v>
      </c>
      <c r="B25" s="461">
        <f t="shared" ca="1" si="2"/>
        <v>3224.3138396094164</v>
      </c>
      <c r="C25" s="461">
        <f t="shared" ca="1" si="3"/>
        <v>18231.942857142865</v>
      </c>
      <c r="D25" s="461">
        <f t="shared" si="4"/>
        <v>0</v>
      </c>
      <c r="E25" s="461">
        <f t="shared" si="5"/>
        <v>23.773180523970105</v>
      </c>
      <c r="F25" s="461">
        <f t="shared" si="6"/>
        <v>9686.1712455601119</v>
      </c>
      <c r="G25" s="461">
        <f t="shared" si="7"/>
        <v>0</v>
      </c>
      <c r="H25" s="461">
        <f t="shared" si="8"/>
        <v>0</v>
      </c>
      <c r="I25" s="461">
        <f t="shared" si="9"/>
        <v>0</v>
      </c>
      <c r="J25" s="461">
        <f t="shared" si="10"/>
        <v>486.82141820097365</v>
      </c>
      <c r="K25" s="461">
        <f t="shared" si="11"/>
        <v>0</v>
      </c>
      <c r="L25" s="461">
        <f t="shared" si="12"/>
        <v>0</v>
      </c>
      <c r="M25" s="461">
        <f t="shared" si="13"/>
        <v>0</v>
      </c>
      <c r="N25" s="461">
        <f t="shared" si="14"/>
        <v>0</v>
      </c>
      <c r="O25" s="461">
        <f t="shared" si="15"/>
        <v>0</v>
      </c>
      <c r="P25" s="462">
        <f t="shared" si="16"/>
        <v>0</v>
      </c>
      <c r="Q25" s="460">
        <f t="shared" ca="1" si="17"/>
        <v>31653.022541037335</v>
      </c>
    </row>
    <row r="26" spans="1:17">
      <c r="A26" s="460" t="s">
        <v>685</v>
      </c>
      <c r="B26" s="461">
        <f t="shared" ca="1" si="2"/>
        <v>2080.476406611433</v>
      </c>
      <c r="C26" s="461">
        <f t="shared" ca="1" si="3"/>
        <v>0</v>
      </c>
      <c r="D26" s="461">
        <f t="shared" si="4"/>
        <v>1375.9773489174506</v>
      </c>
      <c r="E26" s="461">
        <f t="shared" si="5"/>
        <v>13.386789963357831</v>
      </c>
      <c r="F26" s="461">
        <f t="shared" si="6"/>
        <v>775.5916393593925</v>
      </c>
      <c r="G26" s="461">
        <f t="shared" si="7"/>
        <v>0</v>
      </c>
      <c r="H26" s="461">
        <f t="shared" si="8"/>
        <v>0</v>
      </c>
      <c r="I26" s="461">
        <f t="shared" si="9"/>
        <v>0</v>
      </c>
      <c r="J26" s="461">
        <f t="shared" si="10"/>
        <v>10.09442578700534</v>
      </c>
      <c r="K26" s="461">
        <f t="shared" si="11"/>
        <v>0</v>
      </c>
      <c r="L26" s="461">
        <f t="shared" si="12"/>
        <v>0</v>
      </c>
      <c r="M26" s="461">
        <f t="shared" si="13"/>
        <v>0</v>
      </c>
      <c r="N26" s="461">
        <f t="shared" si="14"/>
        <v>0</v>
      </c>
      <c r="O26" s="461">
        <f t="shared" si="15"/>
        <v>0</v>
      </c>
      <c r="P26" s="462">
        <f t="shared" si="16"/>
        <v>0</v>
      </c>
      <c r="Q26" s="460">
        <f t="shared" ca="1" si="17"/>
        <v>4255.5266106386389</v>
      </c>
    </row>
    <row r="27" spans="1:17" s="466" customFormat="1">
      <c r="A27" s="464" t="s">
        <v>579</v>
      </c>
      <c r="B27" s="772">
        <f t="shared" ca="1" si="2"/>
        <v>1.0692546386585986</v>
      </c>
      <c r="C27" s="465">
        <f t="shared" ca="1" si="3"/>
        <v>0</v>
      </c>
      <c r="D27" s="465">
        <f t="shared" si="4"/>
        <v>1.9623961753412169</v>
      </c>
      <c r="E27" s="465">
        <f t="shared" si="5"/>
        <v>146.0787601696824</v>
      </c>
      <c r="F27" s="465">
        <f t="shared" si="6"/>
        <v>0</v>
      </c>
      <c r="G27" s="465">
        <f t="shared" si="7"/>
        <v>46102.515637207078</v>
      </c>
      <c r="H27" s="465">
        <f t="shared" si="8"/>
        <v>5568.1353693411893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51819.761417531947</v>
      </c>
    </row>
    <row r="28" spans="1:17">
      <c r="A28" s="460" t="s">
        <v>569</v>
      </c>
      <c r="B28" s="461">
        <f t="shared" ca="1" si="2"/>
        <v>0</v>
      </c>
      <c r="C28" s="461">
        <f t="shared" ca="1" si="3"/>
        <v>0</v>
      </c>
      <c r="D28" s="461">
        <f t="shared" si="4"/>
        <v>0</v>
      </c>
      <c r="E28" s="461">
        <f t="shared" si="5"/>
        <v>0</v>
      </c>
      <c r="F28" s="461">
        <f t="shared" si="6"/>
        <v>0</v>
      </c>
      <c r="G28" s="461">
        <f t="shared" si="7"/>
        <v>557.68829609369038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557.68829609369038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407.96562279441645</v>
      </c>
      <c r="C32" s="461">
        <f t="shared" ca="1" si="3"/>
        <v>0</v>
      </c>
      <c r="D32" s="461">
        <f t="shared" si="4"/>
        <v>504.83419458011139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912.79981737452783</v>
      </c>
    </row>
    <row r="33" spans="1:17" s="473" customFormat="1">
      <c r="A33" s="470" t="s">
        <v>573</v>
      </c>
      <c r="B33" s="471">
        <f ca="1">SUM(B22:B32)</f>
        <v>22026.145973841729</v>
      </c>
      <c r="C33" s="471">
        <f t="shared" ref="C33:Q33" ca="1" si="18">SUM(C22:C32)</f>
        <v>18231.942857142865</v>
      </c>
      <c r="D33" s="471">
        <f t="shared" ca="1" si="18"/>
        <v>23010.041529021873</v>
      </c>
      <c r="E33" s="471">
        <f t="shared" si="18"/>
        <v>2669.4734190677718</v>
      </c>
      <c r="F33" s="471">
        <f t="shared" ca="1" si="18"/>
        <v>11233.483369422303</v>
      </c>
      <c r="G33" s="471">
        <f t="shared" si="18"/>
        <v>46660.203933300771</v>
      </c>
      <c r="H33" s="471">
        <f t="shared" si="18"/>
        <v>5568.1353693411893</v>
      </c>
      <c r="I33" s="471">
        <f t="shared" si="18"/>
        <v>0</v>
      </c>
      <c r="J33" s="471">
        <f t="shared" si="18"/>
        <v>643.25836307084978</v>
      </c>
      <c r="K33" s="471">
        <f t="shared" si="18"/>
        <v>0</v>
      </c>
      <c r="L33" s="471">
        <f t="shared" ca="1" si="18"/>
        <v>0</v>
      </c>
      <c r="M33" s="471">
        <f t="shared" si="18"/>
        <v>0</v>
      </c>
      <c r="N33" s="471">
        <f t="shared" ca="1" si="18"/>
        <v>0</v>
      </c>
      <c r="O33" s="471">
        <f t="shared" si="18"/>
        <v>0</v>
      </c>
      <c r="P33" s="471">
        <f t="shared" si="18"/>
        <v>0</v>
      </c>
      <c r="Q33" s="471">
        <f t="shared" ca="1" si="18"/>
        <v>130042.68481420935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26653.028448561028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7359.9374343342752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11.243181818181817</v>
      </c>
      <c r="C8" s="1037">
        <f>'SEAP template'!C76</f>
        <v>53703</v>
      </c>
      <c r="D8" s="1037">
        <f>'SEAP template'!D76</f>
        <v>63179.999999999993</v>
      </c>
      <c r="E8" s="1037">
        <f>'SEAP template'!E76</f>
        <v>0</v>
      </c>
      <c r="F8" s="1037">
        <f>'SEAP template'!F76</f>
        <v>0</v>
      </c>
      <c r="G8" s="1037">
        <f>'SEAP template'!G76</f>
        <v>0</v>
      </c>
      <c r="H8" s="1037">
        <f>'SEAP template'!H76</f>
        <v>0</v>
      </c>
      <c r="I8" s="1037">
        <f>'SEAP template'!I76</f>
        <v>0</v>
      </c>
      <c r="J8" s="1037">
        <f>'SEAP template'!J76</f>
        <v>13.227272727272725</v>
      </c>
      <c r="K8" s="1037">
        <f>'SEAP template'!K76</f>
        <v>0</v>
      </c>
      <c r="L8" s="1037">
        <f>'SEAP template'!L76</f>
        <v>0</v>
      </c>
      <c r="M8" s="1037">
        <f>'SEAP template'!M76</f>
        <v>0</v>
      </c>
      <c r="N8" s="1037">
        <f>'SEAP template'!N76</f>
        <v>0</v>
      </c>
      <c r="O8" s="1037">
        <f>'SEAP template'!O76</f>
        <v>0</v>
      </c>
      <c r="P8" s="1038">
        <f>'SEAP template'!Q76</f>
        <v>12762.359999999999</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34024.209064713483</v>
      </c>
      <c r="C10" s="1041">
        <f>SUM(C4:C9)</f>
        <v>53703</v>
      </c>
      <c r="D10" s="1041">
        <f t="shared" ref="D10:H10" si="0">SUM(D8:D9)</f>
        <v>63179.999999999993</v>
      </c>
      <c r="E10" s="1041">
        <f t="shared" si="0"/>
        <v>0</v>
      </c>
      <c r="F10" s="1041">
        <f t="shared" si="0"/>
        <v>0</v>
      </c>
      <c r="G10" s="1041">
        <f t="shared" si="0"/>
        <v>0</v>
      </c>
      <c r="H10" s="1041">
        <f t="shared" si="0"/>
        <v>0</v>
      </c>
      <c r="I10" s="1041">
        <f>SUM(I8:I9)</f>
        <v>0</v>
      </c>
      <c r="J10" s="1041">
        <f>SUM(J8:J9)</f>
        <v>13.227272727272725</v>
      </c>
      <c r="K10" s="1041">
        <f t="shared" ref="K10:L10" si="1">SUM(K8:K9)</f>
        <v>0</v>
      </c>
      <c r="L10" s="1041">
        <f t="shared" si="1"/>
        <v>0</v>
      </c>
      <c r="M10" s="1041">
        <f>SUM(M8:M9)</f>
        <v>0</v>
      </c>
      <c r="N10" s="1041">
        <f>SUM(N8:N9)</f>
        <v>0</v>
      </c>
      <c r="O10" s="1041">
        <f>SUM(O8:O9)</f>
        <v>0</v>
      </c>
      <c r="P10" s="1041">
        <f>SUM(P8:P9)</f>
        <v>12762.359999999999</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0.29003984766853913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16.061688311688314</v>
      </c>
      <c r="C17" s="1044">
        <f>'SEAP template'!C87</f>
        <v>76718.571428571449</v>
      </c>
      <c r="D17" s="1038">
        <f>'SEAP template'!D87</f>
        <v>90257.142857142884</v>
      </c>
      <c r="E17" s="1038">
        <f>'SEAP template'!E87</f>
        <v>0</v>
      </c>
      <c r="F17" s="1038">
        <f>'SEAP template'!F87</f>
        <v>0</v>
      </c>
      <c r="G17" s="1038">
        <f>'SEAP template'!G87</f>
        <v>0</v>
      </c>
      <c r="H17" s="1038">
        <f>'SEAP template'!H87</f>
        <v>0</v>
      </c>
      <c r="I17" s="1038">
        <f>'SEAP template'!I87</f>
        <v>0</v>
      </c>
      <c r="J17" s="1038">
        <f>'SEAP template'!J87</f>
        <v>18.896103896103899</v>
      </c>
      <c r="K17" s="1038">
        <f>'SEAP template'!K87</f>
        <v>0</v>
      </c>
      <c r="L17" s="1038">
        <f>'SEAP template'!L87</f>
        <v>0</v>
      </c>
      <c r="M17" s="1038">
        <f>'SEAP template'!M87</f>
        <v>0</v>
      </c>
      <c r="N17" s="1038">
        <f>'SEAP template'!N87</f>
        <v>0</v>
      </c>
      <c r="O17" s="1038">
        <f>'SEAP template'!O87</f>
        <v>0</v>
      </c>
      <c r="P17" s="1038">
        <f>'SEAP template'!Q87</f>
        <v>18231.942857142865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16.061688311688314</v>
      </c>
      <c r="C20" s="1041">
        <f>SUM(C17:C19)</f>
        <v>76718.571428571449</v>
      </c>
      <c r="D20" s="1041">
        <f t="shared" ref="D20:H20" si="2">SUM(D17:D19)</f>
        <v>90257.142857142884</v>
      </c>
      <c r="E20" s="1041">
        <f t="shared" si="2"/>
        <v>0</v>
      </c>
      <c r="F20" s="1041">
        <f t="shared" si="2"/>
        <v>0</v>
      </c>
      <c r="G20" s="1041">
        <f t="shared" si="2"/>
        <v>0</v>
      </c>
      <c r="H20" s="1041">
        <f t="shared" si="2"/>
        <v>0</v>
      </c>
      <c r="I20" s="1041">
        <f>SUM(I17:I19)</f>
        <v>0</v>
      </c>
      <c r="J20" s="1041">
        <f>SUM(J17:J19)</f>
        <v>18.896103896103899</v>
      </c>
      <c r="K20" s="1041">
        <f t="shared" ref="K20:L20" si="3">SUM(K17:K19)</f>
        <v>0</v>
      </c>
      <c r="L20" s="1041">
        <f t="shared" si="3"/>
        <v>0</v>
      </c>
      <c r="M20" s="1041">
        <f>SUM(M17:M19)</f>
        <v>0</v>
      </c>
      <c r="N20" s="1041">
        <f>SUM(N17:N19)</f>
        <v>0</v>
      </c>
      <c r="O20" s="1041">
        <f>SUM(O17:O19)</f>
        <v>0</v>
      </c>
      <c r="P20" s="1041">
        <f>SUM(P17:P19)</f>
        <v>18231.942857142865</v>
      </c>
    </row>
    <row r="22" spans="1:16">
      <c r="A22" s="474" t="s">
        <v>933</v>
      </c>
      <c r="B22" s="778" t="s">
        <v>927</v>
      </c>
      <c r="C22" s="778">
        <f ca="1">'EF ele_warmte'!B22</f>
        <v>0.23759731579574694</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0.29003984766853913</v>
      </c>
      <c r="C17" s="510">
        <f ca="1">'EF ele_warmte'!B22</f>
        <v>0.23759731579574694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2019-06-29T16:11:03Z</dcterms:modified>
</cp:coreProperties>
</file>