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C98" l="1"/>
  <c r="D101" s="1"/>
  <c r="B10"/>
  <c r="O9"/>
  <c r="O19"/>
  <c r="F20"/>
  <c r="O18"/>
  <c r="B17"/>
  <c r="B20" s="1"/>
  <c r="I102"/>
  <c r="H17" s="1"/>
  <c r="H20" s="1"/>
  <c r="E102"/>
  <c r="E17" s="1"/>
  <c r="E20" s="1"/>
  <c r="G102"/>
  <c r="C102"/>
  <c r="H102"/>
  <c r="D102"/>
  <c r="F102"/>
  <c r="B102"/>
  <c r="C17" s="1"/>
  <c r="I101"/>
  <c r="H8" s="1"/>
  <c r="H10" s="1"/>
  <c r="E101"/>
  <c r="E8" s="1"/>
  <c r="E10" s="1"/>
  <c r="F101"/>
  <c r="B101"/>
  <c r="C8" s="1"/>
  <c r="N6" i="17"/>
  <c r="L6"/>
  <c r="F6"/>
  <c r="D6"/>
  <c r="C6"/>
  <c r="N16" i="16"/>
  <c r="L16"/>
  <c r="F16"/>
  <c r="D16"/>
  <c r="C16"/>
  <c r="B16"/>
  <c r="B13" i="15"/>
  <c r="G101" i="18" l="1"/>
  <c r="C101"/>
  <c r="H101"/>
  <c r="C10"/>
  <c r="C20"/>
  <c r="I8"/>
  <c r="I10" s="1"/>
  <c r="I17"/>
  <c r="I20" s="1"/>
  <c r="J8"/>
  <c r="J1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Q20"/>
  <c r="P20"/>
  <c r="P22" s="1"/>
  <c r="O20"/>
  <c r="M20"/>
  <c r="L20"/>
  <c r="K20"/>
  <c r="J20"/>
  <c r="G20"/>
  <c r="D20"/>
  <c r="Q19"/>
  <c r="P19"/>
  <c r="O19"/>
  <c r="O22" s="1"/>
  <c r="M19"/>
  <c r="M22" s="1"/>
  <c r="L19"/>
  <c r="K19"/>
  <c r="J19"/>
  <c r="I19"/>
  <c r="G19"/>
  <c r="G22" s="1"/>
  <c r="F19"/>
  <c r="E19"/>
  <c r="D19"/>
  <c r="Q48"/>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Q88" i="14" l="1"/>
  <c r="P18" i="56" s="1"/>
  <c r="D18"/>
  <c r="K90" i="14"/>
  <c r="K18" i="56"/>
  <c r="E8"/>
  <c r="E10" s="1"/>
  <c r="H78" i="14"/>
  <c r="H9" i="56"/>
  <c r="H10" s="1"/>
  <c r="Q87" i="14"/>
  <c r="P17" i="56" s="1"/>
  <c r="D17"/>
  <c r="D20" s="1"/>
  <c r="K78" i="14"/>
  <c r="K8" i="56"/>
  <c r="K10" s="1"/>
  <c r="O78" i="14"/>
  <c r="O9" i="56"/>
  <c r="L90" i="14"/>
  <c r="L17" i="56"/>
  <c r="L20" s="1"/>
  <c r="G90" i="14"/>
  <c r="G18" i="56"/>
  <c r="G20" s="1"/>
  <c r="O90" i="14"/>
  <c r="O18" i="56"/>
  <c r="O20"/>
  <c r="H90" i="14"/>
  <c r="M20" i="56"/>
  <c r="K20"/>
  <c r="C77" i="14"/>
  <c r="C9" i="56" s="1"/>
  <c r="D9"/>
  <c r="D10" s="1"/>
  <c r="N78" i="14"/>
  <c r="N8" i="56"/>
  <c r="N10" s="1"/>
  <c r="M78" i="14"/>
  <c r="M8" i="56"/>
  <c r="M10" s="1"/>
  <c r="O10"/>
  <c r="C88" i="14"/>
  <c r="C18" i="56" s="1"/>
  <c r="F90" i="14"/>
  <c r="L78"/>
  <c r="J76"/>
  <c r="N20" i="56"/>
  <c r="G78" i="14"/>
  <c r="Q89"/>
  <c r="P19" i="56" s="1"/>
  <c r="I76" i="14"/>
  <c r="I8" i="56" s="1"/>
  <c r="I10" s="1"/>
  <c r="I87" i="14"/>
  <c r="I17" i="56" s="1"/>
  <c r="I20" s="1"/>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Q90" l="1"/>
  <c r="B17" i="6" s="1"/>
  <c r="J90" i="14"/>
  <c r="J17" i="56"/>
  <c r="J20" s="1"/>
  <c r="Q78" i="14"/>
  <c r="B9" i="6" s="1"/>
  <c r="P9" i="56"/>
  <c r="P10" s="1"/>
  <c r="J8"/>
  <c r="J10" s="1"/>
  <c r="J78" i="14"/>
  <c r="P20" i="56"/>
  <c r="B76" i="14"/>
  <c r="C76"/>
  <c r="C90"/>
  <c r="B87"/>
  <c r="B8" i="56" l="1"/>
  <c r="B10" s="1"/>
  <c r="B78" i="14"/>
  <c r="B4" i="6" s="1"/>
  <c r="C8" i="56"/>
  <c r="C10" s="1"/>
  <c r="C78" i="14"/>
  <c r="B90"/>
  <c r="B17" i="56"/>
  <c r="B20" s="1"/>
  <c r="D5" i="17"/>
  <c r="H14" i="15" l="1"/>
  <c r="H16" s="1"/>
  <c r="G14"/>
  <c r="G16" s="1"/>
  <c r="G5" i="48" l="1"/>
  <c r="H10" i="14"/>
  <c r="H16" s="1"/>
  <c r="H5" i="48"/>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E31" i="48"/>
  <c r="E29"/>
  <c r="E32"/>
  <c r="E28"/>
  <c r="E24"/>
  <c r="E30"/>
  <c r="M12" i="13"/>
  <c r="N41" i="14" s="1"/>
  <c r="M17" i="48"/>
  <c r="L10" i="14"/>
  <c r="L16" s="1"/>
  <c r="L27" s="1"/>
  <c r="K5" i="48"/>
  <c r="L29"/>
  <c r="L27"/>
  <c r="L32"/>
  <c r="L31"/>
  <c r="L22"/>
  <c r="L30"/>
  <c r="L28"/>
  <c r="L24"/>
  <c r="Q10" i="14"/>
  <c r="P5" i="48"/>
  <c r="P23" s="1"/>
  <c r="J30"/>
  <c r="J24"/>
  <c r="J32"/>
  <c r="J29"/>
  <c r="J27"/>
  <c r="J31"/>
  <c r="J28"/>
  <c r="C24" i="14"/>
  <c r="C26" s="1"/>
  <c r="B7" i="48"/>
  <c r="P11" i="14"/>
  <c r="O4" i="48"/>
  <c r="I25"/>
  <c r="I32"/>
  <c r="I22"/>
  <c r="I26"/>
  <c r="I28"/>
  <c r="I27"/>
  <c r="I24"/>
  <c r="I29"/>
  <c r="I31"/>
  <c r="I30"/>
  <c r="B38" i="13"/>
  <c r="F24" i="48"/>
  <c r="F27"/>
  <c r="F30"/>
  <c r="F28"/>
  <c r="F32"/>
  <c r="F29"/>
  <c r="F31"/>
  <c r="N30"/>
  <c r="N28"/>
  <c r="N31"/>
  <c r="N24"/>
  <c r="N27"/>
  <c r="N32"/>
  <c r="N29"/>
  <c r="B10"/>
  <c r="C19" i="14"/>
  <c r="D29" i="48"/>
  <c r="D31"/>
  <c r="D30"/>
  <c r="D28"/>
  <c r="D24"/>
  <c r="D32"/>
  <c r="K31"/>
  <c r="K25"/>
  <c r="K26"/>
  <c r="K32"/>
  <c r="K29"/>
  <c r="K28"/>
  <c r="K27"/>
  <c r="K24"/>
  <c r="K22"/>
  <c r="K30"/>
  <c r="J10" i="14"/>
  <c r="J16" s="1"/>
  <c r="J27" s="1"/>
  <c r="I5" i="48"/>
  <c r="Q11" i="14"/>
  <c r="P4" i="48"/>
  <c r="E11" i="14"/>
  <c r="D4" i="48"/>
  <c r="D22" s="1"/>
  <c r="H32"/>
  <c r="H28"/>
  <c r="H26"/>
  <c r="H25"/>
  <c r="H22"/>
  <c r="H24"/>
  <c r="H29"/>
  <c r="H30"/>
  <c r="H23"/>
  <c r="D11" i="14"/>
  <c r="C4" i="48"/>
  <c r="G32"/>
  <c r="G24"/>
  <c r="G30"/>
  <c r="G29"/>
  <c r="G22"/>
  <c r="G26"/>
  <c r="G25"/>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H18" i="14" l="1"/>
  <c r="G13" i="48"/>
  <c r="N18" i="14"/>
  <c r="M13" i="48"/>
  <c r="M31" s="1"/>
  <c r="M29"/>
  <c r="M22"/>
  <c r="M32"/>
  <c r="M25"/>
  <c r="M24"/>
  <c r="M26"/>
  <c r="M30"/>
  <c r="M23"/>
  <c r="J46" i="14"/>
  <c r="J61" s="1"/>
  <c r="J63" s="1"/>
  <c r="I33" i="48"/>
  <c r="L46" i="14"/>
  <c r="L61" s="1"/>
  <c r="L63" s="1"/>
  <c r="J12" i="17"/>
  <c r="K54" i="14" s="1"/>
  <c r="K56" s="1"/>
  <c r="J7" i="48"/>
  <c r="J25" s="1"/>
  <c r="K24" i="14"/>
  <c r="K26" s="1"/>
  <c r="I23" i="48"/>
  <c r="I15"/>
  <c r="P22"/>
  <c r="P33" s="1"/>
  <c r="O22"/>
  <c r="P10" i="14"/>
  <c r="O5" i="48"/>
  <c r="O23" s="1"/>
  <c r="G11" i="14"/>
  <c r="F4" i="48"/>
  <c r="F22" s="1"/>
  <c r="I18" i="14"/>
  <c r="H13" i="48"/>
  <c r="H31" s="1"/>
  <c r="K15"/>
  <c r="K23"/>
  <c r="K33" s="1"/>
  <c r="Q13" i="14"/>
  <c r="Q16" s="1"/>
  <c r="Q27" s="1"/>
  <c r="P8" i="48"/>
  <c r="P26"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O26" s="1"/>
  <c r="P13" i="14"/>
  <c r="C20"/>
  <c r="B9" i="48"/>
  <c r="E12" i="13"/>
  <c r="F41" i="14" s="1"/>
  <c r="F11"/>
  <c r="R11" s="1"/>
  <c r="E4" i="48"/>
  <c r="H19" i="14"/>
  <c r="R19" s="1"/>
  <c r="G10" i="48"/>
  <c r="J4"/>
  <c r="K11" i="14"/>
  <c r="E7" i="48"/>
  <c r="E25" s="1"/>
  <c r="F24" i="14"/>
  <c r="F26" s="1"/>
  <c r="R18"/>
  <c r="E9" i="48"/>
  <c r="E27" s="1"/>
  <c r="F20" i="14"/>
  <c r="F22" s="1"/>
  <c r="G31" i="48"/>
  <c r="Q13"/>
  <c r="P46" i="14"/>
  <c r="P61" s="1"/>
  <c r="P63" s="1"/>
  <c r="Q63"/>
  <c r="O33" i="48"/>
  <c r="P16" i="14"/>
  <c r="P27" s="1"/>
  <c r="M14" i="22"/>
  <c r="E12" i="17"/>
  <c r="F54" i="14" s="1"/>
  <c r="F56" s="1"/>
  <c r="H14" i="22"/>
  <c r="P15" i="48"/>
  <c r="M10"/>
  <c r="M28" s="1"/>
  <c r="N19" i="14"/>
  <c r="D9" i="48"/>
  <c r="D27" s="1"/>
  <c r="E20" i="14"/>
  <c r="E22" s="1"/>
  <c r="O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I20"/>
  <c r="I22" s="1"/>
  <c r="I27" s="1"/>
  <c r="H9" i="48"/>
  <c r="E22"/>
  <c r="Q4"/>
  <c r="K10" i="14"/>
  <c r="J5" i="48"/>
  <c r="J23" s="1"/>
  <c r="G28"/>
  <c r="Q10"/>
  <c r="H20" i="14"/>
  <c r="H22" s="1"/>
  <c r="H27" s="1"/>
  <c r="G9" i="48"/>
  <c r="F10" i="14"/>
  <c r="E5" i="48"/>
  <c r="E23" s="1"/>
  <c r="J22"/>
  <c r="M9"/>
  <c r="N20" i="14"/>
  <c r="N22" s="1"/>
  <c r="N27" s="1"/>
  <c r="N63" s="1"/>
  <c r="C22"/>
  <c r="H18" i="22"/>
  <c r="I50" i="14" s="1"/>
  <c r="I52" s="1"/>
  <c r="I61" s="1"/>
  <c r="I63" s="1"/>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J26" s="1"/>
  <c r="J33" s="1"/>
  <c r="M27"/>
  <c r="M33" s="1"/>
  <c r="M15"/>
  <c r="H27"/>
  <c r="H33" s="1"/>
  <c r="H15"/>
  <c r="Q9"/>
  <c r="K16" i="14"/>
  <c r="K27" s="1"/>
  <c r="C27"/>
  <c r="B3" i="6" s="1"/>
  <c r="B12" s="1"/>
  <c r="C12" i="56" s="1"/>
  <c r="J15" i="48"/>
  <c r="Q5"/>
  <c r="E63" i="14"/>
  <c r="F13"/>
  <c r="F16" s="1"/>
  <c r="F27" s="1"/>
  <c r="F63" s="1"/>
  <c r="E8" i="48"/>
  <c r="E26" s="1"/>
  <c r="E33"/>
  <c r="R20" i="14"/>
  <c r="R22" s="1"/>
  <c r="E15" i="48"/>
  <c r="C55" i="14"/>
  <c r="R55"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<sst xmlns="http://schemas.openxmlformats.org/spreadsheetml/2006/main" count="2483" uniqueCount="946">
  <si>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</si>
  <si>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</si>
  <si>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</si>
  <si>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</si>
  <si>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</si>
  <si>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</si>
  <si>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</si>
  <si>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</si>
  <si>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</si>
  <si>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</si>
  <si>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</si>
  <si>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</si>
  <si>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</si>
  <si>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</si>
  <si>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</si>
  <si>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</si>
  <si>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</si>
  <si>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</si>
  <si>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</si>
  <si>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</si>
  <si>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</si>
  <si>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</si>
  <si>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</si>
  <si>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</si>
  <si>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</si>
  <si>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</si>
  <si>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</si>
  <si>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</si>
  <si>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</si>
  <si>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</si>
  <si>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</si>
  <si>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</si>
  <si>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</si>
  <si>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</si>
  <si>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</si>
  <si>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</si>
  <si>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</si>
  <si>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</si>
  <si>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</si>
  <si>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</si>
  <si>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</si>
  <si>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</si>
  <si>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</si>
  <si>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</si>
  <si>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</si>
  <si>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</si>
  <si>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</si>
  <si>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</si>
  <si>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</si>
  <si>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</si>
  <si>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</si>
  <si>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</si>
  <si>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</si>
  <si>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</si>
  <si>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</si>
  <si>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</si>
  <si>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</si>
  <si>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</si>
  <si>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</si>
  <si>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</si>
  <si>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</si>
  <si>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</si>
  <si>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</si>
  <si>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</si>
  <si>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</si>
  <si>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</si>
  <si>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</si>
  <si>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</si>
  <si>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</si>
  <si>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</si>
  <si>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</si>
  <si>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</si>
  <si>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</si>
  <si>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</si>
  <si>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</si>
  <si>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</si>
  <si>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</si>
  <si>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</si>
  <si>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</si>
  <si>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</si>
  <si>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</si>
  <si>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</si>
  <si>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</si>
  <si>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</si>
  <si>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</si>
  <si>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</si>
  <si>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</si>
  <si>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</si>
  <si>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</si>
  <si>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</si>
  <si>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</si>
  <si>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</si>
  <si>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</si>
  <si>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</si>
  <si>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</si>
  <si>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</si>
  <si>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</si>
  <si>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</si>
  <si>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</si>
  <si>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</si>
  <si>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</si>
  <si>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</si>
  <si>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</si>
  <si>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</si>
  <si>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</si>
  <si>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</si>
  <si>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</si>
  <si>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</si>
  <si>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</si>
  <si>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</si>
  <si>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</si>
  <si>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</si>
  <si>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</si>
  <si>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</si>
  <si>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</si>
  <si>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</si>
  <si>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</si>
  <si>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</si>
  <si>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</si>
  <si>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</si>
  <si>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</si>
  <si>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</si>
  <si>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</si>
  <si>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</si>
  <si>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</si>
  <si>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</si>
  <si>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</si>
  <si>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</si>
  <si>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</si>
  <si>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</si>
  <si>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</si>
  <si>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</si>
  <si>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</si>
  <si>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</si>
  <si>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</si>
  <si>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</si>
  <si>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</si>
  <si>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</si>
  <si>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</si>
  <si>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</si>
  <si>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</si>
  <si>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</si>
  <si>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</si>
  <si>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</si>
  <si>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</si>
  <si>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</si>
  <si>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</si>
  <si>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</si>
  <si>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</si>
  <si>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</si>
  <si>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</si>
  <si>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</si>
  <si>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</si>
  <si>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</si>
  <si>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</si>
  <si>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</si>
  <si>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</si>
  <si>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</si>
  <si>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</si>
  <si>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</si>
  <si>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</si>
  <si>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</si>
  <si>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</si>
  <si>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</si>
  <si>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</si>
  <si>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</si>
  <si>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</si>
  <si>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</si>
  <si>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</si>
  <si>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</si>
  <si>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</si>
  <si>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</si>
  <si>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</si>
  <si>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</si>
  <si>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</si>
  <si>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</si>
  <si>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</si>
  <si>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</si>
  <si>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</si>
  <si>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</si>
  <si>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</si>
  <si>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</si>
  <si>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</si>
  <si>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</si>
  <si>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</si>
  <si>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</si>
  <si>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</si>
  <si>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</si>
  <si>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</si>
  <si>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</si>
  <si>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</si>
  <si>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</si>
  <si>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</si>
  <si>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</si>
  <si>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</si>
  <si>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</si>
  <si>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</si>
  <si>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</si>
  <si>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</si>
  <si>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</si>
  <si>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</si>
  <si>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</si>
  <si>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</si>
  <si>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</si>
  <si>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</si>
  <si>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</si>
  <si>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</si>
  <si>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</si>
  <si>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</si>
  <si>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</si>
  <si>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</si>
  <si>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</si>
  <si>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</si>
  <si>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</si>
  <si>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</si>
  <si>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</si>
  <si>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</si>
  <si>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</si>
  <si>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</si>
  <si>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</si>
  <si>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</si>
  <si>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</si>
  <si>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</si>
  <si>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</si>
  <si>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</si>
  <si>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</si>
  <si>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</si>
  <si>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</si>
  <si>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</si>
  <si>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</si>
  <si>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</si>
  <si>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</si>
  <si>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</si>
  <si>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</si>
  <si>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</si>
  <si>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</si>
  <si>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</si>
  <si>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</si>
  <si>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</si>
  <si>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</si>
  <si>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</si>
  <si>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</si>
  <si>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</si>
  <si>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</si>
  <si>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</si>
  <si>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</si>
  <si>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</si>
  <si>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</si>
  <si>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</si>
  <si>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</si>
  <si>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</si>
  <si>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</si>
  <si>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</si>
  <si>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</si>
  <si>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</si>
  <si>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</si>
  <si>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</si>
  <si>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</si>
  <si>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</si>
  <si>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</si>
  <si>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</si>
  <si>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</si>
  <si>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</si>
  <si>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</si>
  <si>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</si>
  <si>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</si>
  <si>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</si>
  <si>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</si>
  <si>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</si>
  <si>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</si>
  <si>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</si>
  <si>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</si>
  <si>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</si>
  <si>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</si>
  <si>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</si>
  <si>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</si>
  <si>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</si>
  <si>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</si>
  <si>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</si>
  <si>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</si>
  <si>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</si>
  <si>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</si>
  <si>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</si>
  <si>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</si>
  <si>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</si>
  <si>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</si>
  <si>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</si>
  <si>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</si>
  <si>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</si>
  <si>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</si>
  <si>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</si>
  <si>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</si>
  <si>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</si>
  <si>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</si>
  <si>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</si>
  <si>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</si>
  <si>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</si>
  <si>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</si>
  <si>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</si>
  <si>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</si>
  <si>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</si>
  <si>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</si>
  <si>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</si>
  <si>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</si>
  <si>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</si>
  <si>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</si>
  <si>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</si>
  <si>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</si>
  <si>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</si>
  <si>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</si>
  <si>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</si>
  <si>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</si>
  <si>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</si>
  <si>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</si>
  <si>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</si>
  <si>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</si>
  <si>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</si>
  <si>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</si>
  <si>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</si>
  <si>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</si>
  <si>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</si>
  <si>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</si>
  <si>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</si>
  <si>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</si>
  <si>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</si>
  <si>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</si>
  <si>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</si>
  <si>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</si>
  <si>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</si>
  <si>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</si>
  <si>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</si>
  <si>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</si>
  <si>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</si>
  <si>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</si>
  <si>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</si>
  <si>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</si>
  <si>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</si>
  <si>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</si>
  <si>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</si>
  <si>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</si>
  <si>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</si>
  <si>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</si>
  <si>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</si>
  <si>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</si>
  <si>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</si>
  <si>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</si>
  <si>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</si>
  <si>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</si>
  <si>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</si>
  <si>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</si>
  <si>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</si>
  <si>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</si>
  <si>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</si>
  <si>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</si>
  <si>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</si>
  <si>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</si>
  <si>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</si>
  <si>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</si>
  <si>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</si>
  <si>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</si>
  <si>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</si>
  <si>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</si>
  <si>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</si>
  <si>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</si>
  <si>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</si>
  <si>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</si>
  <si>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</si>
  <si>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</si>
  <si>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</si>
  <si>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</si>
  <si>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</si>
  <si>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</si>
  <si>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</si>
  <si>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</si>
  <si>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</si>
  <si>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</si>
  <si>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</si>
  <si>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</si>
  <si>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</si>
  <si>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</si>
  <si>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</si>
  <si>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</si>
  <si>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</si>
  <si>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</si>
  <si>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</si>
  <si>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</si>
  <si>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</si>
  <si>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</si>
  <si>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</si>
  <si>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</si>
  <si>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</si>
  <si>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</si>
  <si>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</si>
  <si>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</si>
  <si>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</si>
  <si>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</si>
  <si>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</si>
  <si>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</si>
  <si>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</si>
  <si>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</si>
  <si>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</si>
  <si>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</si>
  <si>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</si>
  <si>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</si>
  <si>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</si>
  <si>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</si>
  <si>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</si>
  <si>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</si>
  <si>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</si>
  <si>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</si>
  <si>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</si>
  <si>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</si>
  <si>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</si>
  <si>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</si>
  <si>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</si>
  <si>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</si>
  <si>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</si>
  <si>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</si>
  <si>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</si>
  <si>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</si>
  <si>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</si>
  <si>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</si>
  <si>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</si>
  <si>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</si>
  <si>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</si>
  <si>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</si>
  <si>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</si>
  <si>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</si>
  <si>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</si>
  <si>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</si>
  <si>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</si>
  <si>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</si>
  <si>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</si>
  <si>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</si>
  <si>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</si>
  <si>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</si>
  <si>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</si>
  <si>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</si>
  <si>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</si>
  <si>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</si>
  <si>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</si>
  <si>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</si>
  <si>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</si>
  <si>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</si>
  <si>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</si>
  <si>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</si>
  <si>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</si>
  <si>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</si>
  <si>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</si>
  <si>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</si>
  <si>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</si>
  <si>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</si>
  <si>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</si>
  <si>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</si>
  <si>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</si>
  <si>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</si>
  <si>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</si>
  <si>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</si>
  <si>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</si>
  <si>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</si>
  <si>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</si>
  <si>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</si>
  <si>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</si>
  <si>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</si>
  <si>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</si>
  <si>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</si>
  <si>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</si>
  <si>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</si>
  <si>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</si>
  <si>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</si>
  <si>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</si>
  <si>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</si>
  <si>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</si>
  <si>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</si>
  <si>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</si>
  <si>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</si>
  <si>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</si>
  <si>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</si>
  <si>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</si>
  <si>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</si>
  <si>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</si>
  <si>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</si>
  <si>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</si>
  <si>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</si>
  <si>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</si>
  <si>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</si>
  <si>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</si>
  <si>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</si>
  <si>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</si>
  <si>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</si>
  <si>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</si>
  <si>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</si>
  <si>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</si>
  <si>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</si>
  <si>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</si>
  <si>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</si>
  <si>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</si>
  <si>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</si>
  <si>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</si>
  <si>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</si>
  <si>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</si>
  <si>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</si>
  <si>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</si>
  <si>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</si>
  <si>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</si>
  <si>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</si>
  <si>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</si>
  <si>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</si>
  <si>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</si>
  <si>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</si>
  <si>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</si>
  <si>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</si>
  <si>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</si>
  <si>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</si>
  <si>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</si>
  <si>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</si>
  <si>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</si>
  <si>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</si>
  <si>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</si>
  <si>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</si>
  <si>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</si>
  <si>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</si>
  <si>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</si>
  <si>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</si>
  <si>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</si>
  <si>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</si>
  <si>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</si>
  <si>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</si>
  <si>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</si>
  <si>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</si>
  <si>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</si>
  <si>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</si>
  <si>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</si>
  <si>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</si>
  <si>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</si>
  <si>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</si>
  <si>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</si>
  <si>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</si>
  <si>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</si>
  <si>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</si>
  <si>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</si>
  <si>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</si>
  <si>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</si>
  <si>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</si>
  <si>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</si>
  <si>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</si>
  <si>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</si>
  <si>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</si>
  <si>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</si>
  <si>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</si>
  <si>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</si>
  <si>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</si>
  <si>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</si>
  <si>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</si>
  <si>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</si>
  <si>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</si>
  <si>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</si>
  <si>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</si>
  <si>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</si>
  <si>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</si>
  <si>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</si>
  <si>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</si>
  <si>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</si>
  <si>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</si>
  <si>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</si>
  <si>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</si>
  <si>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</si>
  <si>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</si>
  <si>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</si>
  <si>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</si>
  <si>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</si>
  <si>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</si>
  <si>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</si>
  <si>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</si>
  <si>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</si>
  <si>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</si>
  <si>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</si>
  <si>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</si>
  <si>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</si>
  <si>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</si>
  <si>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</si>
  <si>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</si>
  <si>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</si>
  <si>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</si>
  <si>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</si>
  <si>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</si>
  <si>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</si>
  <si>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</si>
  <si>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</si>
  <si>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</si>
  <si>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</si>
  <si>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</si>
  <si>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</si>
  <si>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</si>
  <si>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</si>
  <si>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</si>
  <si>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</si>
  <si>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</si>
  <si>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</si>
  <si>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</si>
  <si>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</si>
  <si>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</si>
  <si>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</si>
  <si>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</si>
  <si>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</si>
  <si>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</si>
  <si>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</si>
  <si>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</si>
  <si>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</si>
  <si>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</si>
  <si>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</si>
  <si>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</si>
  <si>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</si>
  <si>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</si>
  <si>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</si>
  <si>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</si>
  <si>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</si>
  <si>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</si>
  <si>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</si>
  <si>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</si>
  <si>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</si>
  <si>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</si>
  <si>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</si>
  <si>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</si>
  <si>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</si>
  <si>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</si>
  <si>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</si>
  <si>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</si>
  <si>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</si>
  <si>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</si>
  <si>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</si>
  <si>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</si>
  <si>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</si>
  <si>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</si>
  <si>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</si>
  <si>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</si>
  <si>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</si>
  <si>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</si>
  <si>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</si>
  <si>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</si>
  <si>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</si>
  <si>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</si>
  <si>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</si>
  <si>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</si>
  <si>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</si>
  <si>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</si>
  <si>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</si>
  <si>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</si>
  <si>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</si>
  <si>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</si>
  <si>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</si>
  <si>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</si>
  <si>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</si>
  <si>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</si>
  <si>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</si>
  <si>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</si>
  <si>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</si>
  <si>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</si>
  <si>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</si>
  <si>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</si>
  <si>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</si>
  <si>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</si>
  <si>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</si>
  <si>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</si>
  <si>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</si>
  <si>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</si>
  <si>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</si>
  <si>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</si>
  <si>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</si>
  <si>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</si>
  <si>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</si>
  <si>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</si>
  <si>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</si>
  <si>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</si>
  <si>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</si>
  <si>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</si>
  <si>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</si>
  <si>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</si>
  <si>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</si>
  <si>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</si>
  <si>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</si>
  <si>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</si>
  <si>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</si>
  <si>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</si>
  <si>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</si>
  <si>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</si>
  <si>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</si>
  <si>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</si>
  <si>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</si>
  <si>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</si>
  <si>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</si>
  <si>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</si>
  <si>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</si>
  <si>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</si>
  <si>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</si>
  <si>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</si>
  <si>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</si>
  <si>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</si>
  <si>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</si>
  <si>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</si>
  <si>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</si>
  <si>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</si>
  <si>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</si>
  <si>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</si>
  <si>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</si>
  <si>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</si>
  <si>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</si>
  <si>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</si>
  <si>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</si>
  <si>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</si>
  <si>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</si>
  <si>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</si>
  <si>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</si>
  <si>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</si>
  <si>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</si>
  <si>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</si>
  <si>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</si>
  <si>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</si>
  <si>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</si>
  <si>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</si>
  <si>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</si>
  <si>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</si>
  <si>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</si>
  <si>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</si>
  <si>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</si>
  <si>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</si>
  <si>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</si>
  <si>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</si>
  <si>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</si>
  <si>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</si>
  <si>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</si>
  <si>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</si>
  <si>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</si>
  <si>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</si>
  <si>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</si>
  <si>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</si>
  <si>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</si>
  <si>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</si>
  <si>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</si>
  <si>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</si>
  <si>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</si>
  <si>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</si>
  <si>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</si>
  <si>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</si>
  <si>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</si>
  <si>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</si>
  <si>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</si>
  <si>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</si>
  <si>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</si>
  <si>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</si>
  <si>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</si>
  <si>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</si>
  <si>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</si>
  <si>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</si>
  <si>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</si>
  <si>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</si>
  <si>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</si>
  <si>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</si>
  <si>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</si>
  <si>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</si>
  <si>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</si>
  <si>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</si>
  <si>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</si>
  <si>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</si>
  <si>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</si>
  <si>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</si>
  <si>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</si>
  <si>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</si>
  <si>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</si>
  <si>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</si>
  <si>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</si>
  <si>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</si>
  <si>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</si>
  <si>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</si>
  <si>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</si>
  <si>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</si>
  <si>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</si>
  <si>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</si>
  <si>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</si>
  <si>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</si>
  <si>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</si>
  <si>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</si>
  <si>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</si>
  <si>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</si>
  <si>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</si>
  <si>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</si>
  <si>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</si>
  <si>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</si>
  <si>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</si>
  <si>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</si>
  <si>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</si>
  <si>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</si>
  <si>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</si>
  <si>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</si>
  <si>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</si>
  <si>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</si>
  <si>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</si>
  <si>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</si>
  <si>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</si>
  <si>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</si>
  <si>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</si>
  <si>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</si>
  <si>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</si>
  <si>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</si>
  <si>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</si>
  <si>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</si>
  <si>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</si>
  <si>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</si>
  <si>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</si>
  <si>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</si>
  <si>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</si>
  <si>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</si>
  <si>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</si>
  <si>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</si>
  <si>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</si>
  <si>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</si>
  <si>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</si>
  <si>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</si>
  <si>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</si>
  <si>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</si>
  <si>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</si>
  <si>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</si>
  <si>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</si>
  <si>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</si>
  <si>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</si>
  <si>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</si>
  <si>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</si>
  <si>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</si>
  <si>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</si>
  <si>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</si>
  <si>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</si>
  <si>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</si>
  <si>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</si>
  <si>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</si>
  <si>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</si>
  <si>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</si>
  <si>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</si>
  <si>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</si>
  <si>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</si>
  <si>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</si>
  <si>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</si>
  <si>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</si>
  <si>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</si>
  <si>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</si>
  <si>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</si>
  <si>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</si>
  <si>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</si>
  <si>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</si>
  <si>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</si>
  <si>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</si>
  <si>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</si>
  <si>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</si>
  <si>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</si>
  <si>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</si>
  <si>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</si>
  <si>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</si>
  <si>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</si>
  <si>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</si>
  <si>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</si>
  <si>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</si>
  <si>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</si>
  <si>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</si>
  <si>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</si>
  <si>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</si>
  <si>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</si>
  <si>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</si>
  <si>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</si>
  <si>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</si>
  <si>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</si>
  <si>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</si>
  <si>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</si>
  <si>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</si>
  <si>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</si>
  <si>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</si>
  <si>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</si>
  <si>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</si>
  <si>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</si>
  <si>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</si>
  <si>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</si>
  <si>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</si>
  <si>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</si>
  <si>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</si>
  <si>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</si>
  <si>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</si>
  <si>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</si>
  <si>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</si>
  <si>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</si>
  <si>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</si>
  <si>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</si>
  <si>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</si>
  <si>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</si>
  <si>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</si>
  <si>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</si>
  <si>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</si>
  <si>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</si>
  <si>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</si>
  <si>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</si>
  <si>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</si>
  <si>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</si>
  <si>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</si>
  <si>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</si>
  <si>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</si>
  <si>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</si>
  <si>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</si>
  <si>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</si>
  <si>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</si>
  <si>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</si>
  <si>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</si>
  <si>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</si>
  <si>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</si>
  <si>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</si>
  <si>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</si>
  <si>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</si>
  <si>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</si>
  <si>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</si>
  <si>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</si>
  <si>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</si>
  <si>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</si>
  <si>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</si>
  <si>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</si>
  <si>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</si>
  <si>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</si>
  <si>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</si>
  <si>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</si>
  <si>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</si>
  <si>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</si>
  <si>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</si>
  <si>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</si>
  <si>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</si>
  <si>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</si>
  <si>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</si>
  <si>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</si>
  <si>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</si>
  <si>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</si>
  <si>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</si>
  <si>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</si>
  <si>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</si>
  <si>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</si>
  <si>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</si>
  <si>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</si>
  <si>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11044</t>
  </si>
  <si>
    <t>STABROEK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</si>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</sst>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11044</v>
      </c>
      <c r="B6" s="397"/>
      <c r="C6" s="398"/>
    </row>
    <row r="7" spans="1:7" s="395" customFormat="1" ht="15.75" customHeight="1">
      <c r="A7" s="399" t="str">
        <f>txtMunicipality</f>
        <v>STABROEK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0.20824569897649683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0.20824569897649683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11044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7466</v>
      </c>
      <c r="C9" s="338">
        <v>7895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1174</v>
      </c>
    </row>
    <row r="15" spans="1:6">
      <c r="A15" s="1286" t="s">
        <v>184</v>
      </c>
      <c r="B15" s="335">
        <v>6</v>
      </c>
    </row>
    <row r="16" spans="1:6">
      <c r="A16" s="1286" t="s">
        <v>6</v>
      </c>
      <c r="B16" s="335">
        <v>270</v>
      </c>
    </row>
    <row r="17" spans="1:6">
      <c r="A17" s="1286" t="s">
        <v>7</v>
      </c>
      <c r="B17" s="335">
        <v>250</v>
      </c>
    </row>
    <row r="18" spans="1:6">
      <c r="A18" s="1286" t="s">
        <v>8</v>
      </c>
      <c r="B18" s="335">
        <v>424</v>
      </c>
    </row>
    <row r="19" spans="1:6">
      <c r="A19" s="1286" t="s">
        <v>9</v>
      </c>
      <c r="B19" s="335">
        <v>360</v>
      </c>
    </row>
    <row r="20" spans="1:6">
      <c r="A20" s="1286" t="s">
        <v>10</v>
      </c>
      <c r="B20" s="335">
        <v>398</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125</v>
      </c>
    </row>
    <row r="27" spans="1:6">
      <c r="A27" s="1286" t="s">
        <v>17</v>
      </c>
      <c r="B27" s="335">
        <v>660</v>
      </c>
    </row>
    <row r="28" spans="1:6" s="341" customFormat="1">
      <c r="A28" s="1287" t="s">
        <v>18</v>
      </c>
      <c r="B28" s="1287">
        <v>136</v>
      </c>
    </row>
    <row r="29" spans="1:6">
      <c r="A29" s="1287" t="s">
        <v>942</v>
      </c>
      <c r="B29" s="1287">
        <v>132</v>
      </c>
      <c r="C29" s="341"/>
      <c r="D29" s="341"/>
      <c r="E29" s="341"/>
      <c r="F29" s="341"/>
    </row>
    <row r="30" spans="1:6">
      <c r="A30" s="1282" t="s">
        <v>943</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8351.3731340110007</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6385</v>
      </c>
      <c r="D39" s="335">
        <v>110355394.49118316</v>
      </c>
      <c r="E39" s="335">
        <v>7643</v>
      </c>
      <c r="F39" s="335">
        <v>29138907.0034394</v>
      </c>
    </row>
    <row r="40" spans="1:6">
      <c r="A40" s="1286" t="s">
        <v>30</v>
      </c>
      <c r="B40" s="1286" t="s">
        <v>29</v>
      </c>
      <c r="C40" s="335">
        <v>0</v>
      </c>
      <c r="D40" s="335">
        <v>0</v>
      </c>
      <c r="E40" s="335">
        <v>1</v>
      </c>
      <c r="F40" s="335">
        <v>24</v>
      </c>
    </row>
    <row r="41" spans="1:6">
      <c r="A41" s="1286" t="s">
        <v>32</v>
      </c>
      <c r="B41" s="1286" t="s">
        <v>33</v>
      </c>
      <c r="C41" s="335">
        <v>53</v>
      </c>
      <c r="D41" s="335">
        <v>1413840</v>
      </c>
      <c r="E41" s="335">
        <v>104</v>
      </c>
      <c r="F41" s="335">
        <v>648819.99877168005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120095</v>
      </c>
      <c r="E44" s="335">
        <v>5</v>
      </c>
      <c r="F44" s="335">
        <v>80420.310447132797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137034</v>
      </c>
      <c r="E48" s="335">
        <v>28</v>
      </c>
      <c r="F48" s="335">
        <v>3874467.32157706</v>
      </c>
    </row>
    <row r="49" spans="1:6">
      <c r="A49" s="1286" t="s">
        <v>32</v>
      </c>
      <c r="B49" s="1286" t="s">
        <v>40</v>
      </c>
      <c r="C49" s="335">
        <v>0</v>
      </c>
      <c r="D49" s="335">
        <v>0</v>
      </c>
      <c r="E49" s="335">
        <v>0</v>
      </c>
      <c r="F49" s="335">
        <v>0</v>
      </c>
    </row>
    <row r="50" spans="1:6">
      <c r="A50" s="1286" t="s">
        <v>32</v>
      </c>
      <c r="B50" s="1286" t="s">
        <v>41</v>
      </c>
      <c r="C50" s="335">
        <v>12</v>
      </c>
      <c r="D50" s="335">
        <v>33698650</v>
      </c>
      <c r="E50" s="335">
        <v>9</v>
      </c>
      <c r="F50" s="335">
        <v>499816.17217879399</v>
      </c>
    </row>
    <row r="51" spans="1:6">
      <c r="A51" s="1286" t="s">
        <v>42</v>
      </c>
      <c r="B51" s="1286" t="s">
        <v>43</v>
      </c>
      <c r="C51" s="335">
        <v>5</v>
      </c>
      <c r="D51" s="335">
        <v>112200</v>
      </c>
      <c r="E51" s="335">
        <v>29</v>
      </c>
      <c r="F51" s="335">
        <v>285155.84532355599</v>
      </c>
    </row>
    <row r="52" spans="1:6">
      <c r="A52" s="1286" t="s">
        <v>42</v>
      </c>
      <c r="B52" s="1286" t="s">
        <v>29</v>
      </c>
      <c r="C52" s="335">
        <v>0</v>
      </c>
      <c r="D52" s="335">
        <v>0</v>
      </c>
      <c r="E52" s="335">
        <v>9</v>
      </c>
      <c r="F52" s="335">
        <v>125044.557356701</v>
      </c>
    </row>
    <row r="53" spans="1:6">
      <c r="A53" s="1286" t="s">
        <v>44</v>
      </c>
      <c r="B53" s="1286" t="s">
        <v>45</v>
      </c>
      <c r="C53" s="335">
        <v>0</v>
      </c>
      <c r="D53" s="335">
        <v>0</v>
      </c>
      <c r="E53" s="335">
        <v>167</v>
      </c>
      <c r="F53" s="335">
        <v>707354.15634300804</v>
      </c>
    </row>
    <row r="54" spans="1:6">
      <c r="A54" s="1286" t="s">
        <v>46</v>
      </c>
      <c r="B54" s="1286" t="s">
        <v>47</v>
      </c>
      <c r="C54" s="335">
        <v>0</v>
      </c>
      <c r="D54" s="335">
        <v>0</v>
      </c>
      <c r="E54" s="335">
        <v>1</v>
      </c>
      <c r="F54" s="335">
        <v>827391</v>
      </c>
    </row>
    <row r="55" spans="1:6">
      <c r="A55" s="1286" t="s">
        <v>46</v>
      </c>
      <c r="B55" s="1286" t="s">
        <v>29</v>
      </c>
      <c r="C55" s="335">
        <v>0</v>
      </c>
      <c r="D55" s="335">
        <v>0</v>
      </c>
      <c r="E55" s="335">
        <v>0</v>
      </c>
      <c r="F55" s="335">
        <v>0</v>
      </c>
    </row>
    <row r="56" spans="1:6">
      <c r="A56" s="1286" t="s">
        <v>48</v>
      </c>
      <c r="B56" s="1286" t="s">
        <v>29</v>
      </c>
      <c r="C56" s="335">
        <v>51</v>
      </c>
      <c r="D56" s="335">
        <v>1886997</v>
      </c>
      <c r="E56" s="335">
        <v>0</v>
      </c>
      <c r="F56" s="335">
        <v>0</v>
      </c>
    </row>
    <row r="57" spans="1:6">
      <c r="A57" s="1286" t="s">
        <v>49</v>
      </c>
      <c r="B57" s="1286" t="s">
        <v>50</v>
      </c>
      <c r="C57" s="335">
        <v>27</v>
      </c>
      <c r="D57" s="335">
        <v>730663</v>
      </c>
      <c r="E57" s="335">
        <v>21</v>
      </c>
      <c r="F57" s="335">
        <v>1339879.59572512</v>
      </c>
    </row>
    <row r="58" spans="1:6">
      <c r="A58" s="1286" t="s">
        <v>49</v>
      </c>
      <c r="B58" s="1286" t="s">
        <v>51</v>
      </c>
      <c r="C58" s="335">
        <v>11</v>
      </c>
      <c r="D58" s="335">
        <v>1186231</v>
      </c>
      <c r="E58" s="335">
        <v>20</v>
      </c>
      <c r="F58" s="335">
        <v>267996.26511083503</v>
      </c>
    </row>
    <row r="59" spans="1:6">
      <c r="A59" s="1286" t="s">
        <v>49</v>
      </c>
      <c r="B59" s="1286" t="s">
        <v>52</v>
      </c>
      <c r="C59" s="335">
        <v>65</v>
      </c>
      <c r="D59" s="335">
        <v>2625699</v>
      </c>
      <c r="E59" s="335">
        <v>91</v>
      </c>
      <c r="F59" s="335">
        <v>3431636.0039429199</v>
      </c>
    </row>
    <row r="60" spans="1:6">
      <c r="A60" s="1286" t="s">
        <v>49</v>
      </c>
      <c r="B60" s="1286" t="s">
        <v>53</v>
      </c>
      <c r="C60" s="335">
        <v>30</v>
      </c>
      <c r="D60" s="335">
        <v>1853732</v>
      </c>
      <c r="E60" s="335">
        <v>40</v>
      </c>
      <c r="F60" s="335">
        <v>1060365.49230134</v>
      </c>
    </row>
    <row r="61" spans="1:6">
      <c r="A61" s="1286" t="s">
        <v>49</v>
      </c>
      <c r="B61" s="1286" t="s">
        <v>54</v>
      </c>
      <c r="C61" s="335">
        <v>112</v>
      </c>
      <c r="D61" s="335">
        <v>8905345</v>
      </c>
      <c r="E61" s="335">
        <v>202</v>
      </c>
      <c r="F61" s="335">
        <v>2388600.6612767801</v>
      </c>
    </row>
    <row r="62" spans="1:6">
      <c r="A62" s="1286" t="s">
        <v>49</v>
      </c>
      <c r="B62" s="1286" t="s">
        <v>55</v>
      </c>
      <c r="C62" s="335">
        <v>12</v>
      </c>
      <c r="D62" s="335">
        <v>1575091</v>
      </c>
      <c r="E62" s="335">
        <v>5</v>
      </c>
      <c r="F62" s="335">
        <v>866499.78956406401</v>
      </c>
    </row>
    <row r="63" spans="1:6">
      <c r="A63" s="1286" t="s">
        <v>49</v>
      </c>
      <c r="B63" s="1286" t="s">
        <v>29</v>
      </c>
      <c r="C63" s="335">
        <v>0</v>
      </c>
      <c r="D63" s="335">
        <v>0</v>
      </c>
      <c r="E63" s="335">
        <v>88</v>
      </c>
      <c r="F63" s="335">
        <v>1666189.9930400799</v>
      </c>
    </row>
    <row r="64" spans="1:6">
      <c r="A64" s="1286" t="s">
        <v>56</v>
      </c>
      <c r="B64" s="1286" t="s">
        <v>57</v>
      </c>
      <c r="C64" s="335">
        <v>0</v>
      </c>
      <c r="D64" s="335">
        <v>0</v>
      </c>
      <c r="E64" s="335">
        <v>0</v>
      </c>
      <c r="F64" s="335">
        <v>0</v>
      </c>
    </row>
    <row r="65" spans="1:6">
      <c r="A65" s="1286" t="s">
        <v>56</v>
      </c>
      <c r="B65" s="1286" t="s">
        <v>29</v>
      </c>
      <c r="C65" s="335">
        <v>0</v>
      </c>
      <c r="D65" s="335">
        <v>0</v>
      </c>
      <c r="E65" s="335">
        <v>1</v>
      </c>
      <c r="F65" s="335">
        <v>2366.8176490494002</v>
      </c>
    </row>
    <row r="66" spans="1:6">
      <c r="A66" s="1286" t="s">
        <v>56</v>
      </c>
      <c r="B66" s="1286" t="s">
        <v>58</v>
      </c>
      <c r="C66" s="335">
        <v>0</v>
      </c>
      <c r="D66" s="335">
        <v>0</v>
      </c>
      <c r="E66" s="335">
        <v>0</v>
      </c>
      <c r="F66" s="335">
        <v>0</v>
      </c>
    </row>
    <row r="67" spans="1:6">
      <c r="A67" s="1287" t="s">
        <v>56</v>
      </c>
      <c r="B67" s="1287" t="s">
        <v>59</v>
      </c>
      <c r="C67" s="335">
        <v>0</v>
      </c>
      <c r="D67" s="335">
        <v>0</v>
      </c>
      <c r="E67" s="335">
        <v>65</v>
      </c>
      <c r="F67" s="335">
        <v>697531.635566602</v>
      </c>
    </row>
    <row r="68" spans="1:6">
      <c r="A68" s="1282" t="s">
        <v>56</v>
      </c>
      <c r="B68" s="1282" t="s">
        <v>60</v>
      </c>
      <c r="C68" s="335">
        <v>4</v>
      </c>
      <c r="D68" s="335">
        <v>68129</v>
      </c>
      <c r="E68" s="335">
        <v>6</v>
      </c>
      <c r="F68" s="335">
        <v>30698.700179100801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31757565</v>
      </c>
      <c r="E73" s="335">
        <v>32100383.313208457</v>
      </c>
    </row>
    <row r="74" spans="1:6">
      <c r="A74" s="1286" t="s">
        <v>64</v>
      </c>
      <c r="B74" s="1286" t="s">
        <v>772</v>
      </c>
      <c r="C74" s="1297" t="s">
        <v>766</v>
      </c>
      <c r="D74" s="335">
        <v>2586219.5714608859</v>
      </c>
      <c r="E74" s="335">
        <v>2572565.8724254109</v>
      </c>
    </row>
    <row r="75" spans="1:6">
      <c r="A75" s="1286" t="s">
        <v>65</v>
      </c>
      <c r="B75" s="1286" t="s">
        <v>771</v>
      </c>
      <c r="C75" s="1297" t="s">
        <v>767</v>
      </c>
      <c r="D75" s="335">
        <v>14602329</v>
      </c>
      <c r="E75" s="335">
        <v>14978649.404446732</v>
      </c>
    </row>
    <row r="76" spans="1:6">
      <c r="A76" s="1286" t="s">
        <v>65</v>
      </c>
      <c r="B76" s="1286" t="s">
        <v>772</v>
      </c>
      <c r="C76" s="1297" t="s">
        <v>768</v>
      </c>
      <c r="D76" s="335">
        <v>204589.57146088596</v>
      </c>
      <c r="E76" s="335">
        <v>246530.86644396861</v>
      </c>
    </row>
    <row r="77" spans="1:6">
      <c r="A77" s="1286" t="s">
        <v>66</v>
      </c>
      <c r="B77" s="1286" t="s">
        <v>771</v>
      </c>
      <c r="C77" s="1297" t="s">
        <v>769</v>
      </c>
      <c r="D77" s="335">
        <v>60303925</v>
      </c>
      <c r="E77" s="335">
        <v>74938994.252319351</v>
      </c>
    </row>
    <row r="78" spans="1:6">
      <c r="A78" s="1282" t="s">
        <v>66</v>
      </c>
      <c r="B78" s="1282" t="s">
        <v>772</v>
      </c>
      <c r="C78" s="1282" t="s">
        <v>770</v>
      </c>
      <c r="D78" s="1282">
        <v>14256801</v>
      </c>
      <c r="E78" s="1282">
        <v>18581854.271923162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482674.85707822809</v>
      </c>
      <c r="C83" s="335">
        <v>454361.85669656866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2322.883125225138</v>
      </c>
    </row>
    <row r="92" spans="1:6">
      <c r="A92" s="1282" t="s">
        <v>69</v>
      </c>
      <c r="B92" s="338">
        <v>535.79408396863835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5071</v>
      </c>
    </row>
    <row r="98" spans="1:6">
      <c r="A98" s="1286" t="s">
        <v>72</v>
      </c>
      <c r="B98" s="335">
        <v>4</v>
      </c>
    </row>
    <row r="99" spans="1:6">
      <c r="A99" s="1286" t="s">
        <v>73</v>
      </c>
      <c r="B99" s="335">
        <v>7</v>
      </c>
    </row>
    <row r="100" spans="1:6">
      <c r="A100" s="1286" t="s">
        <v>74</v>
      </c>
      <c r="B100" s="335">
        <v>451</v>
      </c>
    </row>
    <row r="101" spans="1:6">
      <c r="A101" s="1286" t="s">
        <v>75</v>
      </c>
      <c r="B101" s="335">
        <v>52</v>
      </c>
    </row>
    <row r="102" spans="1:6">
      <c r="A102" s="1286" t="s">
        <v>76</v>
      </c>
      <c r="B102" s="335">
        <v>84</v>
      </c>
    </row>
    <row r="103" spans="1:6">
      <c r="A103" s="1286" t="s">
        <v>77</v>
      </c>
      <c r="B103" s="335">
        <v>115</v>
      </c>
    </row>
    <row r="104" spans="1:6">
      <c r="A104" s="1286" t="s">
        <v>78</v>
      </c>
      <c r="B104" s="335">
        <v>786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49533.695501433234</v>
      </c>
      <c r="C3" s="44" t="s">
        <v>170</v>
      </c>
      <c r="D3" s="44"/>
      <c r="E3" s="157"/>
      <c r="F3" s="44"/>
      <c r="G3" s="44"/>
      <c r="H3" s="44"/>
      <c r="I3" s="44"/>
      <c r="J3" s="44"/>
      <c r="K3" s="97"/>
    </row>
    <row r="4" spans="1:11">
      <c r="A4" s="365" t="s">
        <v>171</v>
      </c>
      <c r="B4" s="50">
        <f>IF(ISERROR('SEAP template'!B78),0,'SEAP template'!B78)</f>
        <v>2858.6772091937764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0.20824569897649683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827.39099999999996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827.39099999999996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0.20824569897649683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172.30061712186267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29138.9310034394</v>
      </c>
      <c r="C5" s="18">
        <f>IF(ISERROR('Eigen informatie GS &amp; warmtenet'!B57),0,'Eigen informatie GS &amp; warmtenet'!B57)</f>
        <v>0</v>
      </c>
      <c r="D5" s="31">
        <f>(SUM(HH_hh_gas_kWh,HH_rest_gas_kWh)/1000)*0.902</f>
        <v>99540.565831047221</v>
      </c>
      <c r="E5" s="18">
        <f>B46*B57</f>
        <v>324.54044269706424</v>
      </c>
      <c r="F5" s="18">
        <f>B51*B62</f>
        <v>0</v>
      </c>
      <c r="G5" s="19"/>
      <c r="H5" s="18"/>
      <c r="I5" s="18"/>
      <c r="J5" s="18">
        <f>B50*B61+C50*C61</f>
        <v>0</v>
      </c>
      <c r="K5" s="18"/>
      <c r="L5" s="18"/>
      <c r="M5" s="18"/>
      <c r="N5" s="18">
        <f>B48*B59+C48*C59</f>
        <v>7829.4086686489445</v>
      </c>
      <c r="O5" s="18">
        <f>B69*B70*B71</f>
        <v>56.280000000000008</v>
      </c>
      <c r="P5" s="18">
        <f>B77*B78*B79/1000-B77*B78*B79/1000/B80</f>
        <v>152.53333333333333</v>
      </c>
    </row>
    <row r="6" spans="1:16">
      <c r="A6" s="17" t="s">
        <v>639</v>
      </c>
      <c r="B6" s="780">
        <f>kWh_PV_kleiner_dan_10kW</f>
        <v>2322.883125225138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31461.814128664537</v>
      </c>
      <c r="C8" s="22">
        <f>C5</f>
        <v>0</v>
      </c>
      <c r="D8" s="22">
        <f>D5</f>
        <v>99540.565831047221</v>
      </c>
      <c r="E8" s="22">
        <f>E5</f>
        <v>324.54044269706424</v>
      </c>
      <c r="F8" s="22">
        <f>F5</f>
        <v>0</v>
      </c>
      <c r="G8" s="22"/>
      <c r="H8" s="22"/>
      <c r="I8" s="22"/>
      <c r="J8" s="22">
        <f>J5</f>
        <v>0</v>
      </c>
      <c r="K8" s="22"/>
      <c r="L8" s="22">
        <f>L5</f>
        <v>0</v>
      </c>
      <c r="M8" s="22">
        <f>M5</f>
        <v>0</v>
      </c>
      <c r="N8" s="22">
        <f>N5</f>
        <v>7829.4086686489445</v>
      </c>
      <c r="O8" s="22">
        <f>O5</f>
        <v>56.280000000000008</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0.20824569897649683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6551.7874742923705</v>
      </c>
      <c r="C12" s="24">
        <f ca="1">C10*C8</f>
        <v>0</v>
      </c>
      <c r="D12" s="24">
        <f>D8*D10</f>
        <v>20107.194297871541</v>
      </c>
      <c r="E12" s="24">
        <f>E10*E8</f>
        <v>73.670680492233586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5071</v>
      </c>
      <c r="C18" s="169" t="s">
        <v>111</v>
      </c>
      <c r="D18" s="231"/>
      <c r="E18" s="16"/>
    </row>
    <row r="19" spans="1:7">
      <c r="A19" s="174" t="s">
        <v>72</v>
      </c>
      <c r="B19" s="38">
        <f>aantalw2001_ander</f>
        <v>4</v>
      </c>
      <c r="C19" s="169" t="s">
        <v>111</v>
      </c>
      <c r="D19" s="232"/>
      <c r="E19" s="16"/>
    </row>
    <row r="20" spans="1:7">
      <c r="A20" s="174" t="s">
        <v>73</v>
      </c>
      <c r="B20" s="38">
        <f>aantalw2001_propaan</f>
        <v>7</v>
      </c>
      <c r="C20" s="170">
        <f>IF(ISERROR(B20/SUM($B$20,$B$21,$B$22)*100),0,B20/SUM($B$20,$B$21,$B$22)*100)</f>
        <v>1.3725490196078431</v>
      </c>
      <c r="D20" s="232"/>
      <c r="E20" s="16"/>
    </row>
    <row r="21" spans="1:7">
      <c r="A21" s="174" t="s">
        <v>74</v>
      </c>
      <c r="B21" s="38">
        <f>aantalw2001_elektriciteit</f>
        <v>451</v>
      </c>
      <c r="C21" s="170">
        <f>IF(ISERROR(B21/SUM($B$20,$B$21,$B$22)*100),0,B21/SUM($B$20,$B$21,$B$22)*100)</f>
        <v>88.431372549019599</v>
      </c>
      <c r="D21" s="232"/>
      <c r="E21" s="16"/>
    </row>
    <row r="22" spans="1:7">
      <c r="A22" s="174" t="s">
        <v>75</v>
      </c>
      <c r="B22" s="38">
        <f>aantalw2001_hout</f>
        <v>52</v>
      </c>
      <c r="C22" s="170">
        <f>IF(ISERROR(B22/SUM($B$20,$B$21,$B$22)*100),0,B22/SUM($B$20,$B$21,$B$22)*100)</f>
        <v>10.196078431372548</v>
      </c>
      <c r="D22" s="232"/>
      <c r="E22" s="16"/>
    </row>
    <row r="23" spans="1:7">
      <c r="A23" s="174" t="s">
        <v>76</v>
      </c>
      <c r="B23" s="38">
        <f>aantalw2001_niet_gespec</f>
        <v>84</v>
      </c>
      <c r="C23" s="169" t="s">
        <v>111</v>
      </c>
      <c r="D23" s="231"/>
      <c r="E23" s="16"/>
    </row>
    <row r="24" spans="1:7">
      <c r="A24" s="174" t="s">
        <v>77</v>
      </c>
      <c r="B24" s="38">
        <f>aantalw2001_steenkool</f>
        <v>115</v>
      </c>
      <c r="C24" s="169" t="s">
        <v>111</v>
      </c>
      <c r="D24" s="232"/>
      <c r="E24" s="16"/>
    </row>
    <row r="25" spans="1:7">
      <c r="A25" s="174" t="s">
        <v>78</v>
      </c>
      <c r="B25" s="38">
        <f>aantalw2001_stookolie</f>
        <v>786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7466</v>
      </c>
      <c r="C28" s="37"/>
      <c r="D28" s="231"/>
    </row>
    <row r="29" spans="1:7" s="16" customFormat="1">
      <c r="A29" s="233" t="s">
        <v>666</v>
      </c>
      <c r="B29" s="38">
        <f>SUM(HH_hh_gas_aantal,HH_rest_gas_aantal)</f>
        <v>6385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6385</v>
      </c>
      <c r="C32" s="170">
        <f>IF(ISERROR(B32/SUM($B$32,$B$34,$B$35,$B$36,$B$38,$B$39)*100),0,B32/SUM($B$32,$B$34,$B$35,$B$36,$B$38,$B$39)*100)</f>
        <v>85.612764816304647</v>
      </c>
      <c r="D32" s="236"/>
      <c r="G32" s="16"/>
    </row>
    <row r="33" spans="1:7">
      <c r="A33" s="174" t="s">
        <v>72</v>
      </c>
      <c r="B33" s="35" t="s">
        <v>111</v>
      </c>
      <c r="C33" s="170"/>
      <c r="D33" s="236"/>
      <c r="G33" s="16"/>
    </row>
    <row r="34" spans="1:7">
      <c r="A34" s="174" t="s">
        <v>73</v>
      </c>
      <c r="B34" s="34">
        <f>IF((($B$28-$B$32-$B$39-$B$77-$B$38)*C20/100)&lt;0,0,($B$28-$B$32-$B$39-$B$77-$B$38)*C20/100)</f>
        <v>14.727450980392156</v>
      </c>
      <c r="C34" s="170">
        <f>IF(ISERROR(B34/SUM($B$32,$B$34,$B$35,$B$36,$B$38,$B$39)*100),0,B34/SUM($B$32,$B$34,$B$35,$B$36,$B$38,$B$39)*100)</f>
        <v>0.19747185546248539</v>
      </c>
      <c r="D34" s="236"/>
      <c r="G34" s="16"/>
    </row>
    <row r="35" spans="1:7">
      <c r="A35" s="174" t="s">
        <v>74</v>
      </c>
      <c r="B35" s="34">
        <f>IF((($B$28-$B$32-$B$39-$B$77-$B$38)*C21/100)&lt;0,0,($B$28-$B$32-$B$39-$B$77-$B$38)*C21/100)</f>
        <v>948.86862745098028</v>
      </c>
      <c r="C35" s="170">
        <f>IF(ISERROR(B35/SUM($B$32,$B$34,$B$35,$B$36,$B$38,$B$39)*100),0,B35/SUM($B$32,$B$34,$B$35,$B$36,$B$38,$B$39)*100)</f>
        <v>12.722829544797271</v>
      </c>
      <c r="D35" s="236"/>
      <c r="G35" s="16"/>
    </row>
    <row r="36" spans="1:7">
      <c r="A36" s="174" t="s">
        <v>75</v>
      </c>
      <c r="B36" s="34">
        <f>IF((($B$28-$B$32-$B$39-$B$77-$B$38)*C22/100)&lt;0,0,($B$28-$B$32-$B$39-$B$77-$B$38)*C22/100)</f>
        <v>109.40392156862745</v>
      </c>
      <c r="C36" s="170">
        <f>IF(ISERROR(B36/SUM($B$32,$B$34,$B$35,$B$36,$B$38,$B$39)*100),0,B36/SUM($B$32,$B$34,$B$35,$B$36,$B$38,$B$39)*100)</f>
        <v>1.4669337834356055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6385</v>
      </c>
      <c r="C44" s="35" t="s">
        <v>111</v>
      </c>
      <c r="D44" s="177"/>
    </row>
    <row r="45" spans="1:7">
      <c r="A45" s="174" t="s">
        <v>72</v>
      </c>
      <c r="B45" s="34" t="str">
        <f t="shared" si="0"/>
        <v>-</v>
      </c>
      <c r="C45" s="35" t="s">
        <v>111</v>
      </c>
      <c r="D45" s="177"/>
    </row>
    <row r="46" spans="1:7">
      <c r="A46" s="174" t="s">
        <v>73</v>
      </c>
      <c r="B46" s="34">
        <f t="shared" si="0"/>
        <v>14.727450980392156</v>
      </c>
      <c r="C46" s="35" t="s">
        <v>111</v>
      </c>
      <c r="D46" s="177"/>
    </row>
    <row r="47" spans="1:7">
      <c r="A47" s="174" t="s">
        <v>74</v>
      </c>
      <c r="B47" s="34">
        <f t="shared" si="0"/>
        <v>948.86862745098028</v>
      </c>
      <c r="C47" s="35" t="s">
        <v>111</v>
      </c>
      <c r="D47" s="177"/>
    </row>
    <row r="48" spans="1:7">
      <c r="A48" s="174" t="s">
        <v>75</v>
      </c>
      <c r="B48" s="34">
        <f t="shared" si="0"/>
        <v>109.40392156862745</v>
      </c>
      <c r="C48" s="34">
        <f>B48*10</f>
        <v>1094.0392156862745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11021.167800961139</v>
      </c>
      <c r="C5" s="18">
        <f>IF(ISERROR('Eigen informatie GS &amp; warmtenet'!B58),0,'Eigen informatie GS &amp; warmtenet'!B58)</f>
        <v>0</v>
      </c>
      <c r="D5" s="31">
        <f>SUM(D6:D12)</f>
        <v>15222.838422000001</v>
      </c>
      <c r="E5" s="18">
        <f>SUM(E6:E12)</f>
        <v>103.58292011126532</v>
      </c>
      <c r="F5" s="18">
        <f>SUM(F6:F12)</f>
        <v>2374.9486231559258</v>
      </c>
      <c r="G5" s="19"/>
      <c r="H5" s="18"/>
      <c r="I5" s="18"/>
      <c r="J5" s="18">
        <f>SUM(J6:J12)</f>
        <v>0</v>
      </c>
      <c r="K5" s="18"/>
      <c r="L5" s="18"/>
      <c r="M5" s="18"/>
      <c r="N5" s="18">
        <f>SUM(N6:N12)</f>
        <v>905.31099253160824</v>
      </c>
      <c r="O5" s="18">
        <f>B38*B39*B40</f>
        <v>0</v>
      </c>
      <c r="P5" s="18">
        <f>B46*B47*B48/1000-B46*B47*B48/1000/B49</f>
        <v>0</v>
      </c>
      <c r="R5" s="33"/>
    </row>
    <row r="6" spans="1:18">
      <c r="A6" s="33" t="s">
        <v>54</v>
      </c>
      <c r="B6" s="38">
        <f>B26</f>
        <v>2388.6006612767801</v>
      </c>
      <c r="C6" s="34"/>
      <c r="D6" s="38">
        <f>IF(ISERROR(TER_kantoor_gas_kWh/1000),0,TER_kantoor_gas_kWh/1000)*0.902</f>
        <v>8032.6211899999998</v>
      </c>
      <c r="E6" s="34">
        <f>$C$26*'E Balans VL '!I12/100/3.6*1000000</f>
        <v>3.9201777968220926</v>
      </c>
      <c r="F6" s="34">
        <f>$C$26*('E Balans VL '!L12+'E Balans VL '!N12)/100/3.6*1000000</f>
        <v>281.55981724292712</v>
      </c>
      <c r="G6" s="35"/>
      <c r="H6" s="34"/>
      <c r="I6" s="34"/>
      <c r="J6" s="34">
        <f>$C$26*('E Balans VL '!D12+'E Balans VL '!E12)/100/3.6*1000000</f>
        <v>0</v>
      </c>
      <c r="K6" s="34"/>
      <c r="L6" s="34"/>
      <c r="M6" s="34"/>
      <c r="N6" s="34">
        <f>$C$26*'E Balans VL '!Y12/100/3.6*1000000</f>
        <v>0.4826054526608442</v>
      </c>
      <c r="O6" s="34"/>
      <c r="P6" s="34"/>
      <c r="R6" s="33"/>
    </row>
    <row r="7" spans="1:18">
      <c r="A7" s="33" t="s">
        <v>53</v>
      </c>
      <c r="B7" s="38">
        <f t="shared" ref="B7:B12" si="0">B27</f>
        <v>1060.3654923013401</v>
      </c>
      <c r="C7" s="34"/>
      <c r="D7" s="38">
        <f>IF(ISERROR(TER_horeca_gas_kWh/1000),0,TER_horeca_gas_kWh/1000)*0.902</f>
        <v>1672.066264</v>
      </c>
      <c r="E7" s="34">
        <f>$C$27*'E Balans VL '!I9/100/3.6*1000000</f>
        <v>55.025296081541832</v>
      </c>
      <c r="F7" s="34">
        <f>$C$27*('E Balans VL '!L9+'E Balans VL '!N9)/100/3.6*1000000</f>
        <v>241.97617474818031</v>
      </c>
      <c r="G7" s="35"/>
      <c r="H7" s="34"/>
      <c r="I7" s="34"/>
      <c r="J7" s="34">
        <f>$C$27*('E Balans VL '!D9+'E Balans VL '!E9)/100/3.6*1000000</f>
        <v>0</v>
      </c>
      <c r="K7" s="34"/>
      <c r="L7" s="34"/>
      <c r="M7" s="34"/>
      <c r="N7" s="34">
        <f>$C$27*'E Balans VL '!Y9/100/3.6*1000000</f>
        <v>0.11197411005333463</v>
      </c>
      <c r="O7" s="34"/>
      <c r="P7" s="34"/>
      <c r="R7" s="33"/>
    </row>
    <row r="8" spans="1:18">
      <c r="A8" s="6" t="s">
        <v>52</v>
      </c>
      <c r="B8" s="38">
        <f t="shared" si="0"/>
        <v>3431.6360039429201</v>
      </c>
      <c r="C8" s="34"/>
      <c r="D8" s="38">
        <f>IF(ISERROR(TER_handel_gas_kWh/1000),0,TER_handel_gas_kWh/1000)*0.902</f>
        <v>2368.380498</v>
      </c>
      <c r="E8" s="34">
        <f>$C$28*'E Balans VL '!I13/100/3.6*1000000</f>
        <v>18.479781573250108</v>
      </c>
      <c r="F8" s="34">
        <f>$C$28*('E Balans VL '!L13+'E Balans VL '!N13)/100/3.6*1000000</f>
        <v>699.81256024107665</v>
      </c>
      <c r="G8" s="35"/>
      <c r="H8" s="34"/>
      <c r="I8" s="34"/>
      <c r="J8" s="34">
        <f>$C$28*('E Balans VL '!D13+'E Balans VL '!E13)/100/3.6*1000000</f>
        <v>0</v>
      </c>
      <c r="K8" s="34"/>
      <c r="L8" s="34"/>
      <c r="M8" s="34"/>
      <c r="N8" s="34">
        <f>$C$28*'E Balans VL '!Y13/100/3.6*1000000</f>
        <v>17.063713652554899</v>
      </c>
      <c r="O8" s="34"/>
      <c r="P8" s="34"/>
      <c r="R8" s="33"/>
    </row>
    <row r="9" spans="1:18">
      <c r="A9" s="33" t="s">
        <v>51</v>
      </c>
      <c r="B9" s="38">
        <f t="shared" si="0"/>
        <v>267.996265110835</v>
      </c>
      <c r="C9" s="34"/>
      <c r="D9" s="38">
        <f>IF(ISERROR(TER_gezond_gas_kWh/1000),0,TER_gezond_gas_kWh/1000)*0.902</f>
        <v>1069.980362</v>
      </c>
      <c r="E9" s="34">
        <f>$C$29*'E Balans VL '!I10/100/3.6*1000000</f>
        <v>0.26558734636575132</v>
      </c>
      <c r="F9" s="34">
        <f>$C$29*('E Balans VL '!L10+'E Balans VL '!N10)/100/3.6*1000000</f>
        <v>92.986979297470896</v>
      </c>
      <c r="G9" s="35"/>
      <c r="H9" s="34"/>
      <c r="I9" s="34"/>
      <c r="J9" s="34">
        <f>$C$29*('E Balans VL '!D10+'E Balans VL '!E10)/100/3.6*1000000</f>
        <v>0</v>
      </c>
      <c r="K9" s="34"/>
      <c r="L9" s="34"/>
      <c r="M9" s="34"/>
      <c r="N9" s="34">
        <f>$C$29*'E Balans VL '!Y10/100/3.6*1000000</f>
        <v>2.3093006000549248</v>
      </c>
      <c r="O9" s="34"/>
      <c r="P9" s="34"/>
      <c r="R9" s="33"/>
    </row>
    <row r="10" spans="1:18">
      <c r="A10" s="33" t="s">
        <v>50</v>
      </c>
      <c r="B10" s="38">
        <f t="shared" si="0"/>
        <v>1339.87959572512</v>
      </c>
      <c r="C10" s="34"/>
      <c r="D10" s="38">
        <f>IF(ISERROR(TER_ander_gas_kWh/1000),0,TER_ander_gas_kWh/1000)*0.902</f>
        <v>659.05802600000004</v>
      </c>
      <c r="E10" s="34">
        <f>$C$30*'E Balans VL '!I14/100/3.6*1000000</f>
        <v>10.961554207318585</v>
      </c>
      <c r="F10" s="34">
        <f>$C$30*('E Balans VL '!L14+'E Balans VL '!N14)/100/3.6*1000000</f>
        <v>391.72624503246448</v>
      </c>
      <c r="G10" s="35"/>
      <c r="H10" s="34"/>
      <c r="I10" s="34"/>
      <c r="J10" s="34">
        <f>$C$30*('E Balans VL '!D14+'E Balans VL '!E14)/100/3.6*1000000</f>
        <v>0</v>
      </c>
      <c r="K10" s="34"/>
      <c r="L10" s="34"/>
      <c r="M10" s="34"/>
      <c r="N10" s="34">
        <f>$C$30*'E Balans VL '!Y14/100/3.6*1000000</f>
        <v>772.93471967571804</v>
      </c>
      <c r="O10" s="34"/>
      <c r="P10" s="34"/>
      <c r="R10" s="33"/>
    </row>
    <row r="11" spans="1:18">
      <c r="A11" s="33" t="s">
        <v>55</v>
      </c>
      <c r="B11" s="38">
        <f t="shared" si="0"/>
        <v>866.49978956406403</v>
      </c>
      <c r="C11" s="34"/>
      <c r="D11" s="38">
        <f>IF(ISERROR(TER_onderwijs_gas_kWh/1000),0,TER_onderwijs_gas_kWh/1000)*0.902</f>
        <v>1420.732082</v>
      </c>
      <c r="E11" s="34">
        <f>$C$31*'E Balans VL '!I11/100/3.6*1000000</f>
        <v>0.53407390903129948</v>
      </c>
      <c r="F11" s="34">
        <f>$C$31*('E Balans VL '!L11+'E Balans VL '!N11)/100/3.6*1000000</f>
        <v>335.00285132302054</v>
      </c>
      <c r="G11" s="35"/>
      <c r="H11" s="34"/>
      <c r="I11" s="34"/>
      <c r="J11" s="34">
        <f>$C$31*('E Balans VL '!D11+'E Balans VL '!E11)/100/3.6*1000000</f>
        <v>0</v>
      </c>
      <c r="K11" s="34"/>
      <c r="L11" s="34"/>
      <c r="M11" s="34"/>
      <c r="N11" s="34">
        <f>$C$31*'E Balans VL '!Y11/100/3.6*1000000</f>
        <v>2.8185381285116811</v>
      </c>
      <c r="O11" s="34"/>
      <c r="P11" s="34"/>
      <c r="R11" s="33"/>
    </row>
    <row r="12" spans="1:18">
      <c r="A12" s="33" t="s">
        <v>260</v>
      </c>
      <c r="B12" s="38">
        <f t="shared" si="0"/>
        <v>1666.18999304008</v>
      </c>
      <c r="C12" s="34"/>
      <c r="D12" s="38">
        <f>IF(ISERROR(TER_rest_gas_kWh/1000),0,TER_rest_gas_kWh/1000)*0.902</f>
        <v>0</v>
      </c>
      <c r="E12" s="34">
        <f>$C$32*'E Balans VL '!I8/100/3.6*1000000</f>
        <v>14.396449196935647</v>
      </c>
      <c r="F12" s="34">
        <f>$C$32*('E Balans VL '!L8+'E Balans VL '!N8)/100/3.6*1000000</f>
        <v>331.88399527078587</v>
      </c>
      <c r="G12" s="35"/>
      <c r="H12" s="34"/>
      <c r="I12" s="34"/>
      <c r="J12" s="34">
        <f>$C$32*('E Balans VL '!D8+'E Balans VL '!E8)/100/3.6*1000000</f>
        <v>0</v>
      </c>
      <c r="K12" s="34"/>
      <c r="L12" s="34"/>
      <c r="M12" s="34"/>
      <c r="N12" s="34">
        <f>$C$32*'E Balans VL '!Y8/100/3.6*1000000</f>
        <v>109.59014091205445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11021.167800961139</v>
      </c>
      <c r="C16" s="22">
        <f t="shared" ca="1" si="1"/>
        <v>0</v>
      </c>
      <c r="D16" s="22">
        <f t="shared" ca="1" si="1"/>
        <v>15222.838422000001</v>
      </c>
      <c r="E16" s="22">
        <f t="shared" si="1"/>
        <v>103.58292011126532</v>
      </c>
      <c r="F16" s="22">
        <f t="shared" ca="1" si="1"/>
        <v>2374.9486231559258</v>
      </c>
      <c r="G16" s="22">
        <f t="shared" si="1"/>
        <v>0</v>
      </c>
      <c r="H16" s="22">
        <f t="shared" si="1"/>
        <v>0</v>
      </c>
      <c r="I16" s="22">
        <f t="shared" si="1"/>
        <v>0</v>
      </c>
      <c r="J16" s="22">
        <f t="shared" si="1"/>
        <v>0</v>
      </c>
      <c r="K16" s="22">
        <f t="shared" si="1"/>
        <v>0</v>
      </c>
      <c r="L16" s="22">
        <f t="shared" ca="1" si="1"/>
        <v>0</v>
      </c>
      <c r="M16" s="22">
        <f t="shared" si="1"/>
        <v>0</v>
      </c>
      <c r="N16" s="22">
        <f t="shared" ca="1" si="1"/>
        <v>905.31099253160824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0.20824569897649683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2295.110792248413</v>
      </c>
      <c r="C20" s="24">
        <f t="shared" ref="C20:P20" ca="1" si="2">C16*C18</f>
        <v>0</v>
      </c>
      <c r="D20" s="24">
        <f t="shared" ca="1" si="2"/>
        <v>3075.0133612440004</v>
      </c>
      <c r="E20" s="24">
        <f t="shared" si="2"/>
        <v>23.51332286525723</v>
      </c>
      <c r="F20" s="24">
        <f t="shared" ca="1" si="2"/>
        <v>634.11128238263223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2388.6006612767801</v>
      </c>
      <c r="C26" s="40">
        <f>IF(ISERROR(B26*3.6/1000000/'E Balans VL '!Z12*100),0,B26*3.6/1000000/'E Balans VL '!Z12*100)</f>
        <v>5.0756051112446368E-2</v>
      </c>
      <c r="D26" s="240" t="s">
        <v>707</v>
      </c>
      <c r="F26" s="6"/>
    </row>
    <row r="27" spans="1:18">
      <c r="A27" s="234" t="s">
        <v>53</v>
      </c>
      <c r="B27" s="34">
        <f>IF(ISERROR(TER_horeca_ele_kWh/1000),0,TER_horeca_ele_kWh/1000)</f>
        <v>1060.3654923013401</v>
      </c>
      <c r="C27" s="40">
        <f>IF(ISERROR(B27*3.6/1000000/'E Balans VL '!Z9*100),0,B27*3.6/1000000/'E Balans VL '!Z9*100)</f>
        <v>8.3458964014907808E-2</v>
      </c>
      <c r="D27" s="240" t="s">
        <v>707</v>
      </c>
      <c r="F27" s="6"/>
    </row>
    <row r="28" spans="1:18">
      <c r="A28" s="174" t="s">
        <v>52</v>
      </c>
      <c r="B28" s="34">
        <f>IF(ISERROR(TER_handel_ele_kWh/1000),0,TER_handel_ele_kWh/1000)</f>
        <v>3431.6360039429201</v>
      </c>
      <c r="C28" s="40">
        <f>IF(ISERROR(B28*3.6/1000000/'E Balans VL '!Z13*100),0,B28*3.6/1000000/'E Balans VL '!Z13*100)</f>
        <v>9.612196100952447E-2</v>
      </c>
      <c r="D28" s="240" t="s">
        <v>707</v>
      </c>
      <c r="F28" s="6"/>
    </row>
    <row r="29" spans="1:18">
      <c r="A29" s="234" t="s">
        <v>51</v>
      </c>
      <c r="B29" s="34">
        <f>IF(ISERROR(TER_gezond_ele_kWh/1000),0,TER_gezond_ele_kWh/1000)</f>
        <v>267.996265110835</v>
      </c>
      <c r="C29" s="40">
        <f>IF(ISERROR(B29*3.6/1000000/'E Balans VL '!Z10*100),0,B29*3.6/1000000/'E Balans VL '!Z10*100)</f>
        <v>3.4284826188353879E-2</v>
      </c>
      <c r="D29" s="240" t="s">
        <v>707</v>
      </c>
      <c r="F29" s="6"/>
    </row>
    <row r="30" spans="1:18">
      <c r="A30" s="234" t="s">
        <v>50</v>
      </c>
      <c r="B30" s="34">
        <f>IF(ISERROR(TER_ander_ele_kWh/1000),0,TER_ander_ele_kWh/1000)</f>
        <v>1339.87959572512</v>
      </c>
      <c r="C30" s="40">
        <f>IF(ISERROR(B30*3.6/1000000/'E Balans VL '!Z14*100),0,B30*3.6/1000000/'E Balans VL '!Z14*100)</f>
        <v>0.1002117037375411</v>
      </c>
      <c r="D30" s="240" t="s">
        <v>707</v>
      </c>
      <c r="F30" s="6"/>
    </row>
    <row r="31" spans="1:18">
      <c r="A31" s="234" t="s">
        <v>55</v>
      </c>
      <c r="B31" s="34">
        <f>IF(ISERROR(TER_onderwijs_ele_kWh/1000),0,TER_onderwijs_ele_kWh/1000)</f>
        <v>866.49978956406403</v>
      </c>
      <c r="C31" s="40">
        <f>IF(ISERROR(B31*3.6/1000000/'E Balans VL '!Z11*100),0,B31*3.6/1000000/'E Balans VL '!Z11*100)</f>
        <v>0.18296255297057326</v>
      </c>
      <c r="D31" s="240" t="s">
        <v>707</v>
      </c>
    </row>
    <row r="32" spans="1:18">
      <c r="A32" s="234" t="s">
        <v>260</v>
      </c>
      <c r="B32" s="34">
        <f>IF(ISERROR(TER_rest_ele_kWh/1000),0,TER_rest_ele_kWh/1000)</f>
        <v>1666.18999304008</v>
      </c>
      <c r="C32" s="40">
        <f>IF(ISERROR(B32*3.6/1000000/'E Balans VL '!Z8*100),0,B32*3.6/1000000/'E Balans VL '!Z8*100)</f>
        <v>1.3725959970779569E-2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5103.523802974667</v>
      </c>
      <c r="C5" s="18">
        <f>IF(ISERROR('Eigen informatie GS &amp; warmtenet'!B59),0,'Eigen informatie GS &amp; warmtenet'!B59)</f>
        <v>0</v>
      </c>
      <c r="D5" s="31">
        <f>SUM(D6:D15)</f>
        <v>31903.396337999999</v>
      </c>
      <c r="E5" s="18">
        <f>SUM(E6:E15)</f>
        <v>44.211916323933472</v>
      </c>
      <c r="F5" s="18">
        <f>SUM(F6:F15)</f>
        <v>1345.2473947461031</v>
      </c>
      <c r="G5" s="19"/>
      <c r="H5" s="18"/>
      <c r="I5" s="18"/>
      <c r="J5" s="18">
        <f>SUM(J6:J15)</f>
        <v>20.865924087230081</v>
      </c>
      <c r="K5" s="18"/>
      <c r="L5" s="18"/>
      <c r="M5" s="18"/>
      <c r="N5" s="18">
        <f>SUM(N6:N15)</f>
        <v>175.77134781432801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80.420310447132792</v>
      </c>
      <c r="C8" s="34"/>
      <c r="D8" s="38">
        <f>IF( ISERROR(IND_metaal_Gas_kWH/1000),0,IND_metaal_Gas_kWH/1000)*0.902</f>
        <v>108.32569000000001</v>
      </c>
      <c r="E8" s="34">
        <f>C30*'E Balans VL '!I18/100/3.6*1000000</f>
        <v>0.73237327450854817</v>
      </c>
      <c r="F8" s="34">
        <f>C30*'E Balans VL '!L18/100/3.6*1000000+C30*'E Balans VL '!N18/100/3.6*1000000</f>
        <v>10.606828225649794</v>
      </c>
      <c r="G8" s="35"/>
      <c r="H8" s="34"/>
      <c r="I8" s="34"/>
      <c r="J8" s="41">
        <f>C30*'E Balans VL '!D18/100/3.6*1000000+C30*'E Balans VL '!E18/100/3.6*1000000</f>
        <v>1.3187763252468292</v>
      </c>
      <c r="K8" s="34"/>
      <c r="L8" s="34"/>
      <c r="M8" s="34"/>
      <c r="N8" s="34">
        <f>C30*'E Balans VL '!Y18/100/3.6*1000000</f>
        <v>0.27637266012042022</v>
      </c>
      <c r="O8" s="34"/>
      <c r="P8" s="34"/>
      <c r="R8" s="33"/>
    </row>
    <row r="9" spans="1:18">
      <c r="A9" s="6" t="s">
        <v>33</v>
      </c>
      <c r="B9" s="38">
        <f t="shared" si="0"/>
        <v>648.81999877168005</v>
      </c>
      <c r="C9" s="34"/>
      <c r="D9" s="38">
        <f>IF( ISERROR(IND_andere_gas_kWh/1000),0,IND_andere_gas_kWh/1000)*0.902</f>
        <v>1275.28368</v>
      </c>
      <c r="E9" s="34">
        <f>C31*'E Balans VL '!I19/100/3.6*1000000</f>
        <v>3.7502765510294309</v>
      </c>
      <c r="F9" s="34">
        <f>C31*'E Balans VL '!L19/100/3.6*1000000+C31*'E Balans VL '!N19/100/3.6*1000000</f>
        <v>516.16752900579218</v>
      </c>
      <c r="G9" s="35"/>
      <c r="H9" s="34"/>
      <c r="I9" s="34"/>
      <c r="J9" s="41">
        <f>C31*'E Balans VL '!D19/100/3.6*1000000+C31*'E Balans VL '!E19/100/3.6*1000000</f>
        <v>6.1371164995381026E-2</v>
      </c>
      <c r="K9" s="34"/>
      <c r="L9" s="34"/>
      <c r="M9" s="34"/>
      <c r="N9" s="34">
        <f>C31*'E Balans VL '!Y19/100/3.6*1000000</f>
        <v>49.157933699346437</v>
      </c>
      <c r="O9" s="34"/>
      <c r="P9" s="34"/>
      <c r="R9" s="33"/>
    </row>
    <row r="10" spans="1:18">
      <c r="A10" s="6" t="s">
        <v>41</v>
      </c>
      <c r="B10" s="38">
        <f t="shared" si="0"/>
        <v>499.81617217879398</v>
      </c>
      <c r="C10" s="34"/>
      <c r="D10" s="38">
        <f>IF( ISERROR(IND_voed_gas_kWh/1000),0,IND_voed_gas_kWh/1000)*0.902</f>
        <v>30396.1823</v>
      </c>
      <c r="E10" s="34">
        <f>C32*'E Balans VL '!I20/100/3.6*1000000</f>
        <v>4.9145005672535031</v>
      </c>
      <c r="F10" s="34">
        <f>C32*'E Balans VL '!L20/100/3.6*1000000+C32*'E Balans VL '!N20/100/3.6*1000000</f>
        <v>55.511109843211685</v>
      </c>
      <c r="G10" s="35"/>
      <c r="H10" s="34"/>
      <c r="I10" s="34"/>
      <c r="J10" s="41">
        <f>C32*'E Balans VL '!D20/100/3.6*1000000+C32*'E Balans VL '!E20/100/3.6*1000000</f>
        <v>1.9700024374455271E-3</v>
      </c>
      <c r="K10" s="34"/>
      <c r="L10" s="34"/>
      <c r="M10" s="34"/>
      <c r="N10" s="34">
        <f>C32*'E Balans VL '!Y20/100/3.6*1000000</f>
        <v>7.4011018184039985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3874.4673215770599</v>
      </c>
      <c r="C15" s="34"/>
      <c r="D15" s="38">
        <f>IF( ISERROR(IND_rest_gas_kWh/1000),0,IND_rest_gas_kWh/1000)*0.902</f>
        <v>123.60466799999999</v>
      </c>
      <c r="E15" s="34">
        <f>C37*'E Balans VL '!I15/100/3.6*1000000</f>
        <v>34.814765931141991</v>
      </c>
      <c r="F15" s="34">
        <f>C37*'E Balans VL '!L15/100/3.6*1000000+C37*'E Balans VL '!N15/100/3.6*1000000</f>
        <v>762.96192767144953</v>
      </c>
      <c r="G15" s="35"/>
      <c r="H15" s="34"/>
      <c r="I15" s="34"/>
      <c r="J15" s="41">
        <f>C37*'E Balans VL '!D15/100/3.6*1000000+C37*'E Balans VL '!E15/100/3.6*1000000</f>
        <v>19.483806594550426</v>
      </c>
      <c r="K15" s="34"/>
      <c r="L15" s="34"/>
      <c r="M15" s="34"/>
      <c r="N15" s="34">
        <f>C37*'E Balans VL '!Y15/100/3.6*1000000</f>
        <v>118.93593963645715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5103.523802974667</v>
      </c>
      <c r="C18" s="22">
        <f>C5+C16</f>
        <v>0</v>
      </c>
      <c r="D18" s="22">
        <f>MAX((D5+D16),0)</f>
        <v>31903.396337999999</v>
      </c>
      <c r="E18" s="22">
        <f>MAX((E5+E16),0)</f>
        <v>44.211916323933472</v>
      </c>
      <c r="F18" s="22">
        <f>MAX((F5+F16),0)</f>
        <v>1345.2473947461031</v>
      </c>
      <c r="G18" s="22"/>
      <c r="H18" s="22"/>
      <c r="I18" s="22"/>
      <c r="J18" s="22">
        <f>MAX((J5+J16),0)</f>
        <v>20.865924087230081</v>
      </c>
      <c r="K18" s="22"/>
      <c r="L18" s="22">
        <f>MAX((L5+L16),0)</f>
        <v>0</v>
      </c>
      <c r="M18" s="22"/>
      <c r="N18" s="22">
        <f>MAX((N5+N16),0)</f>
        <v>175.77134781432801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0.20824569897649683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1062.7868815936488</v>
      </c>
      <c r="C22" s="24">
        <f ca="1">C18*C20</f>
        <v>0</v>
      </c>
      <c r="D22" s="24">
        <f>D18*D20</f>
        <v>6444.486060276</v>
      </c>
      <c r="E22" s="24">
        <f>E18*E20</f>
        <v>10.036105005532898</v>
      </c>
      <c r="F22" s="24">
        <f>F18*F20</f>
        <v>359.18105439720955</v>
      </c>
      <c r="G22" s="24"/>
      <c r="H22" s="24"/>
      <c r="I22" s="24"/>
      <c r="J22" s="24">
        <f>J18*J20</f>
        <v>7.386537126879448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80.420310447132792</v>
      </c>
      <c r="C30" s="40">
        <f>IF(ISERROR(B30*3.6/1000000/'E Balans VL '!Z18*100),0,B30*3.6/1000000/'E Balans VL '!Z18*100)</f>
        <v>4.4748525103808718E-3</v>
      </c>
      <c r="D30" s="240" t="s">
        <v>707</v>
      </c>
    </row>
    <row r="31" spans="1:18">
      <c r="A31" s="6" t="s">
        <v>33</v>
      </c>
      <c r="B31" s="38">
        <f>IF( ISERROR(IND_ander_ele_kWh/1000),0,IND_ander_ele_kWh/1000)</f>
        <v>648.81999877168005</v>
      </c>
      <c r="C31" s="40">
        <f>IF(ISERROR(B31*3.6/1000000/'E Balans VL '!Z19*100),0,B31*3.6/1000000/'E Balans VL '!Z19*100)</f>
        <v>3.01619377451702E-2</v>
      </c>
      <c r="D31" s="240" t="s">
        <v>707</v>
      </c>
    </row>
    <row r="32" spans="1:18">
      <c r="A32" s="174" t="s">
        <v>41</v>
      </c>
      <c r="B32" s="38">
        <f>IF( ISERROR(IND_voed_ele_kWh/1000),0,IND_voed_ele_kWh/1000)</f>
        <v>499.81617217879398</v>
      </c>
      <c r="C32" s="40">
        <f>IF(ISERROR(B32*3.6/1000000/'E Balans VL '!Z20*100),0,B32*3.6/1000000/'E Balans VL '!Z20*100)</f>
        <v>1.7667492265011211E-2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3874.4673215770599</v>
      </c>
      <c r="C37" s="40">
        <f>IF(ISERROR(B37*3.6/1000000/'E Balans VL '!Z15*100),0,B37*3.6/1000000/'E Balans VL '!Z15*100)</f>
        <v>2.9257951731612643E-2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410.20040268025701</v>
      </c>
      <c r="C5" s="18">
        <f>'Eigen informatie GS &amp; warmtenet'!B60</f>
        <v>0</v>
      </c>
      <c r="D5" s="31">
        <f>IF(ISERROR(SUM(LB_lb_gas_kWh,LB_rest_gas_kWh)/1000),0,SUM(LB_lb_gas_kWh,LB_rest_gas_kWh)/1000)*0.902</f>
        <v>101.20440000000001</v>
      </c>
      <c r="E5" s="18">
        <f>B17*'E Balans VL '!I25/3.6*1000000/100</f>
        <v>3.8643626365335275</v>
      </c>
      <c r="F5" s="18">
        <f>B17*('E Balans VL '!L25/3.6*1000000+'E Balans VL '!N25/3.6*1000000)/100</f>
        <v>1338.6200475036351</v>
      </c>
      <c r="G5" s="19"/>
      <c r="H5" s="18"/>
      <c r="I5" s="18"/>
      <c r="J5" s="18">
        <f>('E Balans VL '!D25+'E Balans VL '!E25)/3.6*1000000*landbouw!B17/100</f>
        <v>50.74378502592316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410.20040268025701</v>
      </c>
      <c r="C8" s="22">
        <f>C5+C6</f>
        <v>0</v>
      </c>
      <c r="D8" s="22">
        <f>MAX((D5+D6),0)</f>
        <v>101.20440000000001</v>
      </c>
      <c r="E8" s="22">
        <f>MAX((E5+E6),0)</f>
        <v>3.8643626365335275</v>
      </c>
      <c r="F8" s="22">
        <f>MAX((F5+F6),0)</f>
        <v>1338.6200475036351</v>
      </c>
      <c r="G8" s="22"/>
      <c r="H8" s="22"/>
      <c r="I8" s="22"/>
      <c r="J8" s="22">
        <f>MAX((J5+J6),0)</f>
        <v>50.74378502592316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0.20824569897649683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85.422469576590586</v>
      </c>
      <c r="C12" s="24">
        <f ca="1">C8*C10</f>
        <v>0</v>
      </c>
      <c r="D12" s="24">
        <f>D8*D10</f>
        <v>20.443288800000001</v>
      </c>
      <c r="E12" s="24">
        <f>E8*E10</f>
        <v>0.87721031849311082</v>
      </c>
      <c r="F12" s="24">
        <f>F8*F10</f>
        <v>357.41155268347057</v>
      </c>
      <c r="G12" s="24"/>
      <c r="H12" s="24"/>
      <c r="I12" s="24"/>
      <c r="J12" s="24">
        <f>J8*J10</f>
        <v>17.963299899176796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5.5534579730008832E-2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118.30754392773754</v>
      </c>
      <c r="C26" s="250">
        <f>B26*'GWP N2O_CH4'!B5</f>
        <v>2484.4584224824885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16.398995471990915</v>
      </c>
      <c r="C27" s="250">
        <f>B27*'GWP N2O_CH4'!B5</f>
        <v>344.37890491180923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1.6439771227225028</v>
      </c>
      <c r="C28" s="250">
        <f>B28*'GWP N2O_CH4'!B4</f>
        <v>509.63290804397587</v>
      </c>
      <c r="D28" s="51"/>
    </row>
    <row r="29" spans="1:4">
      <c r="A29" s="42" t="s">
        <v>277</v>
      </c>
      <c r="B29" s="250">
        <f>B34*'ha_N2O bodem landbouw'!B4</f>
        <v>6.4750383387609087</v>
      </c>
      <c r="C29" s="250">
        <f>B29*'GWP N2O_CH4'!B4</f>
        <v>2007.2618850158817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1.7480565155307526E-3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8.0791553146342125E-6</v>
      </c>
      <c r="C5" s="447" t="s">
        <v>211</v>
      </c>
      <c r="D5" s="432">
        <f>SUM(D6:D11)</f>
        <v>2.2264109606524007E-5</v>
      </c>
      <c r="E5" s="432">
        <f>SUM(E6:E11)</f>
        <v>1.4679056143930998E-3</v>
      </c>
      <c r="F5" s="445" t="s">
        <v>211</v>
      </c>
      <c r="G5" s="432">
        <f>SUM(G6:G11)</f>
        <v>0.35438854529757624</v>
      </c>
      <c r="H5" s="432">
        <f>SUM(H6:H11)</f>
        <v>5.1064730939519645E-2</v>
      </c>
      <c r="I5" s="447" t="s">
        <v>211</v>
      </c>
      <c r="J5" s="447" t="s">
        <v>211</v>
      </c>
      <c r="K5" s="447" t="s">
        <v>211</v>
      </c>
      <c r="L5" s="447" t="s">
        <v>211</v>
      </c>
      <c r="M5" s="432">
        <f>SUM(M6:M11)</f>
        <v>1.811696345079062E-2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2.4054482809169942E-6</v>
      </c>
      <c r="C6" s="433"/>
      <c r="D6" s="433">
        <f>vkm_2011_GW_PW*SUMIFS(TableVerdeelsleutelVkm[CNG],TableVerdeelsleutelVkm[Voertuigtype],"Lichte voertuigen")*SUMIFS(TableECFTransport[EnergieConsumptieFactor (PJ per km)],TableECFTransport[Index],CONCATENATE($A6,"_CNG_CNG"))</f>
        <v>5.8741449862977149E-6</v>
      </c>
      <c r="E6" s="435">
        <f>vkm_2011_GW_PW*SUMIFS(TableVerdeelsleutelVkm[LPG],TableVerdeelsleutelVkm[Voertuigtype],"Lichte voertuigen")*SUMIFS(TableECFTransport[EnergieConsumptieFactor (PJ per km)],TableECFTransport[Index],CONCATENATE($A6,"_LPG_LPG"))</f>
        <v>3.4818895802281552E-4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5.0334809794784094E-2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1.3191307554914858E-2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2.8448165254401181E-3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2.404548108954151E-2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9.7014141651192559E-6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1.0712187429193171E-3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1.1060403148174103E-6</v>
      </c>
      <c r="C8" s="433"/>
      <c r="D8" s="435">
        <f>vkm_2011_NGW_PW*SUMIFS(TableVerdeelsleutelVkm[CNG],TableVerdeelsleutelVkm[Voertuigtype],"Lichte voertuigen")*SUMIFS(TableECFTransport[EnergieConsumptieFactor (PJ per km)],TableECFTransport[Index],CONCATENATE($A8,"_CNG_CNG"))</f>
        <v>4.845997232920624E-6</v>
      </c>
      <c r="E8" s="435">
        <f>vkm_2011_NGW_PW*SUMIFS(TableVerdeelsleutelVkm[LPG],TableVerdeelsleutelVkm[Voertuigtype],"Lichte voertuigen")*SUMIFS(TableECFTransport[EnergieConsumptieFactor (PJ per km)],TableECFTransport[Index],CONCATENATE($A8,"_LPG_LPG"))</f>
        <v>2.635190994403927E-4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3.5987571056325315E-2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1.0420995201478636E-2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2.079207447399244E-3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2.637158580793933E-3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9.2641199495385357E-7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1.1747830625761022E-4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4.5676667188998074E-6</v>
      </c>
      <c r="C10" s="433"/>
      <c r="D10" s="435">
        <f>vkm_2011_SW_PW*SUMIFS(TableVerdeelsleutelVkm[CNG],TableVerdeelsleutelVkm[Voertuigtype],"Lichte voertuigen")*SUMIFS(TableECFTransport[EnergieConsumptieFactor (PJ per km)],TableECFTransport[Index],CONCATENATE($A10,"_CNG_CNG"))</f>
        <v>1.1543967387305667E-5</v>
      </c>
      <c r="E10" s="435">
        <f>vkm_2011_SW_PW*SUMIFS(TableVerdeelsleutelVkm[LPG],TableVerdeelsleutelVkm[Voertuigtype],"Lichte voertuigen")*SUMIFS(TableECFTransport[EnergieConsumptieFactor (PJ per km)],TableECFTransport[Index],CONCATENATE($A10,"_LPG_LPG"))</f>
        <v>8.5619755692989158E-4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0.11279923938398302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2.7386759674273793E-2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6.2757076773201706E-3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0.12858428539214836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5.5040682692287001E-5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5.7285347514541615E-3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2.2442098096206147</v>
      </c>
      <c r="C14" s="22"/>
      <c r="D14" s="22">
        <f t="shared" ref="D14:M14" si="0">((D5)*10^9/3600)+D12</f>
        <v>6.1844748907011127</v>
      </c>
      <c r="E14" s="22">
        <f t="shared" si="0"/>
        <v>407.75155955363886</v>
      </c>
      <c r="F14" s="22"/>
      <c r="G14" s="22">
        <f t="shared" si="0"/>
        <v>98441.262582660071</v>
      </c>
      <c r="H14" s="22">
        <f t="shared" si="0"/>
        <v>14184.6474831999</v>
      </c>
      <c r="I14" s="22"/>
      <c r="J14" s="22"/>
      <c r="K14" s="22"/>
      <c r="L14" s="22"/>
      <c r="M14" s="22">
        <f t="shared" si="0"/>
        <v>5032.4898474418396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0.20824569897649683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0.46734704045435577</v>
      </c>
      <c r="C18" s="24"/>
      <c r="D18" s="24">
        <f t="shared" ref="D18:M18" si="1">D14*D16</f>
        <v>1.2492639279216249</v>
      </c>
      <c r="E18" s="24">
        <f t="shared" si="1"/>
        <v>92.559604018676026</v>
      </c>
      <c r="F18" s="24"/>
      <c r="G18" s="24">
        <f t="shared" si="1"/>
        <v>26283.817109570242</v>
      </c>
      <c r="H18" s="24">
        <f t="shared" si="1"/>
        <v>3531.9772233167751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6.3265488970424026E-3</v>
      </c>
      <c r="H50" s="323">
        <f t="shared" si="2"/>
        <v>0</v>
      </c>
      <c r="I50" s="323">
        <f t="shared" si="2"/>
        <v>0</v>
      </c>
      <c r="J50" s="323">
        <f t="shared" si="2"/>
        <v>0</v>
      </c>
      <c r="K50" s="323">
        <f t="shared" si="2"/>
        <v>0</v>
      </c>
      <c r="L50" s="323">
        <f t="shared" si="2"/>
        <v>0</v>
      </c>
      <c r="M50" s="323">
        <f t="shared" si="2"/>
        <v>2.7780919836433923E-4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6.3265488970424026E-3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2.7780919836433923E-4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1757.3746936228897</v>
      </c>
      <c r="H54" s="22">
        <f t="shared" si="3"/>
        <v>0</v>
      </c>
      <c r="I54" s="22">
        <f t="shared" si="3"/>
        <v>0</v>
      </c>
      <c r="J54" s="22">
        <f t="shared" si="3"/>
        <v>0</v>
      </c>
      <c r="K54" s="22">
        <f t="shared" si="3"/>
        <v>0</v>
      </c>
      <c r="L54" s="22">
        <f t="shared" si="3"/>
        <v>0</v>
      </c>
      <c r="M54" s="22">
        <f t="shared" si="3"/>
        <v>77.169221767872017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0.20824569897649683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469.21904319731158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11848.558800961138</v>
      </c>
      <c r="D10" s="688">
        <f ca="1">tertiair!C16</f>
        <v>0</v>
      </c>
      <c r="E10" s="688">
        <f ca="1">tertiair!D16</f>
        <v>15222.838422000001</v>
      </c>
      <c r="F10" s="688">
        <f>tertiair!E16</f>
        <v>103.58292011126532</v>
      </c>
      <c r="G10" s="688">
        <f ca="1">tertiair!F16</f>
        <v>2374.9486231559258</v>
      </c>
      <c r="H10" s="688">
        <f>tertiair!G16</f>
        <v>0</v>
      </c>
      <c r="I10" s="688">
        <f>tertiair!H16</f>
        <v>0</v>
      </c>
      <c r="J10" s="688">
        <f>tertiair!I16</f>
        <v>0</v>
      </c>
      <c r="K10" s="688">
        <f>tertiair!J16</f>
        <v>0</v>
      </c>
      <c r="L10" s="688">
        <f>tertiair!K16</f>
        <v>0</v>
      </c>
      <c r="M10" s="688">
        <f ca="1">tertiair!L16</f>
        <v>0</v>
      </c>
      <c r="N10" s="688">
        <f>tertiair!M16</f>
        <v>0</v>
      </c>
      <c r="O10" s="688">
        <f ca="1">tertiair!N16</f>
        <v>905.31099253160824</v>
      </c>
      <c r="P10" s="688">
        <f>tertiair!O16</f>
        <v>0</v>
      </c>
      <c r="Q10" s="689">
        <f>tertiair!P16</f>
        <v>0</v>
      </c>
      <c r="R10" s="691">
        <f ca="1">SUM(C10:Q10)</f>
        <v>30455.239758759941</v>
      </c>
      <c r="S10" s="68"/>
    </row>
    <row r="11" spans="1:19" s="457" customFormat="1">
      <c r="A11" s="803" t="s">
        <v>225</v>
      </c>
      <c r="B11" s="808"/>
      <c r="C11" s="688">
        <f>huishoudens!B8</f>
        <v>31461.814128664537</v>
      </c>
      <c r="D11" s="688">
        <f>huishoudens!C8</f>
        <v>0</v>
      </c>
      <c r="E11" s="688">
        <f>huishoudens!D8</f>
        <v>99540.565831047221</v>
      </c>
      <c r="F11" s="688">
        <f>huishoudens!E8</f>
        <v>324.54044269706424</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7829.4086686489445</v>
      </c>
      <c r="P11" s="688">
        <f>huishoudens!O8</f>
        <v>56.280000000000008</v>
      </c>
      <c r="Q11" s="689">
        <f>huishoudens!P8</f>
        <v>152.53333333333333</v>
      </c>
      <c r="R11" s="691">
        <f>SUM(C11:Q11)</f>
        <v>139365.14240439111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5103.523802974667</v>
      </c>
      <c r="D13" s="688">
        <f>industrie!C18</f>
        <v>0</v>
      </c>
      <c r="E13" s="688">
        <f>industrie!D18</f>
        <v>31903.396337999999</v>
      </c>
      <c r="F13" s="688">
        <f>industrie!E18</f>
        <v>44.211916323933472</v>
      </c>
      <c r="G13" s="688">
        <f>industrie!F18</f>
        <v>1345.2473947461031</v>
      </c>
      <c r="H13" s="688">
        <f>industrie!G18</f>
        <v>0</v>
      </c>
      <c r="I13" s="688">
        <f>industrie!H18</f>
        <v>0</v>
      </c>
      <c r="J13" s="688">
        <f>industrie!I18</f>
        <v>0</v>
      </c>
      <c r="K13" s="688">
        <f>industrie!J18</f>
        <v>20.865924087230081</v>
      </c>
      <c r="L13" s="688">
        <f>industrie!K18</f>
        <v>0</v>
      </c>
      <c r="M13" s="688">
        <f>industrie!L18</f>
        <v>0</v>
      </c>
      <c r="N13" s="688">
        <f>industrie!M18</f>
        <v>0</v>
      </c>
      <c r="O13" s="688">
        <f>industrie!N18</f>
        <v>175.77134781432801</v>
      </c>
      <c r="P13" s="688">
        <f>industrie!O18</f>
        <v>0</v>
      </c>
      <c r="Q13" s="689">
        <f>industrie!P18</f>
        <v>0</v>
      </c>
      <c r="R13" s="691">
        <f>SUM(C13:Q13)</f>
        <v>38593.016723946261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48413.896732600348</v>
      </c>
      <c r="D16" s="721">
        <f t="shared" ref="D16:R16" ca="1" si="0">SUM(D9:D15)</f>
        <v>0</v>
      </c>
      <c r="E16" s="721">
        <f t="shared" ca="1" si="0"/>
        <v>146666.80059104721</v>
      </c>
      <c r="F16" s="721">
        <f t="shared" si="0"/>
        <v>472.335279132263</v>
      </c>
      <c r="G16" s="721">
        <f t="shared" ca="1" si="0"/>
        <v>3720.1960179020289</v>
      </c>
      <c r="H16" s="721">
        <f t="shared" si="0"/>
        <v>0</v>
      </c>
      <c r="I16" s="721">
        <f t="shared" si="0"/>
        <v>0</v>
      </c>
      <c r="J16" s="721">
        <f t="shared" si="0"/>
        <v>0</v>
      </c>
      <c r="K16" s="721">
        <f t="shared" si="0"/>
        <v>20.865924087230081</v>
      </c>
      <c r="L16" s="721">
        <f t="shared" si="0"/>
        <v>0</v>
      </c>
      <c r="M16" s="721">
        <f t="shared" ca="1" si="0"/>
        <v>0</v>
      </c>
      <c r="N16" s="721">
        <f t="shared" si="0"/>
        <v>0</v>
      </c>
      <c r="O16" s="721">
        <f t="shared" ca="1" si="0"/>
        <v>8910.4910089948808</v>
      </c>
      <c r="P16" s="721">
        <f t="shared" si="0"/>
        <v>56.280000000000008</v>
      </c>
      <c r="Q16" s="721">
        <f t="shared" si="0"/>
        <v>152.53333333333333</v>
      </c>
      <c r="R16" s="721">
        <f t="shared" ca="1" si="0"/>
        <v>208413.39888709731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1757.3746936228897</v>
      </c>
      <c r="I19" s="688">
        <f>transport!H54</f>
        <v>0</v>
      </c>
      <c r="J19" s="688">
        <f>transport!I54</f>
        <v>0</v>
      </c>
      <c r="K19" s="688">
        <f>transport!J54</f>
        <v>0</v>
      </c>
      <c r="L19" s="688">
        <f>transport!K54</f>
        <v>0</v>
      </c>
      <c r="M19" s="688">
        <f>transport!L54</f>
        <v>0</v>
      </c>
      <c r="N19" s="688">
        <f>transport!M54</f>
        <v>77.169221767872017</v>
      </c>
      <c r="O19" s="688">
        <f>transport!N54</f>
        <v>0</v>
      </c>
      <c r="P19" s="688">
        <f>transport!O54</f>
        <v>0</v>
      </c>
      <c r="Q19" s="689">
        <f>transport!P54</f>
        <v>0</v>
      </c>
      <c r="R19" s="691">
        <f>SUM(C19:Q19)</f>
        <v>1834.5439153907616</v>
      </c>
      <c r="S19" s="68"/>
    </row>
    <row r="20" spans="1:19" s="457" customFormat="1">
      <c r="A20" s="803" t="s">
        <v>307</v>
      </c>
      <c r="B20" s="808"/>
      <c r="C20" s="688">
        <f>transport!B14</f>
        <v>2.2442098096206147</v>
      </c>
      <c r="D20" s="688">
        <f>transport!C14</f>
        <v>0</v>
      </c>
      <c r="E20" s="688">
        <f>transport!D14</f>
        <v>6.1844748907011127</v>
      </c>
      <c r="F20" s="688">
        <f>transport!E14</f>
        <v>407.75155955363886</v>
      </c>
      <c r="G20" s="688">
        <f>transport!F14</f>
        <v>0</v>
      </c>
      <c r="H20" s="688">
        <f>transport!G14</f>
        <v>98441.262582660071</v>
      </c>
      <c r="I20" s="688">
        <f>transport!H14</f>
        <v>14184.6474831999</v>
      </c>
      <c r="J20" s="688">
        <f>transport!I14</f>
        <v>0</v>
      </c>
      <c r="K20" s="688">
        <f>transport!J14</f>
        <v>0</v>
      </c>
      <c r="L20" s="688">
        <f>transport!K14</f>
        <v>0</v>
      </c>
      <c r="M20" s="688">
        <f>transport!L14</f>
        <v>0</v>
      </c>
      <c r="N20" s="688">
        <f>transport!M14</f>
        <v>5032.4898474418396</v>
      </c>
      <c r="O20" s="688">
        <f>transport!N14</f>
        <v>0</v>
      </c>
      <c r="P20" s="688">
        <f>transport!O14</f>
        <v>0</v>
      </c>
      <c r="Q20" s="689">
        <f>transport!P14</f>
        <v>0</v>
      </c>
      <c r="R20" s="691">
        <f>SUM(C20:Q20)</f>
        <v>118074.58015755579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2.2442098096206147</v>
      </c>
      <c r="D22" s="806">
        <f t="shared" ref="D22:R22" si="1">SUM(D18:D21)</f>
        <v>0</v>
      </c>
      <c r="E22" s="806">
        <f t="shared" si="1"/>
        <v>6.1844748907011127</v>
      </c>
      <c r="F22" s="806">
        <f t="shared" si="1"/>
        <v>407.75155955363886</v>
      </c>
      <c r="G22" s="806">
        <f t="shared" si="1"/>
        <v>0</v>
      </c>
      <c r="H22" s="806">
        <f t="shared" si="1"/>
        <v>100198.63727628296</v>
      </c>
      <c r="I22" s="806">
        <f t="shared" si="1"/>
        <v>14184.6474831999</v>
      </c>
      <c r="J22" s="806">
        <f t="shared" si="1"/>
        <v>0</v>
      </c>
      <c r="K22" s="806">
        <f t="shared" si="1"/>
        <v>0</v>
      </c>
      <c r="L22" s="806">
        <f t="shared" si="1"/>
        <v>0</v>
      </c>
      <c r="M22" s="806">
        <f t="shared" si="1"/>
        <v>0</v>
      </c>
      <c r="N22" s="806">
        <f t="shared" si="1"/>
        <v>5109.6590692097116</v>
      </c>
      <c r="O22" s="806">
        <f t="shared" si="1"/>
        <v>0</v>
      </c>
      <c r="P22" s="806">
        <f t="shared" si="1"/>
        <v>0</v>
      </c>
      <c r="Q22" s="806">
        <f t="shared" si="1"/>
        <v>0</v>
      </c>
      <c r="R22" s="806">
        <f t="shared" si="1"/>
        <v>119909.12407294655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410.20040268025701</v>
      </c>
      <c r="D24" s="688">
        <f>+landbouw!C8</f>
        <v>0</v>
      </c>
      <c r="E24" s="688">
        <f>+landbouw!D8</f>
        <v>101.20440000000001</v>
      </c>
      <c r="F24" s="688">
        <f>+landbouw!E8</f>
        <v>3.8643626365335275</v>
      </c>
      <c r="G24" s="688">
        <f>+landbouw!F8</f>
        <v>1338.6200475036351</v>
      </c>
      <c r="H24" s="688">
        <f>+landbouw!G8</f>
        <v>0</v>
      </c>
      <c r="I24" s="688">
        <f>+landbouw!H8</f>
        <v>0</v>
      </c>
      <c r="J24" s="688">
        <f>+landbouw!I8</f>
        <v>0</v>
      </c>
      <c r="K24" s="688">
        <f>+landbouw!J8</f>
        <v>50.74378502592316</v>
      </c>
      <c r="L24" s="688">
        <f>+landbouw!K8</f>
        <v>0</v>
      </c>
      <c r="M24" s="688">
        <f>+landbouw!L8</f>
        <v>0</v>
      </c>
      <c r="N24" s="688">
        <f>+landbouw!M8</f>
        <v>0</v>
      </c>
      <c r="O24" s="688">
        <f>+landbouw!N8</f>
        <v>0</v>
      </c>
      <c r="P24" s="688">
        <f>+landbouw!O8</f>
        <v>0</v>
      </c>
      <c r="Q24" s="689">
        <f>+landbouw!P8</f>
        <v>0</v>
      </c>
      <c r="R24" s="691">
        <f>SUM(C24:Q24)</f>
        <v>1904.6329978463489</v>
      </c>
      <c r="S24" s="68"/>
    </row>
    <row r="25" spans="1:19" s="457" customFormat="1" ht="15" thickBot="1">
      <c r="A25" s="825" t="s">
        <v>912</v>
      </c>
      <c r="B25" s="1001"/>
      <c r="C25" s="1002">
        <f>IF(Onbekend_ele_kWh="---",0,Onbekend_ele_kWh)/1000+IF(REST_rest_ele_kWh="---",0,REST_rest_ele_kWh)/1000</f>
        <v>707.35415634300807</v>
      </c>
      <c r="D25" s="1002"/>
      <c r="E25" s="1002">
        <f>IF(onbekend_gas_kWh="---",0,onbekend_gas_kWh)/1000+IF(REST_rest_gas_kWh="---",0,REST_rest_gas_kWh)/1000</f>
        <v>1886.9970000000001</v>
      </c>
      <c r="F25" s="1002"/>
      <c r="G25" s="1002"/>
      <c r="H25" s="1002"/>
      <c r="I25" s="1002"/>
      <c r="J25" s="1002"/>
      <c r="K25" s="1002"/>
      <c r="L25" s="1002"/>
      <c r="M25" s="1002"/>
      <c r="N25" s="1002"/>
      <c r="O25" s="1002"/>
      <c r="P25" s="1002"/>
      <c r="Q25" s="1003"/>
      <c r="R25" s="691">
        <f>SUM(C25:Q25)</f>
        <v>2594.3511563430084</v>
      </c>
      <c r="S25" s="68"/>
    </row>
    <row r="26" spans="1:19" s="457" customFormat="1" ht="15.75" thickBot="1">
      <c r="A26" s="694" t="s">
        <v>913</v>
      </c>
      <c r="B26" s="811"/>
      <c r="C26" s="806">
        <f>SUM(C24:C25)</f>
        <v>1117.554559023265</v>
      </c>
      <c r="D26" s="806">
        <f t="shared" ref="D26:R26" si="2">SUM(D24:D25)</f>
        <v>0</v>
      </c>
      <c r="E26" s="806">
        <f t="shared" si="2"/>
        <v>1988.2014000000001</v>
      </c>
      <c r="F26" s="806">
        <f t="shared" si="2"/>
        <v>3.8643626365335275</v>
      </c>
      <c r="G26" s="806">
        <f t="shared" si="2"/>
        <v>1338.6200475036351</v>
      </c>
      <c r="H26" s="806">
        <f t="shared" si="2"/>
        <v>0</v>
      </c>
      <c r="I26" s="806">
        <f t="shared" si="2"/>
        <v>0</v>
      </c>
      <c r="J26" s="806">
        <f t="shared" si="2"/>
        <v>0</v>
      </c>
      <c r="K26" s="806">
        <f t="shared" si="2"/>
        <v>50.74378502592316</v>
      </c>
      <c r="L26" s="806">
        <f t="shared" si="2"/>
        <v>0</v>
      </c>
      <c r="M26" s="806">
        <f t="shared" si="2"/>
        <v>0</v>
      </c>
      <c r="N26" s="806">
        <f t="shared" si="2"/>
        <v>0</v>
      </c>
      <c r="O26" s="806">
        <f t="shared" si="2"/>
        <v>0</v>
      </c>
      <c r="P26" s="806">
        <f t="shared" si="2"/>
        <v>0</v>
      </c>
      <c r="Q26" s="806">
        <f t="shared" si="2"/>
        <v>0</v>
      </c>
      <c r="R26" s="806">
        <f t="shared" si="2"/>
        <v>4498.9841541893575</v>
      </c>
      <c r="S26" s="68"/>
    </row>
    <row r="27" spans="1:19" s="457" customFormat="1" ht="17.25" thickTop="1" thickBot="1">
      <c r="A27" s="695" t="s">
        <v>116</v>
      </c>
      <c r="B27" s="798"/>
      <c r="C27" s="696">
        <f ca="1">C22+C16+C26</f>
        <v>49533.695501433234</v>
      </c>
      <c r="D27" s="696">
        <f t="shared" ref="D27:R27" ca="1" si="3">D22+D16+D26</f>
        <v>0</v>
      </c>
      <c r="E27" s="696">
        <f t="shared" ca="1" si="3"/>
        <v>148661.18646593791</v>
      </c>
      <c r="F27" s="696">
        <f t="shared" si="3"/>
        <v>883.9512013224354</v>
      </c>
      <c r="G27" s="696">
        <f t="shared" ca="1" si="3"/>
        <v>5058.8160654056637</v>
      </c>
      <c r="H27" s="696">
        <f t="shared" si="3"/>
        <v>100198.63727628296</v>
      </c>
      <c r="I27" s="696">
        <f t="shared" si="3"/>
        <v>14184.6474831999</v>
      </c>
      <c r="J27" s="696">
        <f t="shared" si="3"/>
        <v>0</v>
      </c>
      <c r="K27" s="696">
        <f t="shared" si="3"/>
        <v>71.609709113153244</v>
      </c>
      <c r="L27" s="696">
        <f t="shared" si="3"/>
        <v>0</v>
      </c>
      <c r="M27" s="696">
        <f t="shared" ca="1" si="3"/>
        <v>0</v>
      </c>
      <c r="N27" s="696">
        <f t="shared" si="3"/>
        <v>5109.6590692097116</v>
      </c>
      <c r="O27" s="696">
        <f t="shared" ca="1" si="3"/>
        <v>8910.4910089948808</v>
      </c>
      <c r="P27" s="696">
        <f t="shared" si="3"/>
        <v>56.280000000000008</v>
      </c>
      <c r="Q27" s="696">
        <f t="shared" si="3"/>
        <v>152.53333333333333</v>
      </c>
      <c r="R27" s="696">
        <f t="shared" ca="1" si="3"/>
        <v>332821.50711423322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2467.4114093702756</v>
      </c>
      <c r="D40" s="688">
        <f ca="1">tertiair!C20</f>
        <v>0</v>
      </c>
      <c r="E40" s="688">
        <f ca="1">tertiair!D20</f>
        <v>3075.0133612440004</v>
      </c>
      <c r="F40" s="688">
        <f>tertiair!E20</f>
        <v>23.51332286525723</v>
      </c>
      <c r="G40" s="688">
        <f ca="1">tertiair!F20</f>
        <v>634.11128238263223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6200.049375862166</v>
      </c>
    </row>
    <row r="41" spans="1:18">
      <c r="A41" s="816" t="s">
        <v>225</v>
      </c>
      <c r="B41" s="823"/>
      <c r="C41" s="688">
        <f ca="1">huishoudens!B12</f>
        <v>6551.7874742923705</v>
      </c>
      <c r="D41" s="688">
        <f ca="1">huishoudens!C12</f>
        <v>0</v>
      </c>
      <c r="E41" s="688">
        <f>huishoudens!D12</f>
        <v>20107.194297871541</v>
      </c>
      <c r="F41" s="688">
        <f>huishoudens!E12</f>
        <v>73.670680492233586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26732.652452656144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1062.7868815936488</v>
      </c>
      <c r="D43" s="688">
        <f ca="1">industrie!C22</f>
        <v>0</v>
      </c>
      <c r="E43" s="688">
        <f>industrie!D22</f>
        <v>6444.486060276</v>
      </c>
      <c r="F43" s="688">
        <f>industrie!E22</f>
        <v>10.036105005532898</v>
      </c>
      <c r="G43" s="688">
        <f>industrie!F22</f>
        <v>359.18105439720955</v>
      </c>
      <c r="H43" s="688">
        <f>industrie!G22</f>
        <v>0</v>
      </c>
      <c r="I43" s="688">
        <f>industrie!H22</f>
        <v>0</v>
      </c>
      <c r="J43" s="688">
        <f>industrie!I22</f>
        <v>0</v>
      </c>
      <c r="K43" s="688">
        <f>industrie!J22</f>
        <v>7.386537126879448</v>
      </c>
      <c r="L43" s="688">
        <f>industrie!K22</f>
        <v>0</v>
      </c>
      <c r="M43" s="688">
        <f>industrie!L22</f>
        <v>0</v>
      </c>
      <c r="N43" s="688">
        <f>industrie!M22</f>
        <v>0</v>
      </c>
      <c r="O43" s="688">
        <f>industrie!N22</f>
        <v>0</v>
      </c>
      <c r="P43" s="688">
        <f>industrie!O22</f>
        <v>0</v>
      </c>
      <c r="Q43" s="763">
        <f>industrie!P22</f>
        <v>0</v>
      </c>
      <c r="R43" s="843">
        <f t="shared" ca="1" si="4"/>
        <v>7883.8766383992706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10081.985765256295</v>
      </c>
      <c r="D46" s="721">
        <f t="shared" ref="D46:Q46" ca="1" si="5">SUM(D39:D45)</f>
        <v>0</v>
      </c>
      <c r="E46" s="721">
        <f t="shared" ca="1" si="5"/>
        <v>29626.693719391544</v>
      </c>
      <c r="F46" s="721">
        <f t="shared" si="5"/>
        <v>107.22010836302371</v>
      </c>
      <c r="G46" s="721">
        <f t="shared" ca="1" si="5"/>
        <v>993.29233677984178</v>
      </c>
      <c r="H46" s="721">
        <f t="shared" si="5"/>
        <v>0</v>
      </c>
      <c r="I46" s="721">
        <f t="shared" si="5"/>
        <v>0</v>
      </c>
      <c r="J46" s="721">
        <f t="shared" si="5"/>
        <v>0</v>
      </c>
      <c r="K46" s="721">
        <f t="shared" si="5"/>
        <v>7.386537126879448</v>
      </c>
      <c r="L46" s="721">
        <f t="shared" si="5"/>
        <v>0</v>
      </c>
      <c r="M46" s="721">
        <f t="shared" ca="1" si="5"/>
        <v>0</v>
      </c>
      <c r="N46" s="721">
        <f t="shared" si="5"/>
        <v>0</v>
      </c>
      <c r="O46" s="721">
        <f t="shared" ca="1" si="5"/>
        <v>0</v>
      </c>
      <c r="P46" s="721">
        <f t="shared" si="5"/>
        <v>0</v>
      </c>
      <c r="Q46" s="721">
        <f t="shared" si="5"/>
        <v>0</v>
      </c>
      <c r="R46" s="721">
        <f ca="1">SUM(R39:R45)</f>
        <v>40816.578466917577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469.21904319731158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469.21904319731158</v>
      </c>
    </row>
    <row r="50" spans="1:18">
      <c r="A50" s="819" t="s">
        <v>307</v>
      </c>
      <c r="B50" s="829"/>
      <c r="C50" s="1008">
        <f ca="1">transport!B18</f>
        <v>0.46734704045435577</v>
      </c>
      <c r="D50" s="1008">
        <f>transport!C18</f>
        <v>0</v>
      </c>
      <c r="E50" s="1008">
        <f>transport!D18</f>
        <v>1.2492639279216249</v>
      </c>
      <c r="F50" s="1008">
        <f>transport!E18</f>
        <v>92.559604018676026</v>
      </c>
      <c r="G50" s="1008">
        <f>transport!F18</f>
        <v>0</v>
      </c>
      <c r="H50" s="1008">
        <f>transport!G18</f>
        <v>26283.817109570242</v>
      </c>
      <c r="I50" s="1008">
        <f>transport!H18</f>
        <v>3531.9772233167751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29910.070547874067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0.46734704045435577</v>
      </c>
      <c r="D52" s="721">
        <f t="shared" ref="D52:Q52" ca="1" si="6">SUM(D48:D51)</f>
        <v>0</v>
      </c>
      <c r="E52" s="721">
        <f t="shared" si="6"/>
        <v>1.2492639279216249</v>
      </c>
      <c r="F52" s="721">
        <f t="shared" si="6"/>
        <v>92.559604018676026</v>
      </c>
      <c r="G52" s="721">
        <f t="shared" si="6"/>
        <v>0</v>
      </c>
      <c r="H52" s="721">
        <f t="shared" si="6"/>
        <v>26753.036152767552</v>
      </c>
      <c r="I52" s="721">
        <f t="shared" si="6"/>
        <v>3531.9772233167751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30379.289591071378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85.422469576590586</v>
      </c>
      <c r="D54" s="1008">
        <f ca="1">+landbouw!C12</f>
        <v>0</v>
      </c>
      <c r="E54" s="1008">
        <f>+landbouw!D12</f>
        <v>20.443288800000001</v>
      </c>
      <c r="F54" s="1008">
        <f>+landbouw!E12</f>
        <v>0.87721031849311082</v>
      </c>
      <c r="G54" s="1008">
        <f>+landbouw!F12</f>
        <v>357.41155268347057</v>
      </c>
      <c r="H54" s="1008">
        <f>+landbouw!G12</f>
        <v>0</v>
      </c>
      <c r="I54" s="1008">
        <f>+landbouw!H12</f>
        <v>0</v>
      </c>
      <c r="J54" s="1008">
        <f>+landbouw!I12</f>
        <v>0</v>
      </c>
      <c r="K54" s="1008">
        <f>+landbouw!J12</f>
        <v>17.963299899176796</v>
      </c>
      <c r="L54" s="1008">
        <f>+landbouw!K12</f>
        <v>0</v>
      </c>
      <c r="M54" s="1008">
        <f>+landbouw!L12</f>
        <v>0</v>
      </c>
      <c r="N54" s="1008">
        <f>+landbouw!M12</f>
        <v>0</v>
      </c>
      <c r="O54" s="1008">
        <f>+landbouw!N12</f>
        <v>0</v>
      </c>
      <c r="P54" s="1008">
        <f>+landbouw!O12</f>
        <v>0</v>
      </c>
      <c r="Q54" s="1009">
        <f>+landbouw!P12</f>
        <v>0</v>
      </c>
      <c r="R54" s="720">
        <f ca="1">SUM(C54:Q54)</f>
        <v>482.11782127773103</v>
      </c>
    </row>
    <row r="55" spans="1:18" ht="15" thickBot="1">
      <c r="A55" s="819" t="s">
        <v>912</v>
      </c>
      <c r="B55" s="829"/>
      <c r="C55" s="1008">
        <f ca="1">C25*'EF ele_warmte'!B12</f>
        <v>147.30346071157993</v>
      </c>
      <c r="D55" s="1008"/>
      <c r="E55" s="1008">
        <f>E25*EF_CO2_aardgas</f>
        <v>381.17339400000003</v>
      </c>
      <c r="F55" s="1008"/>
      <c r="G55" s="1008"/>
      <c r="H55" s="1008"/>
      <c r="I55" s="1008"/>
      <c r="J55" s="1008"/>
      <c r="K55" s="1008"/>
      <c r="L55" s="1008"/>
      <c r="M55" s="1008"/>
      <c r="N55" s="1008"/>
      <c r="O55" s="1008"/>
      <c r="P55" s="1008"/>
      <c r="Q55" s="1009"/>
      <c r="R55" s="720">
        <f ca="1">SUM(C55:Q55)</f>
        <v>528.47685471158002</v>
      </c>
    </row>
    <row r="56" spans="1:18" ht="15.75" thickBot="1">
      <c r="A56" s="817" t="s">
        <v>913</v>
      </c>
      <c r="B56" s="830"/>
      <c r="C56" s="721">
        <f ca="1">SUM(C54:C55)</f>
        <v>232.7259302881705</v>
      </c>
      <c r="D56" s="721">
        <f t="shared" ref="D56:Q56" ca="1" si="7">SUM(D54:D55)</f>
        <v>0</v>
      </c>
      <c r="E56" s="721">
        <f t="shared" si="7"/>
        <v>401.61668280000004</v>
      </c>
      <c r="F56" s="721">
        <f t="shared" si="7"/>
        <v>0.87721031849311082</v>
      </c>
      <c r="G56" s="721">
        <f t="shared" si="7"/>
        <v>357.41155268347057</v>
      </c>
      <c r="H56" s="721">
        <f t="shared" si="7"/>
        <v>0</v>
      </c>
      <c r="I56" s="721">
        <f t="shared" si="7"/>
        <v>0</v>
      </c>
      <c r="J56" s="721">
        <f t="shared" si="7"/>
        <v>0</v>
      </c>
      <c r="K56" s="721">
        <f t="shared" si="7"/>
        <v>17.963299899176796</v>
      </c>
      <c r="L56" s="721">
        <f t="shared" si="7"/>
        <v>0</v>
      </c>
      <c r="M56" s="721">
        <f t="shared" si="7"/>
        <v>0</v>
      </c>
      <c r="N56" s="721">
        <f t="shared" si="7"/>
        <v>0</v>
      </c>
      <c r="O56" s="721">
        <f t="shared" si="7"/>
        <v>0</v>
      </c>
      <c r="P56" s="721">
        <f t="shared" si="7"/>
        <v>0</v>
      </c>
      <c r="Q56" s="722">
        <f t="shared" si="7"/>
        <v>0</v>
      </c>
      <c r="R56" s="723">
        <f ca="1">SUM(R54:R55)</f>
        <v>1010.5946759893111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10315.179042584919</v>
      </c>
      <c r="D61" s="729">
        <f t="shared" ref="D61:Q61" ca="1" si="8">D46+D52+D56</f>
        <v>0</v>
      </c>
      <c r="E61" s="729">
        <f t="shared" ca="1" si="8"/>
        <v>30029.559666119465</v>
      </c>
      <c r="F61" s="729">
        <f t="shared" si="8"/>
        <v>200.65692270019284</v>
      </c>
      <c r="G61" s="729">
        <f t="shared" ca="1" si="8"/>
        <v>1350.7038894633124</v>
      </c>
      <c r="H61" s="729">
        <f t="shared" si="8"/>
        <v>26753.036152767552</v>
      </c>
      <c r="I61" s="729">
        <f t="shared" si="8"/>
        <v>3531.9772233167751</v>
      </c>
      <c r="J61" s="729">
        <f t="shared" si="8"/>
        <v>0</v>
      </c>
      <c r="K61" s="729">
        <f t="shared" si="8"/>
        <v>25.349837026056242</v>
      </c>
      <c r="L61" s="729">
        <f t="shared" si="8"/>
        <v>0</v>
      </c>
      <c r="M61" s="729">
        <f t="shared" ca="1" si="8"/>
        <v>0</v>
      </c>
      <c r="N61" s="729">
        <f t="shared" si="8"/>
        <v>0</v>
      </c>
      <c r="O61" s="729">
        <f t="shared" ca="1" si="8"/>
        <v>0</v>
      </c>
      <c r="P61" s="729">
        <f t="shared" si="8"/>
        <v>0</v>
      </c>
      <c r="Q61" s="729">
        <f t="shared" si="8"/>
        <v>0</v>
      </c>
      <c r="R61" s="729">
        <f ca="1">R46+R52+R56</f>
        <v>72206.462733978275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0.20824569897649681</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2858.6772091937764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2858.6772091937764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2858.6772091937764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2858.6772091937764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31461.814128664537</v>
      </c>
      <c r="C4" s="461">
        <f>huishoudens!C8</f>
        <v>0</v>
      </c>
      <c r="D4" s="461">
        <f>huishoudens!D8</f>
        <v>99540.565831047221</v>
      </c>
      <c r="E4" s="461">
        <f>huishoudens!E8</f>
        <v>324.54044269706424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7829.4086686489445</v>
      </c>
      <c r="O4" s="461">
        <f>huishoudens!O8</f>
        <v>56.280000000000008</v>
      </c>
      <c r="P4" s="462">
        <f>huishoudens!P8</f>
        <v>152.53333333333333</v>
      </c>
      <c r="Q4" s="463">
        <f>SUM(B4:P4)</f>
        <v>139365.14240439111</v>
      </c>
    </row>
    <row r="5" spans="1:17">
      <c r="A5" s="460" t="s">
        <v>156</v>
      </c>
      <c r="B5" s="461">
        <f ca="1">tertiair!B16</f>
        <v>11021.167800961139</v>
      </c>
      <c r="C5" s="461">
        <f ca="1">tertiair!C16</f>
        <v>0</v>
      </c>
      <c r="D5" s="461">
        <f ca="1">tertiair!D16</f>
        <v>15222.838422000001</v>
      </c>
      <c r="E5" s="461">
        <f>tertiair!E16</f>
        <v>103.58292011126532</v>
      </c>
      <c r="F5" s="461">
        <f ca="1">tertiair!F16</f>
        <v>2374.9486231559258</v>
      </c>
      <c r="G5" s="461">
        <f>tertiair!G16</f>
        <v>0</v>
      </c>
      <c r="H5" s="461">
        <f>tertiair!H16</f>
        <v>0</v>
      </c>
      <c r="I5" s="461">
        <f>tertiair!I16</f>
        <v>0</v>
      </c>
      <c r="J5" s="461">
        <f>tertiair!J16</f>
        <v>0</v>
      </c>
      <c r="K5" s="461">
        <f>tertiair!K16</f>
        <v>0</v>
      </c>
      <c r="L5" s="461">
        <f ca="1">tertiair!L16</f>
        <v>0</v>
      </c>
      <c r="M5" s="461">
        <f>tertiair!M16</f>
        <v>0</v>
      </c>
      <c r="N5" s="461">
        <f ca="1">tertiair!N16</f>
        <v>905.31099253160824</v>
      </c>
      <c r="O5" s="461">
        <f>tertiair!O16</f>
        <v>0</v>
      </c>
      <c r="P5" s="462">
        <f>tertiair!P16</f>
        <v>0</v>
      </c>
      <c r="Q5" s="460">
        <f t="shared" ref="Q5:Q14" ca="1" si="0">SUM(B5:P5)</f>
        <v>29627.848758759937</v>
      </c>
    </row>
    <row r="6" spans="1:17">
      <c r="A6" s="460" t="s">
        <v>194</v>
      </c>
      <c r="B6" s="461">
        <f>'openbare verlichting'!B8</f>
        <v>827.39099999999996</v>
      </c>
      <c r="C6" s="461"/>
      <c r="D6" s="461"/>
      <c r="E6" s="461"/>
      <c r="F6" s="461"/>
      <c r="G6" s="461"/>
      <c r="H6" s="461"/>
      <c r="I6" s="461"/>
      <c r="J6" s="461"/>
      <c r="K6" s="461"/>
      <c r="L6" s="461"/>
      <c r="M6" s="461"/>
      <c r="N6" s="461"/>
      <c r="O6" s="461"/>
      <c r="P6" s="462"/>
      <c r="Q6" s="460">
        <f t="shared" si="0"/>
        <v>827.39099999999996</v>
      </c>
    </row>
    <row r="7" spans="1:17">
      <c r="A7" s="460" t="s">
        <v>112</v>
      </c>
      <c r="B7" s="461">
        <f>landbouw!B8</f>
        <v>410.20040268025701</v>
      </c>
      <c r="C7" s="461">
        <f>landbouw!C8</f>
        <v>0</v>
      </c>
      <c r="D7" s="461">
        <f>landbouw!D8</f>
        <v>101.20440000000001</v>
      </c>
      <c r="E7" s="461">
        <f>landbouw!E8</f>
        <v>3.8643626365335275</v>
      </c>
      <c r="F7" s="461">
        <f>landbouw!F8</f>
        <v>1338.6200475036351</v>
      </c>
      <c r="G7" s="461">
        <f>landbouw!G8</f>
        <v>0</v>
      </c>
      <c r="H7" s="461">
        <f>landbouw!H8</f>
        <v>0</v>
      </c>
      <c r="I7" s="461">
        <f>landbouw!I8</f>
        <v>0</v>
      </c>
      <c r="J7" s="461">
        <f>landbouw!J8</f>
        <v>50.74378502592316</v>
      </c>
      <c r="K7" s="461">
        <f>landbouw!K8</f>
        <v>0</v>
      </c>
      <c r="L7" s="461">
        <f>landbouw!L8</f>
        <v>0</v>
      </c>
      <c r="M7" s="461">
        <f>landbouw!M8</f>
        <v>0</v>
      </c>
      <c r="N7" s="461">
        <f>landbouw!N8</f>
        <v>0</v>
      </c>
      <c r="O7" s="461">
        <f>landbouw!O8</f>
        <v>0</v>
      </c>
      <c r="P7" s="462">
        <f>landbouw!P8</f>
        <v>0</v>
      </c>
      <c r="Q7" s="460">
        <f t="shared" si="0"/>
        <v>1904.6329978463489</v>
      </c>
    </row>
    <row r="8" spans="1:17">
      <c r="A8" s="460" t="s">
        <v>685</v>
      </c>
      <c r="B8" s="461">
        <f>industrie!B18</f>
        <v>5103.523802974667</v>
      </c>
      <c r="C8" s="461">
        <f>industrie!C18</f>
        <v>0</v>
      </c>
      <c r="D8" s="461">
        <f>industrie!D18</f>
        <v>31903.396337999999</v>
      </c>
      <c r="E8" s="461">
        <f>industrie!E18</f>
        <v>44.211916323933472</v>
      </c>
      <c r="F8" s="461">
        <f>industrie!F18</f>
        <v>1345.2473947461031</v>
      </c>
      <c r="G8" s="461">
        <f>industrie!G18</f>
        <v>0</v>
      </c>
      <c r="H8" s="461">
        <f>industrie!H18</f>
        <v>0</v>
      </c>
      <c r="I8" s="461">
        <f>industrie!I18</f>
        <v>0</v>
      </c>
      <c r="J8" s="461">
        <f>industrie!J18</f>
        <v>20.865924087230081</v>
      </c>
      <c r="K8" s="461">
        <f>industrie!K18</f>
        <v>0</v>
      </c>
      <c r="L8" s="461">
        <f>industrie!L18</f>
        <v>0</v>
      </c>
      <c r="M8" s="461">
        <f>industrie!M18</f>
        <v>0</v>
      </c>
      <c r="N8" s="461">
        <f>industrie!N18</f>
        <v>175.77134781432801</v>
      </c>
      <c r="O8" s="461">
        <f>industrie!O18</f>
        <v>0</v>
      </c>
      <c r="P8" s="462">
        <f>industrie!P18</f>
        <v>0</v>
      </c>
      <c r="Q8" s="460">
        <f t="shared" si="0"/>
        <v>38593.016723946261</v>
      </c>
    </row>
    <row r="9" spans="1:17" s="466" customFormat="1">
      <c r="A9" s="464" t="s">
        <v>579</v>
      </c>
      <c r="B9" s="465">
        <f>transport!B14</f>
        <v>2.2442098096206147</v>
      </c>
      <c r="C9" s="465">
        <f>transport!C14</f>
        <v>0</v>
      </c>
      <c r="D9" s="465">
        <f>transport!D14</f>
        <v>6.1844748907011127</v>
      </c>
      <c r="E9" s="465">
        <f>transport!E14</f>
        <v>407.75155955363886</v>
      </c>
      <c r="F9" s="465">
        <f>transport!F14</f>
        <v>0</v>
      </c>
      <c r="G9" s="465">
        <f>transport!G14</f>
        <v>98441.262582660071</v>
      </c>
      <c r="H9" s="465">
        <f>transport!H14</f>
        <v>14184.6474831999</v>
      </c>
      <c r="I9" s="465">
        <f>transport!I14</f>
        <v>0</v>
      </c>
      <c r="J9" s="465">
        <f>transport!J14</f>
        <v>0</v>
      </c>
      <c r="K9" s="465">
        <f>transport!K14</f>
        <v>0</v>
      </c>
      <c r="L9" s="465">
        <f>transport!L14</f>
        <v>0</v>
      </c>
      <c r="M9" s="465">
        <f>transport!M14</f>
        <v>5032.4898474418396</v>
      </c>
      <c r="N9" s="465">
        <f>transport!N14</f>
        <v>0</v>
      </c>
      <c r="O9" s="465">
        <f>transport!O14</f>
        <v>0</v>
      </c>
      <c r="P9" s="465">
        <f>transport!P14</f>
        <v>0</v>
      </c>
      <c r="Q9" s="464">
        <f>SUM(B9:P9)</f>
        <v>118074.58015755579</v>
      </c>
    </row>
    <row r="10" spans="1:17">
      <c r="A10" s="460" t="s">
        <v>569</v>
      </c>
      <c r="B10" s="461">
        <f>transport!B54</f>
        <v>0</v>
      </c>
      <c r="C10" s="461">
        <f>transport!C54</f>
        <v>0</v>
      </c>
      <c r="D10" s="461">
        <f>transport!D54</f>
        <v>0</v>
      </c>
      <c r="E10" s="461">
        <f>transport!E54</f>
        <v>0</v>
      </c>
      <c r="F10" s="461">
        <f>transport!F54</f>
        <v>0</v>
      </c>
      <c r="G10" s="461">
        <f>transport!G54</f>
        <v>1757.3746936228897</v>
      </c>
      <c r="H10" s="461">
        <f>transport!H54</f>
        <v>0</v>
      </c>
      <c r="I10" s="461">
        <f>transport!I54</f>
        <v>0</v>
      </c>
      <c r="J10" s="461">
        <f>transport!J54</f>
        <v>0</v>
      </c>
      <c r="K10" s="461">
        <f>transport!K54</f>
        <v>0</v>
      </c>
      <c r="L10" s="461">
        <f>transport!L54</f>
        <v>0</v>
      </c>
      <c r="M10" s="461">
        <f>transport!M54</f>
        <v>77.169221767872017</v>
      </c>
      <c r="N10" s="461">
        <f>transport!N54</f>
        <v>0</v>
      </c>
      <c r="O10" s="461">
        <f>transport!O54</f>
        <v>0</v>
      </c>
      <c r="P10" s="462">
        <f>transport!P54</f>
        <v>0</v>
      </c>
      <c r="Q10" s="460">
        <f t="shared" si="0"/>
        <v>1834.5439153907616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707.35415634300807</v>
      </c>
      <c r="C14" s="468"/>
      <c r="D14" s="468">
        <f>'SEAP template'!E25</f>
        <v>1886.9970000000001</v>
      </c>
      <c r="E14" s="468"/>
      <c r="F14" s="468"/>
      <c r="G14" s="468"/>
      <c r="H14" s="468"/>
      <c r="I14" s="468"/>
      <c r="J14" s="468"/>
      <c r="K14" s="468"/>
      <c r="L14" s="468"/>
      <c r="M14" s="468"/>
      <c r="N14" s="468"/>
      <c r="O14" s="468"/>
      <c r="P14" s="469"/>
      <c r="Q14" s="460">
        <f t="shared" si="0"/>
        <v>2594.3511563430084</v>
      </c>
    </row>
    <row r="15" spans="1:17" s="473" customFormat="1">
      <c r="A15" s="470" t="s">
        <v>573</v>
      </c>
      <c r="B15" s="471">
        <f ca="1">SUM(B4:B14)</f>
        <v>49533.695501433234</v>
      </c>
      <c r="C15" s="471">
        <f t="shared" ref="C15:Q15" ca="1" si="1">SUM(C4:C14)</f>
        <v>0</v>
      </c>
      <c r="D15" s="471">
        <f t="shared" ca="1" si="1"/>
        <v>148661.18646593794</v>
      </c>
      <c r="E15" s="471">
        <f t="shared" si="1"/>
        <v>883.9512013224354</v>
      </c>
      <c r="F15" s="471">
        <f t="shared" ca="1" si="1"/>
        <v>5058.8160654056637</v>
      </c>
      <c r="G15" s="471">
        <f t="shared" si="1"/>
        <v>100198.63727628296</v>
      </c>
      <c r="H15" s="471">
        <f t="shared" si="1"/>
        <v>14184.6474831999</v>
      </c>
      <c r="I15" s="471">
        <f t="shared" si="1"/>
        <v>0</v>
      </c>
      <c r="J15" s="471">
        <f t="shared" si="1"/>
        <v>71.609709113153244</v>
      </c>
      <c r="K15" s="471">
        <f t="shared" si="1"/>
        <v>0</v>
      </c>
      <c r="L15" s="471">
        <f t="shared" ca="1" si="1"/>
        <v>0</v>
      </c>
      <c r="M15" s="471">
        <f t="shared" si="1"/>
        <v>5109.6590692097116</v>
      </c>
      <c r="N15" s="471">
        <f t="shared" ca="1" si="1"/>
        <v>8910.4910089948808</v>
      </c>
      <c r="O15" s="471">
        <f t="shared" si="1"/>
        <v>56.280000000000008</v>
      </c>
      <c r="P15" s="471">
        <f t="shared" si="1"/>
        <v>152.53333333333333</v>
      </c>
      <c r="Q15" s="471">
        <f t="shared" ca="1" si="1"/>
        <v>332821.50711423322</v>
      </c>
    </row>
    <row r="17" spans="1:17">
      <c r="A17" s="474" t="s">
        <v>574</v>
      </c>
      <c r="B17" s="778">
        <f ca="1">huishoudens!B10</f>
        <v>0.20824569897649683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6551.7874742923705</v>
      </c>
      <c r="C22" s="461">
        <f t="shared" ref="C22:C32" ca="1" si="3">C4*$C$17</f>
        <v>0</v>
      </c>
      <c r="D22" s="461">
        <f t="shared" ref="D22:D32" si="4">D4*$D$17</f>
        <v>20107.194297871541</v>
      </c>
      <c r="E22" s="461">
        <f t="shared" ref="E22:E32" si="5">E4*$E$17</f>
        <v>73.670680492233586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26732.652452656144</v>
      </c>
    </row>
    <row r="23" spans="1:17">
      <c r="A23" s="460" t="s">
        <v>156</v>
      </c>
      <c r="B23" s="461">
        <f t="shared" ca="1" si="2"/>
        <v>2295.110792248413</v>
      </c>
      <c r="C23" s="461">
        <f t="shared" ca="1" si="3"/>
        <v>0</v>
      </c>
      <c r="D23" s="461">
        <f t="shared" ca="1" si="4"/>
        <v>3075.0133612440004</v>
      </c>
      <c r="E23" s="461">
        <f t="shared" si="5"/>
        <v>23.51332286525723</v>
      </c>
      <c r="F23" s="461">
        <f t="shared" ca="1" si="6"/>
        <v>634.11128238263223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6027.7487587403039</v>
      </c>
    </row>
    <row r="24" spans="1:17">
      <c r="A24" s="460" t="s">
        <v>194</v>
      </c>
      <c r="B24" s="461">
        <f t="shared" ca="1" si="2"/>
        <v>172.30061712186267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172.30061712186267</v>
      </c>
    </row>
    <row r="25" spans="1:17">
      <c r="A25" s="460" t="s">
        <v>112</v>
      </c>
      <c r="B25" s="461">
        <f t="shared" ca="1" si="2"/>
        <v>85.422469576590586</v>
      </c>
      <c r="C25" s="461">
        <f t="shared" ca="1" si="3"/>
        <v>0</v>
      </c>
      <c r="D25" s="461">
        <f t="shared" si="4"/>
        <v>20.443288800000001</v>
      </c>
      <c r="E25" s="461">
        <f t="shared" si="5"/>
        <v>0.87721031849311082</v>
      </c>
      <c r="F25" s="461">
        <f t="shared" si="6"/>
        <v>357.41155268347057</v>
      </c>
      <c r="G25" s="461">
        <f t="shared" si="7"/>
        <v>0</v>
      </c>
      <c r="H25" s="461">
        <f t="shared" si="8"/>
        <v>0</v>
      </c>
      <c r="I25" s="461">
        <f t="shared" si="9"/>
        <v>0</v>
      </c>
      <c r="J25" s="461">
        <f t="shared" si="10"/>
        <v>17.963299899176796</v>
      </c>
      <c r="K25" s="461">
        <f t="shared" si="11"/>
        <v>0</v>
      </c>
      <c r="L25" s="461">
        <f t="shared" si="12"/>
        <v>0</v>
      </c>
      <c r="M25" s="461">
        <f t="shared" si="13"/>
        <v>0</v>
      </c>
      <c r="N25" s="461">
        <f t="shared" si="14"/>
        <v>0</v>
      </c>
      <c r="O25" s="461">
        <f t="shared" si="15"/>
        <v>0</v>
      </c>
      <c r="P25" s="462">
        <f t="shared" si="16"/>
        <v>0</v>
      </c>
      <c r="Q25" s="460">
        <f t="shared" ca="1" si="17"/>
        <v>482.11782127773103</v>
      </c>
    </row>
    <row r="26" spans="1:17">
      <c r="A26" s="460" t="s">
        <v>685</v>
      </c>
      <c r="B26" s="461">
        <f t="shared" ca="1" si="2"/>
        <v>1062.7868815936488</v>
      </c>
      <c r="C26" s="461">
        <f t="shared" ca="1" si="3"/>
        <v>0</v>
      </c>
      <c r="D26" s="461">
        <f t="shared" si="4"/>
        <v>6444.486060276</v>
      </c>
      <c r="E26" s="461">
        <f t="shared" si="5"/>
        <v>10.036105005532898</v>
      </c>
      <c r="F26" s="461">
        <f t="shared" si="6"/>
        <v>359.18105439720955</v>
      </c>
      <c r="G26" s="461">
        <f t="shared" si="7"/>
        <v>0</v>
      </c>
      <c r="H26" s="461">
        <f t="shared" si="8"/>
        <v>0</v>
      </c>
      <c r="I26" s="461">
        <f t="shared" si="9"/>
        <v>0</v>
      </c>
      <c r="J26" s="461">
        <f t="shared" si="10"/>
        <v>7.386537126879448</v>
      </c>
      <c r="K26" s="461">
        <f t="shared" si="11"/>
        <v>0</v>
      </c>
      <c r="L26" s="461">
        <f t="shared" si="12"/>
        <v>0</v>
      </c>
      <c r="M26" s="461">
        <f t="shared" si="13"/>
        <v>0</v>
      </c>
      <c r="N26" s="461">
        <f t="shared" si="14"/>
        <v>0</v>
      </c>
      <c r="O26" s="461">
        <f t="shared" si="15"/>
        <v>0</v>
      </c>
      <c r="P26" s="462">
        <f t="shared" si="16"/>
        <v>0</v>
      </c>
      <c r="Q26" s="460">
        <f t="shared" ca="1" si="17"/>
        <v>7883.8766383992706</v>
      </c>
    </row>
    <row r="27" spans="1:17" s="466" customFormat="1">
      <c r="A27" s="464" t="s">
        <v>579</v>
      </c>
      <c r="B27" s="772">
        <f t="shared" ca="1" si="2"/>
        <v>0.46734704045435577</v>
      </c>
      <c r="C27" s="465">
        <f t="shared" ca="1" si="3"/>
        <v>0</v>
      </c>
      <c r="D27" s="465">
        <f t="shared" si="4"/>
        <v>1.2492639279216249</v>
      </c>
      <c r="E27" s="465">
        <f t="shared" si="5"/>
        <v>92.559604018676026</v>
      </c>
      <c r="F27" s="465">
        <f t="shared" si="6"/>
        <v>0</v>
      </c>
      <c r="G27" s="465">
        <f t="shared" si="7"/>
        <v>26283.817109570242</v>
      </c>
      <c r="H27" s="465">
        <f t="shared" si="8"/>
        <v>3531.9772233167751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29910.070547874067</v>
      </c>
    </row>
    <row r="28" spans="1:17">
      <c r="A28" s="460" t="s">
        <v>569</v>
      </c>
      <c r="B28" s="461">
        <f t="shared" ca="1" si="2"/>
        <v>0</v>
      </c>
      <c r="C28" s="461">
        <f t="shared" ca="1" si="3"/>
        <v>0</v>
      </c>
      <c r="D28" s="461">
        <f t="shared" si="4"/>
        <v>0</v>
      </c>
      <c r="E28" s="461">
        <f t="shared" si="5"/>
        <v>0</v>
      </c>
      <c r="F28" s="461">
        <f t="shared" si="6"/>
        <v>0</v>
      </c>
      <c r="G28" s="461">
        <f t="shared" si="7"/>
        <v>469.21904319731158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469.21904319731158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147.30346071157993</v>
      </c>
      <c r="C32" s="461">
        <f t="shared" ca="1" si="3"/>
        <v>0</v>
      </c>
      <c r="D32" s="461">
        <f t="shared" si="4"/>
        <v>381.17339400000003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528.47685471158002</v>
      </c>
    </row>
    <row r="33" spans="1:17" s="473" customFormat="1">
      <c r="A33" s="470" t="s">
        <v>573</v>
      </c>
      <c r="B33" s="471">
        <f ca="1">SUM(B22:B32)</f>
        <v>10315.179042584919</v>
      </c>
      <c r="C33" s="471">
        <f t="shared" ref="C33:Q33" ca="1" si="18">SUM(C22:C32)</f>
        <v>0</v>
      </c>
      <c r="D33" s="471">
        <f t="shared" ca="1" si="18"/>
        <v>30029.559666119469</v>
      </c>
      <c r="E33" s="471">
        <f t="shared" si="18"/>
        <v>200.65692270019287</v>
      </c>
      <c r="F33" s="471">
        <f t="shared" ca="1" si="18"/>
        <v>1350.7038894633124</v>
      </c>
      <c r="G33" s="471">
        <f t="shared" si="18"/>
        <v>26753.036152767552</v>
      </c>
      <c r="H33" s="471">
        <f t="shared" si="18"/>
        <v>3531.9772233167751</v>
      </c>
      <c r="I33" s="471">
        <f t="shared" si="18"/>
        <v>0</v>
      </c>
      <c r="J33" s="471">
        <f t="shared" si="18"/>
        <v>25.349837026056242</v>
      </c>
      <c r="K33" s="471">
        <f t="shared" si="18"/>
        <v>0</v>
      </c>
      <c r="L33" s="471">
        <f t="shared" ca="1" si="18"/>
        <v>0</v>
      </c>
      <c r="M33" s="471">
        <f t="shared" si="18"/>
        <v>0</v>
      </c>
      <c r="N33" s="471">
        <f t="shared" ca="1" si="18"/>
        <v>0</v>
      </c>
      <c r="O33" s="471">
        <f t="shared" si="18"/>
        <v>0</v>
      </c>
      <c r="P33" s="471">
        <f t="shared" si="18"/>
        <v>0</v>
      </c>
      <c r="Q33" s="471">
        <f t="shared" ca="1" si="18"/>
        <v>72206.462733978275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2858.6772091937764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2858.6772091937764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0.20824569897649683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0.20824569897649683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2019-06-29T16:11:00Z</dcterms:modified>
</cp:coreProperties>
</file>