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D17"/>
  <c r="K78" i="14"/>
  <c r="K8" i="56"/>
  <c r="K10" s="1"/>
  <c r="O78" i="14"/>
  <c r="O9" i="56"/>
  <c r="L90" i="14"/>
  <c r="L17" i="56"/>
  <c r="L20" s="1"/>
  <c r="G90" i="14"/>
  <c r="G18" i="56"/>
  <c r="O90" i="14"/>
  <c r="O18" i="56"/>
  <c r="O20" s="1"/>
  <c r="F90" i="14"/>
  <c r="E20" i="56"/>
  <c r="H90" i="14"/>
  <c r="M20" i="56"/>
  <c r="K20"/>
  <c r="C77" i="14"/>
  <c r="C9" i="56" s="1"/>
  <c r="D9"/>
  <c r="D10" s="1"/>
  <c r="Q88" i="14"/>
  <c r="P18" i="56" s="1"/>
  <c r="D18"/>
  <c r="K90" i="14"/>
  <c r="K18" i="56"/>
  <c r="N78" i="14"/>
  <c r="N8" i="56"/>
  <c r="N10" s="1"/>
  <c r="F78" i="14"/>
  <c r="O10" i="56"/>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J90"/>
  <c r="J17" i="56"/>
  <c r="J20" s="1"/>
  <c r="C20"/>
  <c r="P20"/>
  <c r="D20"/>
  <c r="C76" i="14"/>
  <c r="Q78"/>
  <c r="B9" i="6" s="1"/>
  <c r="P9" i="56"/>
  <c r="P10" s="1"/>
  <c r="Q90" i="14"/>
  <c r="B17" i="6" s="1"/>
  <c r="C90" i="14"/>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28" i="48"/>
  <c r="H29"/>
  <c r="H32"/>
  <c r="H22"/>
  <c r="H30"/>
  <c r="H24"/>
  <c r="H25"/>
  <c r="H26"/>
  <c r="H23"/>
  <c r="D11" i="14"/>
  <c r="C4" i="48"/>
  <c r="C11" i="14"/>
  <c r="B4" i="48"/>
  <c r="N24"/>
  <c r="N27"/>
  <c r="N32"/>
  <c r="N31"/>
  <c r="N30"/>
  <c r="N28"/>
  <c r="N29"/>
  <c r="K25"/>
  <c r="K26"/>
  <c r="K28"/>
  <c r="K32"/>
  <c r="K29"/>
  <c r="K27"/>
  <c r="K22"/>
  <c r="K31"/>
  <c r="K30"/>
  <c r="K24"/>
  <c r="I5"/>
  <c r="J10" i="14"/>
  <c r="J16" s="1"/>
  <c r="J27" s="1"/>
  <c r="J24" i="48"/>
  <c r="J32"/>
  <c r="J30"/>
  <c r="J28"/>
  <c r="J29"/>
  <c r="J27"/>
  <c r="J31"/>
  <c r="Q11" i="14"/>
  <c r="P4" i="48"/>
  <c r="B7"/>
  <c r="C24" i="14"/>
  <c r="C26" s="1"/>
  <c r="O4" i="48"/>
  <c r="P11" i="14"/>
  <c r="I28" i="48"/>
  <c r="I27"/>
  <c r="I32"/>
  <c r="I31"/>
  <c r="I22"/>
  <c r="I29"/>
  <c r="I26"/>
  <c r="I30"/>
  <c r="I25"/>
  <c r="I24"/>
  <c r="B38" i="13"/>
  <c r="B50" s="1"/>
  <c r="G32" i="48"/>
  <c r="G29"/>
  <c r="G24"/>
  <c r="G22"/>
  <c r="G25"/>
  <c r="G30"/>
  <c r="G26"/>
  <c r="G23"/>
  <c r="F32"/>
  <c r="F27"/>
  <c r="F30"/>
  <c r="F24"/>
  <c r="F28"/>
  <c r="F31"/>
  <c r="F29"/>
  <c r="B10"/>
  <c r="C19" i="14"/>
  <c r="E32" i="48"/>
  <c r="E31"/>
  <c r="E29"/>
  <c r="E28"/>
  <c r="E30"/>
  <c r="E24"/>
  <c r="M12" i="13"/>
  <c r="N41" i="14" s="1"/>
  <c r="N46" s="1"/>
  <c r="M17" i="48"/>
  <c r="L10" i="14"/>
  <c r="L16" s="1"/>
  <c r="L27" s="1"/>
  <c r="K5" i="48"/>
  <c r="D30"/>
  <c r="D29"/>
  <c r="D31"/>
  <c r="D32"/>
  <c r="D28"/>
  <c r="D24"/>
  <c r="L32"/>
  <c r="L29"/>
  <c r="L22"/>
  <c r="L30"/>
  <c r="L28"/>
  <c r="L31"/>
  <c r="L24"/>
  <c r="L27"/>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15"/>
  <c r="O5"/>
  <c r="O23" s="1"/>
  <c r="P10" i="14"/>
  <c r="P22" i="48"/>
  <c r="I33"/>
  <c r="L46" i="14"/>
  <c r="L61" s="1"/>
  <c r="L63" s="1"/>
  <c r="F4" i="48"/>
  <c r="F22" s="1"/>
  <c r="G11" i="14"/>
  <c r="H13" i="48"/>
  <c r="H31" s="1"/>
  <c r="I18" i="14"/>
  <c r="P8" i="48"/>
  <c r="P26" s="1"/>
  <c r="Q13" i="14"/>
  <c r="M32" i="48"/>
  <c r="M25"/>
  <c r="M29"/>
  <c r="M26"/>
  <c r="M30"/>
  <c r="M22"/>
  <c r="M24"/>
  <c r="M23"/>
  <c r="H18" i="14"/>
  <c r="G13" i="48"/>
  <c r="N18" i="14"/>
  <c r="M13" i="48"/>
  <c r="M31" s="1"/>
  <c r="O22"/>
  <c r="J12" i="17"/>
  <c r="K54" i="14" s="1"/>
  <c r="K56" s="1"/>
  <c r="K24"/>
  <c r="K26" s="1"/>
  <c r="J7" i="48"/>
  <c r="J25" s="1"/>
  <c r="K23"/>
  <c r="K33" s="1"/>
  <c r="K15"/>
  <c r="Q16" i="14"/>
  <c r="Q27" s="1"/>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K11" i="14"/>
  <c r="J4" i="48"/>
  <c r="N20" i="14"/>
  <c r="N22" s="1"/>
  <c r="N27" s="1"/>
  <c r="M9" i="48"/>
  <c r="E7"/>
  <c r="E25" s="1"/>
  <c r="F24" i="14"/>
  <c r="F26" s="1"/>
  <c r="F20"/>
  <c r="F22" s="1"/>
  <c r="E9" i="48"/>
  <c r="E27" s="1"/>
  <c r="O15"/>
  <c r="E12" i="17"/>
  <c r="F54" i="14" s="1"/>
  <c r="F56" s="1"/>
  <c r="O33" i="48"/>
  <c r="H14" i="22"/>
  <c r="O8" i="48"/>
  <c r="O26" s="1"/>
  <c r="P13" i="14"/>
  <c r="D9" i="48"/>
  <c r="D27" s="1"/>
  <c r="E20" i="14"/>
  <c r="E22" s="1"/>
  <c r="R18"/>
  <c r="B9" i="48"/>
  <c r="C20" i="14"/>
  <c r="G31" i="48"/>
  <c r="Q13"/>
  <c r="E12" i="13"/>
  <c r="F41" i="14" s="1"/>
  <c r="F11"/>
  <c r="R11" s="1"/>
  <c r="E4" i="48"/>
  <c r="H19" i="14"/>
  <c r="R19" s="1"/>
  <c r="G10" i="48"/>
  <c r="P46" i="14"/>
  <c r="P61" s="1"/>
  <c r="P63" s="1"/>
  <c r="P16"/>
  <c r="P27" s="1"/>
  <c r="D18" i="22"/>
  <c r="E50" i="14" s="1"/>
  <c r="E52" s="1"/>
  <c r="Q63"/>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N63" l="1"/>
  <c r="J5" i="48"/>
  <c r="J23" s="1"/>
  <c r="K10" i="14"/>
  <c r="C22"/>
  <c r="H20"/>
  <c r="H22" s="1"/>
  <c r="H27" s="1"/>
  <c r="H63" s="1"/>
  <c r="G9" i="48"/>
  <c r="E22"/>
  <c r="Q4"/>
  <c r="J22"/>
  <c r="F10" i="14"/>
  <c r="E5" i="48"/>
  <c r="E23" s="1"/>
  <c r="G28"/>
  <c r="Q10"/>
  <c r="H9"/>
  <c r="I20" i="14"/>
  <c r="I22" s="1"/>
  <c r="I27" s="1"/>
  <c r="I63" s="1"/>
  <c r="M27" i="48"/>
  <c r="M33" s="1"/>
  <c r="M15"/>
  <c r="E46" i="14"/>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G27"/>
  <c r="G33" s="1"/>
  <c r="G15"/>
  <c r="K13" i="14"/>
  <c r="J8" i="48"/>
  <c r="J26" s="1"/>
  <c r="Q9"/>
  <c r="E8"/>
  <c r="F13" i="14"/>
  <c r="K16"/>
  <c r="K27" s="1"/>
  <c r="J33" i="48"/>
  <c r="R20" i="14"/>
  <c r="R22" s="1"/>
  <c r="R10"/>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<sst xmlns="http://schemas.openxmlformats.org/spreadsheetml/2006/main" count="2510" uniqueCount="960">
  <si>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</si>
  <si>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</si>
  <si>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</si>
  <si>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</si>
  <si>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</si>
  <si>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</si>
  <si>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</si>
  <si>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</si>
  <si>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</si>
  <si>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</si>
  <si>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</si>
  <si>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</si>
  <si>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</si>
  <si>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</si>
  <si>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</si>
  <si>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</si>
  <si>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</si>
  <si>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</si>
  <si>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</si>
  <si>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</si>
  <si>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</si>
  <si>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</si>
  <si>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</si>
  <si>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</si>
  <si>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</si>
  <si>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</si>
  <si>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</si>
  <si>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</si>
  <si>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</si>
  <si>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</si>
  <si>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</si>
  <si>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</si>
  <si>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</si>
  <si>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</si>
  <si>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</si>
  <si>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</si>
  <si>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</si>
  <si>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</si>
  <si>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</si>
  <si>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</si>
  <si>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</si>
  <si>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</si>
  <si>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</si>
  <si>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</si>
  <si>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</si>
  <si>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</si>
  <si>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</si>
  <si>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</si>
  <si>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</si>
  <si>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</si>
  <si>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</si>
  <si>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</si>
  <si>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</si>
  <si>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</si>
  <si>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</si>
  <si>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</si>
  <si>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</si>
  <si>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</si>
  <si>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</si>
  <si>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</si>
  <si>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</si>
  <si>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</si>
  <si>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</si>
  <si>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</si>
  <si>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</si>
  <si>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</si>
  <si>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</si>
  <si>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</si>
  <si>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</si>
  <si>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</si>
  <si>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</si>
  <si>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</si>
  <si>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</si>
  <si>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</si>
  <si>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</si>
  <si>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</si>
  <si>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</si>
  <si>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</si>
  <si>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</si>
  <si>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</si>
  <si>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</si>
  <si>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</si>
  <si>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</si>
  <si>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</si>
  <si>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</si>
  <si>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</si>
  <si>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</si>
  <si>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</si>
  <si>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</si>
  <si>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</si>
  <si>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</si>
  <si>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</si>
  <si>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</si>
  <si>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</si>
  <si>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</si>
  <si>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</si>
  <si>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</si>
  <si>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</si>
  <si>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</si>
  <si>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</si>
  <si>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</si>
  <si>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</si>
  <si>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</si>
  <si>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</si>
  <si>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</si>
  <si>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</si>
  <si>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</si>
  <si>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</si>
  <si>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</si>
  <si>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</si>
  <si>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</si>
  <si>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</si>
  <si>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</si>
  <si>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</si>
  <si>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</si>
  <si>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</si>
  <si>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</si>
  <si>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</si>
  <si>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</si>
  <si>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</si>
  <si>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</si>
  <si>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</si>
  <si>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</si>
  <si>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</si>
  <si>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</si>
  <si>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</si>
  <si>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</si>
  <si>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</si>
  <si>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</si>
  <si>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</si>
  <si>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</si>
  <si>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</si>
  <si>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</si>
  <si>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</si>
  <si>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</si>
  <si>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</si>
  <si>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</si>
  <si>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</si>
  <si>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</si>
  <si>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</si>
  <si>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</si>
  <si>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</si>
  <si>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</si>
  <si>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</si>
  <si>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</si>
  <si>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</si>
  <si>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</si>
  <si>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</si>
  <si>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</si>
  <si>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</si>
  <si>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</si>
  <si>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</si>
  <si>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</si>
  <si>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</si>
  <si>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</si>
  <si>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</si>
  <si>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</si>
  <si>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</si>
  <si>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</si>
  <si>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</si>
  <si>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</si>
  <si>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</si>
  <si>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</si>
  <si>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</si>
  <si>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</si>
  <si>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</si>
  <si>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</si>
  <si>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</si>
  <si>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</si>
  <si>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</si>
  <si>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</si>
  <si>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</si>
  <si>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</si>
  <si>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</si>
  <si>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</si>
  <si>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</si>
  <si>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</si>
  <si>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</si>
  <si>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</si>
  <si>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</si>
  <si>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</si>
  <si>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</si>
  <si>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</si>
  <si>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</si>
  <si>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</si>
  <si>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</si>
  <si>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</si>
  <si>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</si>
  <si>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</si>
  <si>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</si>
  <si>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</si>
  <si>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</si>
  <si>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</si>
  <si>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</si>
  <si>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</si>
  <si>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</si>
  <si>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</si>
  <si>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</si>
  <si>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</si>
  <si>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</si>
  <si>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</si>
  <si>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</si>
  <si>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</si>
  <si>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</si>
  <si>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</si>
  <si>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</si>
  <si>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</si>
  <si>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</si>
  <si>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</si>
  <si>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</si>
  <si>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</si>
  <si>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</si>
  <si>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</si>
  <si>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</si>
  <si>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</si>
  <si>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</si>
  <si>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</si>
  <si>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</si>
  <si>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</si>
  <si>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</si>
  <si>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</si>
  <si>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</si>
  <si>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</si>
  <si>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</si>
  <si>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</si>
  <si>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</si>
  <si>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</si>
  <si>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</si>
  <si>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</si>
  <si>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</si>
  <si>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</si>
  <si>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</si>
  <si>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</si>
  <si>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</si>
  <si>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</si>
  <si>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</si>
  <si>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</si>
  <si>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</si>
  <si>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</si>
  <si>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</si>
  <si>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</si>
  <si>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</si>
  <si>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</si>
  <si>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</si>
  <si>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</si>
  <si>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</si>
  <si>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</si>
  <si>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</si>
  <si>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</si>
  <si>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</si>
  <si>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</si>
  <si>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</si>
  <si>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</si>
  <si>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</si>
  <si>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</si>
  <si>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</si>
  <si>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</si>
  <si>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</si>
  <si>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</si>
  <si>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</si>
  <si>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</si>
  <si>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</si>
  <si>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</si>
  <si>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</si>
  <si>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</si>
  <si>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</si>
  <si>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</si>
  <si>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</si>
  <si>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</si>
  <si>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</si>
  <si>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</si>
  <si>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</si>
  <si>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</si>
  <si>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</si>
  <si>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</si>
  <si>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</si>
  <si>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</si>
  <si>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</si>
  <si>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</si>
  <si>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</si>
  <si>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</si>
  <si>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</si>
  <si>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</si>
  <si>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</si>
  <si>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</si>
  <si>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</si>
  <si>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</si>
  <si>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</si>
  <si>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</si>
  <si>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</si>
  <si>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</si>
  <si>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</si>
  <si>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</si>
  <si>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</si>
  <si>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</si>
  <si>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</si>
  <si>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</si>
  <si>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</si>
  <si>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</si>
  <si>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</si>
  <si>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</si>
  <si>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</si>
  <si>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</si>
  <si>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</si>
  <si>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</si>
  <si>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</si>
  <si>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</si>
  <si>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</si>
  <si>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</si>
  <si>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</si>
  <si>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</si>
  <si>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</si>
  <si>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</si>
  <si>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</si>
  <si>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</si>
  <si>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</si>
  <si>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</si>
  <si>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</si>
  <si>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</si>
  <si>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</si>
  <si>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</si>
  <si>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</si>
  <si>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</si>
  <si>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</si>
  <si>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</si>
  <si>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</si>
  <si>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</si>
  <si>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</si>
  <si>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</si>
  <si>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</si>
  <si>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</si>
  <si>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</si>
  <si>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</si>
  <si>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</si>
  <si>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</si>
  <si>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</si>
  <si>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</si>
  <si>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</si>
  <si>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</si>
  <si>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</si>
  <si>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</si>
  <si>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</si>
  <si>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</si>
  <si>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</si>
  <si>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</si>
  <si>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</si>
  <si>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</si>
  <si>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</si>
  <si>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</si>
  <si>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</si>
  <si>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</si>
  <si>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</si>
  <si>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</si>
  <si>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</si>
  <si>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</si>
  <si>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</si>
  <si>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</si>
  <si>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</si>
  <si>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</si>
  <si>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</si>
  <si>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</si>
  <si>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</si>
  <si>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</si>
  <si>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</si>
  <si>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</si>
  <si>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</si>
  <si>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</si>
  <si>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</si>
  <si>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</si>
  <si>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</si>
  <si>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</si>
  <si>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</si>
  <si>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</si>
  <si>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</si>
  <si>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</si>
  <si>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</si>
  <si>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</si>
  <si>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</si>
  <si>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</si>
  <si>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</si>
  <si>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</si>
  <si>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</si>
  <si>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</si>
  <si>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</si>
  <si>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</si>
  <si>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</si>
  <si>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</si>
  <si>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</si>
  <si>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</si>
  <si>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</si>
  <si>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</si>
  <si>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</si>
  <si>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</si>
  <si>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</si>
  <si>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</si>
  <si>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</si>
  <si>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</si>
  <si>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</si>
  <si>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</si>
  <si>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</si>
  <si>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</si>
  <si>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</si>
  <si>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</si>
  <si>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</si>
  <si>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</si>
  <si>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</si>
  <si>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</si>
  <si>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</si>
  <si>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</si>
  <si>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</si>
  <si>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</si>
  <si>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</si>
  <si>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</si>
  <si>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</si>
  <si>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</si>
  <si>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</si>
  <si>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</si>
  <si>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</si>
  <si>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</si>
  <si>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</si>
  <si>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</si>
  <si>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</si>
  <si>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</si>
  <si>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</si>
  <si>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</si>
  <si>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</si>
  <si>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</si>
  <si>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</si>
  <si>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</si>
  <si>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</si>
  <si>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</si>
  <si>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</si>
  <si>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</si>
  <si>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</si>
  <si>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</si>
  <si>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</si>
  <si>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</si>
  <si>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</si>
  <si>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</si>
  <si>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</si>
  <si>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</si>
  <si>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</si>
  <si>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</si>
  <si>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</si>
  <si>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</si>
  <si>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</si>
  <si>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</si>
  <si>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</si>
  <si>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</si>
  <si>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</si>
  <si>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</si>
  <si>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</si>
  <si>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</si>
  <si>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</si>
  <si>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</si>
  <si>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</si>
  <si>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</si>
  <si>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</si>
  <si>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</si>
  <si>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</si>
  <si>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</si>
  <si>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</si>
  <si>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</si>
  <si>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</si>
  <si>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</si>
  <si>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</si>
  <si>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</si>
  <si>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</si>
  <si>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</si>
  <si>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</si>
  <si>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</si>
  <si>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</si>
  <si>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</si>
  <si>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</si>
  <si>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</si>
  <si>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</si>
  <si>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</si>
  <si>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</si>
  <si>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</si>
  <si>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</si>
  <si>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</si>
  <si>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</si>
  <si>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</si>
  <si>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</si>
  <si>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</si>
  <si>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</si>
  <si>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</si>
  <si>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</si>
  <si>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</si>
  <si>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</si>
  <si>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</si>
  <si>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</si>
  <si>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</si>
  <si>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</si>
  <si>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</si>
  <si>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</si>
  <si>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</si>
  <si>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</si>
  <si>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</si>
  <si>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</si>
  <si>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</si>
  <si>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</si>
  <si>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</si>
  <si>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</si>
  <si>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</si>
  <si>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</si>
  <si>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</si>
  <si>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</si>
  <si>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</si>
  <si>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</si>
  <si>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</si>
  <si>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</si>
  <si>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</si>
  <si>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</si>
  <si>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</si>
  <si>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</si>
  <si>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</si>
  <si>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</si>
  <si>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</si>
  <si>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</si>
  <si>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</si>
  <si>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</si>
  <si>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</si>
  <si>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</si>
  <si>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</si>
  <si>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</si>
  <si>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</si>
  <si>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</si>
  <si>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</si>
  <si>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</si>
  <si>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</si>
  <si>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</si>
  <si>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</si>
  <si>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</si>
  <si>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</si>
  <si>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</si>
  <si>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</si>
  <si>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</si>
  <si>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</si>
  <si>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</si>
  <si>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</si>
  <si>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</si>
  <si>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</si>
  <si>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</si>
  <si>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</si>
  <si>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</si>
  <si>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</si>
  <si>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</si>
  <si>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</si>
  <si>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</si>
  <si>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</si>
  <si>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</si>
  <si>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</si>
  <si>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</si>
  <si>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</si>
  <si>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</si>
  <si>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</si>
  <si>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</si>
  <si>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</si>
  <si>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</si>
  <si>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</si>
  <si>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</si>
  <si>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</si>
  <si>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</si>
  <si>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</si>
  <si>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</si>
  <si>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</si>
  <si>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</si>
  <si>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</si>
  <si>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</si>
  <si>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</si>
  <si>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</si>
  <si>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</si>
  <si>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</si>
  <si>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</si>
  <si>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</si>
  <si>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</si>
  <si>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</si>
  <si>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</si>
  <si>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</si>
  <si>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</si>
  <si>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</si>
  <si>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</si>
  <si>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</si>
  <si>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</si>
  <si>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</si>
  <si>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</si>
  <si>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</si>
  <si>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</si>
  <si>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</si>
  <si>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</si>
  <si>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</si>
  <si>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</si>
  <si>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</si>
  <si>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</si>
  <si>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</si>
  <si>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</si>
  <si>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</si>
  <si>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</si>
  <si>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</si>
  <si>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</si>
  <si>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</si>
  <si>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</si>
  <si>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</si>
  <si>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</si>
  <si>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</si>
  <si>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</si>
  <si>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</si>
  <si>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</si>
  <si>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</si>
  <si>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</si>
  <si>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</si>
  <si>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</si>
  <si>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</si>
  <si>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</si>
  <si>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</si>
  <si>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</si>
  <si>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</si>
  <si>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</si>
  <si>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</si>
  <si>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</si>
  <si>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</si>
  <si>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</si>
  <si>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</si>
  <si>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</si>
  <si>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</si>
  <si>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</si>
  <si>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</si>
  <si>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</si>
  <si>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</si>
  <si>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</si>
  <si>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</si>
  <si>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</si>
  <si>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</si>
  <si>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</si>
  <si>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</si>
  <si>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</si>
  <si>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</si>
  <si>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</si>
  <si>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</si>
  <si>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</si>
  <si>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</si>
  <si>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</si>
  <si>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</si>
  <si>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</si>
  <si>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</si>
  <si>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</si>
  <si>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</si>
  <si>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</si>
  <si>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</si>
  <si>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</si>
  <si>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</si>
  <si>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</si>
  <si>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</si>
  <si>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</si>
  <si>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</si>
  <si>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</si>
  <si>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</si>
  <si>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</si>
  <si>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</si>
  <si>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</si>
  <si>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</si>
  <si>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</si>
  <si>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</si>
  <si>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</si>
  <si>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</si>
  <si>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</si>
  <si>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</si>
  <si>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</si>
  <si>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</si>
  <si>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</si>
  <si>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</si>
  <si>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</si>
  <si>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</si>
  <si>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</si>
  <si>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</si>
  <si>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</si>
  <si>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</si>
  <si>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</si>
  <si>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</si>
  <si>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</si>
  <si>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</si>
  <si>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</si>
  <si>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</si>
  <si>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</si>
  <si>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</si>
  <si>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</si>
  <si>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</si>
  <si>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</si>
  <si>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</si>
  <si>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</si>
  <si>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</si>
  <si>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</si>
  <si>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</si>
  <si>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</si>
  <si>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</si>
  <si>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</si>
  <si>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</si>
  <si>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</si>
  <si>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</si>
  <si>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</si>
  <si>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</si>
  <si>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</si>
  <si>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</si>
  <si>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</si>
  <si>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</si>
  <si>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</si>
  <si>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</si>
  <si>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</si>
  <si>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</si>
  <si>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</si>
  <si>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</si>
  <si>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</si>
  <si>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</si>
  <si>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</si>
  <si>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</si>
  <si>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</si>
  <si>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</si>
  <si>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</si>
  <si>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</si>
  <si>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</si>
  <si>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</si>
  <si>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</si>
  <si>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</si>
  <si>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</si>
  <si>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</si>
  <si>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</si>
  <si>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</si>
  <si>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</si>
  <si>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</si>
  <si>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</si>
  <si>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</si>
  <si>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</si>
  <si>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</si>
  <si>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</si>
  <si>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</si>
  <si>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</si>
  <si>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</si>
  <si>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</si>
  <si>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</si>
  <si>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</si>
  <si>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</si>
  <si>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</si>
  <si>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</si>
  <si>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</si>
  <si>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</si>
  <si>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</si>
  <si>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</si>
  <si>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</si>
  <si>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</si>
  <si>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</si>
  <si>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</si>
  <si>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</si>
  <si>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</si>
  <si>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</si>
  <si>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</si>
  <si>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</si>
  <si>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</si>
  <si>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</si>
  <si>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</si>
  <si>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</si>
  <si>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</si>
  <si>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</si>
  <si>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</si>
  <si>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</si>
  <si>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</si>
  <si>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</si>
  <si>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</si>
  <si>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</si>
  <si>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</si>
  <si>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</si>
  <si>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</si>
  <si>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</si>
  <si>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</si>
  <si>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</si>
  <si>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</si>
  <si>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</si>
  <si>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</si>
  <si>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</si>
  <si>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</si>
  <si>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</si>
  <si>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</si>
  <si>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</si>
  <si>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</si>
  <si>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</si>
  <si>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</si>
  <si>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</si>
  <si>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</si>
  <si>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</si>
  <si>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</si>
  <si>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</si>
  <si>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</si>
  <si>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</si>
  <si>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</si>
  <si>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</si>
  <si>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</si>
  <si>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</si>
  <si>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</si>
  <si>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</si>
  <si>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</si>
  <si>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</si>
  <si>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</si>
  <si>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</si>
  <si>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</si>
  <si>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</si>
  <si>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</si>
  <si>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</si>
  <si>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</si>
  <si>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</si>
  <si>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</si>
  <si>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</si>
  <si>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</si>
  <si>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</si>
  <si>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</si>
  <si>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</si>
  <si>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</si>
  <si>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</si>
  <si>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</si>
  <si>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</si>
  <si>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</si>
  <si>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</si>
  <si>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</si>
  <si>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</si>
  <si>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</si>
  <si>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</si>
  <si>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</si>
  <si>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</si>
  <si>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</si>
  <si>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</si>
  <si>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</si>
  <si>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</si>
  <si>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</si>
  <si>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</si>
  <si>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</si>
  <si>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</si>
  <si>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</si>
  <si>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</si>
  <si>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</si>
  <si>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</si>
  <si>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</si>
  <si>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</si>
  <si>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</si>
  <si>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</si>
  <si>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</si>
  <si>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</si>
  <si>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</si>
  <si>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</si>
  <si>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</si>
  <si>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</si>
  <si>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</si>
  <si>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</si>
  <si>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</si>
  <si>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</si>
  <si>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</si>
  <si>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</si>
  <si>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</si>
  <si>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</si>
  <si>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</si>
  <si>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</si>
  <si>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</si>
  <si>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</si>
  <si>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</si>
  <si>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</si>
  <si>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</si>
  <si>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</si>
  <si>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</si>
  <si>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</si>
  <si>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</si>
  <si>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</si>
  <si>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</si>
  <si>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</si>
  <si>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</si>
  <si>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</si>
  <si>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</si>
  <si>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</si>
  <si>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</si>
  <si>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</si>
  <si>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</si>
  <si>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</si>
  <si>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</si>
  <si>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</si>
  <si>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</si>
  <si>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</si>
  <si>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</si>
  <si>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</si>
  <si>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</si>
  <si>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</si>
  <si>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</si>
  <si>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</si>
  <si>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</si>
  <si>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</si>
  <si>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</si>
  <si>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</si>
  <si>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</si>
  <si>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</si>
  <si>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</si>
  <si>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</si>
  <si>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</si>
  <si>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</si>
  <si>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</si>
  <si>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</si>
  <si>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</si>
  <si>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</si>
  <si>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</si>
  <si>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</si>
  <si>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</si>
  <si>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</si>
  <si>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</si>
  <si>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</si>
  <si>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</si>
  <si>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</si>
  <si>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</si>
  <si>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</si>
  <si>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</si>
  <si>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</si>
  <si>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</si>
  <si>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</si>
  <si>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</si>
  <si>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</si>
  <si>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</si>
  <si>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</si>
  <si>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</si>
  <si>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</si>
  <si>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</si>
  <si>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</si>
  <si>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</si>
  <si>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</si>
  <si>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</si>
  <si>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</si>
  <si>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</si>
  <si>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</si>
  <si>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</si>
  <si>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</si>
  <si>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</si>
  <si>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</si>
  <si>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</si>
  <si>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</si>
  <si>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</si>
  <si>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</si>
  <si>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</si>
  <si>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11022</t>
  </si>
  <si>
    <t>KALMTHOUT</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</si>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</sst>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11022</v>
      </c>
      <c r="B6" s="397"/>
      <c r="C6" s="398"/>
    </row>
    <row r="7" spans="1:7" s="395" customFormat="1" ht="15.75" customHeight="1">
      <c r="A7" s="399" t="str">
        <f>txtMunicipality</f>
        <v>KALMTHOUT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20326.592443003832</v>
      </c>
      <c r="D10" s="688">
        <f ca="1">tertiair!C16</f>
        <v>0</v>
      </c>
      <c r="E10" s="688">
        <f ca="1">tertiair!D16</f>
        <v>27832.571358194531</v>
      </c>
      <c r="F10" s="688">
        <f>tertiair!E16</f>
        <v>182.4469101734681</v>
      </c>
      <c r="G10" s="688">
        <f ca="1">tertiair!F16</f>
        <v>3921.279672375284</v>
      </c>
      <c r="H10" s="688">
        <f>tertiair!G16</f>
        <v>0</v>
      </c>
      <c r="I10" s="688">
        <f>tertiair!H16</f>
        <v>0</v>
      </c>
      <c r="J10" s="688">
        <f>tertiair!I16</f>
        <v>0</v>
      </c>
      <c r="K10" s="688">
        <f>tertiair!J16</f>
        <v>0</v>
      </c>
      <c r="L10" s="688">
        <f>tertiair!K16</f>
        <v>0</v>
      </c>
      <c r="M10" s="688">
        <f ca="1">tertiair!L16</f>
        <v>0</v>
      </c>
      <c r="N10" s="688">
        <f>tertiair!M16</f>
        <v>0</v>
      </c>
      <c r="O10" s="688">
        <f ca="1">tertiair!N16</f>
        <v>1697.055335481552</v>
      </c>
      <c r="P10" s="688">
        <f>tertiair!O16</f>
        <v>0</v>
      </c>
      <c r="Q10" s="689">
        <f>tertiair!P16</f>
        <v>0</v>
      </c>
      <c r="R10" s="691">
        <f ca="1">SUM(C10:Q10)</f>
        <v>53959.945719228657</v>
      </c>
      <c r="S10" s="68"/>
    </row>
    <row r="11" spans="1:19" s="457" customFormat="1">
      <c r="A11" s="803" t="s">
        <v>225</v>
      </c>
      <c r="B11" s="808"/>
      <c r="C11" s="688">
        <f>huishoudens!B8</f>
        <v>36947.990414217056</v>
      </c>
      <c r="D11" s="688">
        <f>huishoudens!C8</f>
        <v>0</v>
      </c>
      <c r="E11" s="688">
        <f>huishoudens!D8</f>
        <v>111018.96012999167</v>
      </c>
      <c r="F11" s="688">
        <f>huishoudens!E8</f>
        <v>3037.5435388526325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18578.238729633555</v>
      </c>
      <c r="P11" s="688">
        <f>huishoudens!O8</f>
        <v>126.63</v>
      </c>
      <c r="Q11" s="689">
        <f>huishoudens!P8</f>
        <v>419.4666666666667</v>
      </c>
      <c r="R11" s="691">
        <f>SUM(C11:Q11)</f>
        <v>170128.82947936159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15620.15800954845</v>
      </c>
      <c r="D13" s="688">
        <f>industrie!C18</f>
        <v>0</v>
      </c>
      <c r="E13" s="688">
        <f>industrie!D18</f>
        <v>15228.968458482843</v>
      </c>
      <c r="F13" s="688">
        <f>industrie!E18</f>
        <v>145.3511424716967</v>
      </c>
      <c r="G13" s="688">
        <f>industrie!F18</f>
        <v>3293.4841830401683</v>
      </c>
      <c r="H13" s="688">
        <f>industrie!G18</f>
        <v>0</v>
      </c>
      <c r="I13" s="688">
        <f>industrie!H18</f>
        <v>0</v>
      </c>
      <c r="J13" s="688">
        <f>industrie!I18</f>
        <v>0</v>
      </c>
      <c r="K13" s="688">
        <f>industrie!J18</f>
        <v>40.409339110999781</v>
      </c>
      <c r="L13" s="688">
        <f>industrie!K18</f>
        <v>0</v>
      </c>
      <c r="M13" s="688">
        <f>industrie!L18</f>
        <v>0</v>
      </c>
      <c r="N13" s="688">
        <f>industrie!M18</f>
        <v>0</v>
      </c>
      <c r="O13" s="688">
        <f>industrie!N18</f>
        <v>446.72996390860101</v>
      </c>
      <c r="P13" s="688">
        <f>industrie!O18</f>
        <v>0</v>
      </c>
      <c r="Q13" s="689">
        <f>industrie!P18</f>
        <v>0</v>
      </c>
      <c r="R13" s="691">
        <f>SUM(C13:Q13)</f>
        <v>34775.101096562757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72894.740866769338</v>
      </c>
      <c r="D16" s="721">
        <f t="shared" ref="D16:R16" ca="1" si="0">SUM(D9:D15)</f>
        <v>0</v>
      </c>
      <c r="E16" s="721">
        <f t="shared" ca="1" si="0"/>
        <v>154080.49994666906</v>
      </c>
      <c r="F16" s="721">
        <f t="shared" si="0"/>
        <v>3365.3415914977973</v>
      </c>
      <c r="G16" s="721">
        <f t="shared" ca="1" si="0"/>
        <v>7214.7638554154528</v>
      </c>
      <c r="H16" s="721">
        <f t="shared" si="0"/>
        <v>0</v>
      </c>
      <c r="I16" s="721">
        <f t="shared" si="0"/>
        <v>0</v>
      </c>
      <c r="J16" s="721">
        <f t="shared" si="0"/>
        <v>0</v>
      </c>
      <c r="K16" s="721">
        <f t="shared" si="0"/>
        <v>40.409339110999781</v>
      </c>
      <c r="L16" s="721">
        <f t="shared" si="0"/>
        <v>0</v>
      </c>
      <c r="M16" s="721">
        <f t="shared" ca="1" si="0"/>
        <v>0</v>
      </c>
      <c r="N16" s="721">
        <f t="shared" si="0"/>
        <v>0</v>
      </c>
      <c r="O16" s="721">
        <f t="shared" ca="1" si="0"/>
        <v>20722.024029023709</v>
      </c>
      <c r="P16" s="721">
        <f t="shared" si="0"/>
        <v>126.63</v>
      </c>
      <c r="Q16" s="721">
        <f t="shared" si="0"/>
        <v>419.4666666666667</v>
      </c>
      <c r="R16" s="721">
        <f t="shared" ca="1" si="0"/>
        <v>258863.87629515299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1005.90609383066</v>
      </c>
      <c r="I19" s="688">
        <f>transport!H54</f>
        <v>0</v>
      </c>
      <c r="J19" s="688">
        <f>transport!I54</f>
        <v>0</v>
      </c>
      <c r="K19" s="688">
        <f>transport!J54</f>
        <v>0</v>
      </c>
      <c r="L19" s="688">
        <f>transport!K54</f>
        <v>0</v>
      </c>
      <c r="M19" s="688">
        <f>transport!L54</f>
        <v>0</v>
      </c>
      <c r="N19" s="688">
        <f>transport!M54</f>
        <v>44.170995925999961</v>
      </c>
      <c r="O19" s="688">
        <f>transport!N54</f>
        <v>0</v>
      </c>
      <c r="P19" s="688">
        <f>transport!O54</f>
        <v>0</v>
      </c>
      <c r="Q19" s="689">
        <f>transport!P54</f>
        <v>0</v>
      </c>
      <c r="R19" s="691">
        <f>SUM(C19:Q19)</f>
        <v>1050.0770897566599</v>
      </c>
      <c r="S19" s="68"/>
    </row>
    <row r="20" spans="1:19" s="457" customFormat="1">
      <c r="A20" s="803" t="s">
        <v>307</v>
      </c>
      <c r="B20" s="808"/>
      <c r="C20" s="688">
        <f>transport!B14</f>
        <v>1.9148419630786149</v>
      </c>
      <c r="D20" s="688">
        <f>transport!C14</f>
        <v>0</v>
      </c>
      <c r="E20" s="688">
        <f>transport!D14</f>
        <v>5.3511466261451375</v>
      </c>
      <c r="F20" s="688">
        <f>transport!E14</f>
        <v>309.72123262897651</v>
      </c>
      <c r="G20" s="688">
        <f>transport!F14</f>
        <v>0</v>
      </c>
      <c r="H20" s="688">
        <f>transport!G14</f>
        <v>58852.497405153466</v>
      </c>
      <c r="I20" s="688">
        <f>transport!H14</f>
        <v>11877.441511403482</v>
      </c>
      <c r="J20" s="688">
        <f>transport!I14</f>
        <v>0</v>
      </c>
      <c r="K20" s="688">
        <f>transport!J14</f>
        <v>0</v>
      </c>
      <c r="L20" s="688">
        <f>transport!K14</f>
        <v>0</v>
      </c>
      <c r="M20" s="688">
        <f>transport!L14</f>
        <v>0</v>
      </c>
      <c r="N20" s="688">
        <f>transport!M14</f>
        <v>3164.0259717632516</v>
      </c>
      <c r="O20" s="688">
        <f>transport!N14</f>
        <v>0</v>
      </c>
      <c r="P20" s="688">
        <f>transport!O14</f>
        <v>0</v>
      </c>
      <c r="Q20" s="689">
        <f>transport!P14</f>
        <v>0</v>
      </c>
      <c r="R20" s="691">
        <f>SUM(C20:Q20)</f>
        <v>74210.952109538412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1.9148419630786149</v>
      </c>
      <c r="D22" s="806">
        <f t="shared" ref="D22:R22" si="1">SUM(D18:D21)</f>
        <v>0</v>
      </c>
      <c r="E22" s="806">
        <f t="shared" si="1"/>
        <v>5.3511466261451375</v>
      </c>
      <c r="F22" s="806">
        <f t="shared" si="1"/>
        <v>309.72123262897651</v>
      </c>
      <c r="G22" s="806">
        <f t="shared" si="1"/>
        <v>0</v>
      </c>
      <c r="H22" s="806">
        <f t="shared" si="1"/>
        <v>59858.403498984124</v>
      </c>
      <c r="I22" s="806">
        <f t="shared" si="1"/>
        <v>11877.441511403482</v>
      </c>
      <c r="J22" s="806">
        <f t="shared" si="1"/>
        <v>0</v>
      </c>
      <c r="K22" s="806">
        <f t="shared" si="1"/>
        <v>0</v>
      </c>
      <c r="L22" s="806">
        <f t="shared" si="1"/>
        <v>0</v>
      </c>
      <c r="M22" s="806">
        <f t="shared" si="1"/>
        <v>0</v>
      </c>
      <c r="N22" s="806">
        <f t="shared" si="1"/>
        <v>3208.1969676892518</v>
      </c>
      <c r="O22" s="806">
        <f t="shared" si="1"/>
        <v>0</v>
      </c>
      <c r="P22" s="806">
        <f t="shared" si="1"/>
        <v>0</v>
      </c>
      <c r="Q22" s="806">
        <f t="shared" si="1"/>
        <v>0</v>
      </c>
      <c r="R22" s="806">
        <f t="shared" si="1"/>
        <v>75261.029199295066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3260.7778503013601</v>
      </c>
      <c r="D24" s="688">
        <f>+landbouw!C8</f>
        <v>13011.749999999998</v>
      </c>
      <c r="E24" s="688">
        <f>+landbouw!D8</f>
        <v>9598.2559129252913</v>
      </c>
      <c r="F24" s="688">
        <f>+landbouw!E8</f>
        <v>30.718712142666487</v>
      </c>
      <c r="G24" s="688">
        <f>+landbouw!F8</f>
        <v>10641.000282663284</v>
      </c>
      <c r="H24" s="688">
        <f>+landbouw!G8</f>
        <v>0</v>
      </c>
      <c r="I24" s="688">
        <f>+landbouw!H8</f>
        <v>0</v>
      </c>
      <c r="J24" s="688">
        <f>+landbouw!I8</f>
        <v>0</v>
      </c>
      <c r="K24" s="688">
        <f>+landbouw!J8</f>
        <v>403.37408050269551</v>
      </c>
      <c r="L24" s="688">
        <f>+landbouw!K8</f>
        <v>0</v>
      </c>
      <c r="M24" s="688">
        <f>+landbouw!L8</f>
        <v>0</v>
      </c>
      <c r="N24" s="688">
        <f>+landbouw!M8</f>
        <v>0</v>
      </c>
      <c r="O24" s="688">
        <f>+landbouw!N8</f>
        <v>0</v>
      </c>
      <c r="P24" s="688">
        <f>+landbouw!O8</f>
        <v>0</v>
      </c>
      <c r="Q24" s="689">
        <f>+landbouw!P8</f>
        <v>0</v>
      </c>
      <c r="R24" s="691">
        <f>SUM(C24:Q24)</f>
        <v>36945.876838535296</v>
      </c>
      <c r="S24" s="68"/>
    </row>
    <row r="25" spans="1:19" s="457" customFormat="1" ht="15" thickBot="1">
      <c r="A25" s="825" t="s">
        <v>912</v>
      </c>
      <c r="B25" s="1001"/>
      <c r="C25" s="1002">
        <f>IF(Onbekend_ele_kWh="---",0,Onbekend_ele_kWh)/1000+IF(REST_rest_ele_kWh="---",0,REST_rest_ele_kWh)/1000</f>
        <v>1034.9465990139101</v>
      </c>
      <c r="D25" s="1002"/>
      <c r="E25" s="1002">
        <f>IF(onbekend_gas_kWh="---",0,onbekend_gas_kWh)/1000+IF(REST_rest_gas_kWh="---",0,REST_rest_gas_kWh)/1000</f>
        <v>3832.2928619807799</v>
      </c>
      <c r="F25" s="1002"/>
      <c r="G25" s="1002"/>
      <c r="H25" s="1002"/>
      <c r="I25" s="1002"/>
      <c r="J25" s="1002"/>
      <c r="K25" s="1002"/>
      <c r="L25" s="1002"/>
      <c r="M25" s="1002"/>
      <c r="N25" s="1002"/>
      <c r="O25" s="1002"/>
      <c r="P25" s="1002"/>
      <c r="Q25" s="1003"/>
      <c r="R25" s="691">
        <f>SUM(C25:Q25)</f>
        <v>4867.2394609946896</v>
      </c>
      <c r="S25" s="68"/>
    </row>
    <row r="26" spans="1:19" s="457" customFormat="1" ht="15.75" thickBot="1">
      <c r="A26" s="694" t="s">
        <v>913</v>
      </c>
      <c r="B26" s="811"/>
      <c r="C26" s="806">
        <f>SUM(C24:C25)</f>
        <v>4295.7244493152702</v>
      </c>
      <c r="D26" s="806">
        <f t="shared" ref="D26:R26" si="2">SUM(D24:D25)</f>
        <v>13011.749999999998</v>
      </c>
      <c r="E26" s="806">
        <f t="shared" si="2"/>
        <v>13430.54877490607</v>
      </c>
      <c r="F26" s="806">
        <f t="shared" si="2"/>
        <v>30.718712142666487</v>
      </c>
      <c r="G26" s="806">
        <f t="shared" si="2"/>
        <v>10641.000282663284</v>
      </c>
      <c r="H26" s="806">
        <f t="shared" si="2"/>
        <v>0</v>
      </c>
      <c r="I26" s="806">
        <f t="shared" si="2"/>
        <v>0</v>
      </c>
      <c r="J26" s="806">
        <f t="shared" si="2"/>
        <v>0</v>
      </c>
      <c r="K26" s="806">
        <f t="shared" si="2"/>
        <v>403.37408050269551</v>
      </c>
      <c r="L26" s="806">
        <f t="shared" si="2"/>
        <v>0</v>
      </c>
      <c r="M26" s="806">
        <f t="shared" si="2"/>
        <v>0</v>
      </c>
      <c r="N26" s="806">
        <f t="shared" si="2"/>
        <v>0</v>
      </c>
      <c r="O26" s="806">
        <f t="shared" si="2"/>
        <v>0</v>
      </c>
      <c r="P26" s="806">
        <f t="shared" si="2"/>
        <v>0</v>
      </c>
      <c r="Q26" s="806">
        <f t="shared" si="2"/>
        <v>0</v>
      </c>
      <c r="R26" s="806">
        <f t="shared" si="2"/>
        <v>41813.116299529982</v>
      </c>
      <c r="S26" s="68"/>
    </row>
    <row r="27" spans="1:19" s="457" customFormat="1" ht="17.25" thickTop="1" thickBot="1">
      <c r="A27" s="695" t="s">
        <v>116</v>
      </c>
      <c r="B27" s="798"/>
      <c r="C27" s="696">
        <f ca="1">C22+C16+C26</f>
        <v>77192.380158047687</v>
      </c>
      <c r="D27" s="696">
        <f t="shared" ref="D27:R27" ca="1" si="3">D22+D16+D26</f>
        <v>13011.749999999998</v>
      </c>
      <c r="E27" s="696">
        <f t="shared" ca="1" si="3"/>
        <v>167516.39986820129</v>
      </c>
      <c r="F27" s="696">
        <f t="shared" si="3"/>
        <v>3705.78153626944</v>
      </c>
      <c r="G27" s="696">
        <f t="shared" ca="1" si="3"/>
        <v>17855.764138078739</v>
      </c>
      <c r="H27" s="696">
        <f t="shared" si="3"/>
        <v>59858.403498984124</v>
      </c>
      <c r="I27" s="696">
        <f t="shared" si="3"/>
        <v>11877.441511403482</v>
      </c>
      <c r="J27" s="696">
        <f t="shared" si="3"/>
        <v>0</v>
      </c>
      <c r="K27" s="696">
        <f t="shared" si="3"/>
        <v>443.78341961369529</v>
      </c>
      <c r="L27" s="696">
        <f t="shared" si="3"/>
        <v>0</v>
      </c>
      <c r="M27" s="696">
        <f t="shared" ca="1" si="3"/>
        <v>0</v>
      </c>
      <c r="N27" s="696">
        <f t="shared" si="3"/>
        <v>3208.1969676892518</v>
      </c>
      <c r="O27" s="696">
        <f t="shared" ca="1" si="3"/>
        <v>20722.024029023709</v>
      </c>
      <c r="P27" s="696">
        <f t="shared" si="3"/>
        <v>126.63</v>
      </c>
      <c r="Q27" s="696">
        <f t="shared" si="3"/>
        <v>419.4666666666667</v>
      </c>
      <c r="R27" s="696">
        <f t="shared" ca="1" si="3"/>
        <v>375938.021793978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4235.7904059312805</v>
      </c>
      <c r="D40" s="688">
        <f ca="1">tertiair!C20</f>
        <v>0</v>
      </c>
      <c r="E40" s="688">
        <f ca="1">tertiair!D20</f>
        <v>5622.1794143552952</v>
      </c>
      <c r="F40" s="688">
        <f>tertiair!E20</f>
        <v>41.415448609377258</v>
      </c>
      <c r="G40" s="688">
        <f ca="1">tertiair!F20</f>
        <v>1046.9816725242008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10946.366941420154</v>
      </c>
    </row>
    <row r="41" spans="1:18">
      <c r="A41" s="816" t="s">
        <v>225</v>
      </c>
      <c r="B41" s="823"/>
      <c r="C41" s="688">
        <f ca="1">huishoudens!B12</f>
        <v>7699.467766366728</v>
      </c>
      <c r="D41" s="688">
        <f ca="1">huishoudens!C12</f>
        <v>0</v>
      </c>
      <c r="E41" s="688">
        <f>huishoudens!D12</f>
        <v>22425.82994625832</v>
      </c>
      <c r="F41" s="688">
        <f>huishoudens!E12</f>
        <v>689.52238331954766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30814.820095944597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3255.0323238634487</v>
      </c>
      <c r="D43" s="688">
        <f ca="1">industrie!C22</f>
        <v>0</v>
      </c>
      <c r="E43" s="688">
        <f>industrie!D22</f>
        <v>3076.2516286135346</v>
      </c>
      <c r="F43" s="688">
        <f>industrie!E22</f>
        <v>32.994709341075151</v>
      </c>
      <c r="G43" s="688">
        <f>industrie!F22</f>
        <v>879.36027687172498</v>
      </c>
      <c r="H43" s="688">
        <f>industrie!G22</f>
        <v>0</v>
      </c>
      <c r="I43" s="688">
        <f>industrie!H22</f>
        <v>0</v>
      </c>
      <c r="J43" s="688">
        <f>industrie!I22</f>
        <v>0</v>
      </c>
      <c r="K43" s="688">
        <f>industrie!J22</f>
        <v>14.304906045293922</v>
      </c>
      <c r="L43" s="688">
        <f>industrie!K22</f>
        <v>0</v>
      </c>
      <c r="M43" s="688">
        <f>industrie!L22</f>
        <v>0</v>
      </c>
      <c r="N43" s="688">
        <f>industrie!M22</f>
        <v>0</v>
      </c>
      <c r="O43" s="688">
        <f>industrie!N22</f>
        <v>0</v>
      </c>
      <c r="P43" s="688">
        <f>industrie!O22</f>
        <v>0</v>
      </c>
      <c r="Q43" s="763">
        <f>industrie!P22</f>
        <v>0</v>
      </c>
      <c r="R43" s="843">
        <f t="shared" ca="1" si="4"/>
        <v>7257.9438447350776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15190.290496161457</v>
      </c>
      <c r="D46" s="721">
        <f t="shared" ref="D46:Q46" ca="1" si="5">SUM(D39:D45)</f>
        <v>0</v>
      </c>
      <c r="E46" s="721">
        <f t="shared" ca="1" si="5"/>
        <v>31124.26098922715</v>
      </c>
      <c r="F46" s="721">
        <f t="shared" si="5"/>
        <v>763.93254127</v>
      </c>
      <c r="G46" s="721">
        <f t="shared" ca="1" si="5"/>
        <v>1926.3419493959259</v>
      </c>
      <c r="H46" s="721">
        <f t="shared" si="5"/>
        <v>0</v>
      </c>
      <c r="I46" s="721">
        <f t="shared" si="5"/>
        <v>0</v>
      </c>
      <c r="J46" s="721">
        <f t="shared" si="5"/>
        <v>0</v>
      </c>
      <c r="K46" s="721">
        <f t="shared" si="5"/>
        <v>14.304906045293922</v>
      </c>
      <c r="L46" s="721">
        <f t="shared" si="5"/>
        <v>0</v>
      </c>
      <c r="M46" s="721">
        <f t="shared" ca="1" si="5"/>
        <v>0</v>
      </c>
      <c r="N46" s="721">
        <f t="shared" si="5"/>
        <v>0</v>
      </c>
      <c r="O46" s="721">
        <f t="shared" ca="1" si="5"/>
        <v>0</v>
      </c>
      <c r="P46" s="721">
        <f t="shared" si="5"/>
        <v>0</v>
      </c>
      <c r="Q46" s="721">
        <f t="shared" si="5"/>
        <v>0</v>
      </c>
      <c r="R46" s="721">
        <f ca="1">SUM(R39:R45)</f>
        <v>49019.130882099831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268.57692705278623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268.57692705278623</v>
      </c>
    </row>
    <row r="50" spans="1:18">
      <c r="A50" s="819" t="s">
        <v>307</v>
      </c>
      <c r="B50" s="829"/>
      <c r="C50" s="1008">
        <f ca="1">transport!B18</f>
        <v>0.39902749262209369</v>
      </c>
      <c r="D50" s="1008">
        <f>transport!C18</f>
        <v>0</v>
      </c>
      <c r="E50" s="1008">
        <f>transport!D18</f>
        <v>1.0809316184813178</v>
      </c>
      <c r="F50" s="1008">
        <f>transport!E18</f>
        <v>70.306719806777664</v>
      </c>
      <c r="G50" s="1008">
        <f>transport!F18</f>
        <v>0</v>
      </c>
      <c r="H50" s="1008">
        <f>transport!G18</f>
        <v>15713.616807175977</v>
      </c>
      <c r="I50" s="1008">
        <f>transport!H18</f>
        <v>2957.482936339467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18742.886422433323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0.39902749262209369</v>
      </c>
      <c r="D52" s="721">
        <f t="shared" ref="D52:Q52" ca="1" si="6">SUM(D48:D51)</f>
        <v>0</v>
      </c>
      <c r="E52" s="721">
        <f t="shared" si="6"/>
        <v>1.0809316184813178</v>
      </c>
      <c r="F52" s="721">
        <f t="shared" si="6"/>
        <v>70.306719806777664</v>
      </c>
      <c r="G52" s="721">
        <f t="shared" si="6"/>
        <v>0</v>
      </c>
      <c r="H52" s="721">
        <f t="shared" si="6"/>
        <v>15982.193734228764</v>
      </c>
      <c r="I52" s="721">
        <f t="shared" si="6"/>
        <v>2957.482936339467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19011.463349486108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679.50255670785793</v>
      </c>
      <c r="D54" s="1008">
        <f ca="1">+landbouw!C12</f>
        <v>3077.363402408223</v>
      </c>
      <c r="E54" s="1008">
        <f>+landbouw!D12</f>
        <v>1938.8476944109091</v>
      </c>
      <c r="F54" s="1008">
        <f>+landbouw!E12</f>
        <v>6.9731476563852928</v>
      </c>
      <c r="G54" s="1008">
        <f>+landbouw!F12</f>
        <v>2841.1470754710972</v>
      </c>
      <c r="H54" s="1008">
        <f>+landbouw!G12</f>
        <v>0</v>
      </c>
      <c r="I54" s="1008">
        <f>+landbouw!H12</f>
        <v>0</v>
      </c>
      <c r="J54" s="1008">
        <f>+landbouw!I12</f>
        <v>0</v>
      </c>
      <c r="K54" s="1008">
        <f>+landbouw!J12</f>
        <v>142.7944244979542</v>
      </c>
      <c r="L54" s="1008">
        <f>+landbouw!K12</f>
        <v>0</v>
      </c>
      <c r="M54" s="1008">
        <f>+landbouw!L12</f>
        <v>0</v>
      </c>
      <c r="N54" s="1008">
        <f>+landbouw!M12</f>
        <v>0</v>
      </c>
      <c r="O54" s="1008">
        <f>+landbouw!N12</f>
        <v>0</v>
      </c>
      <c r="P54" s="1008">
        <f>+landbouw!O12</f>
        <v>0</v>
      </c>
      <c r="Q54" s="1009">
        <f>+landbouw!P12</f>
        <v>0</v>
      </c>
      <c r="R54" s="720">
        <f ca="1">SUM(C54:Q54)</f>
        <v>8686.6283011524265</v>
      </c>
    </row>
    <row r="55" spans="1:18" ht="15" thickBot="1">
      <c r="A55" s="819" t="s">
        <v>912</v>
      </c>
      <c r="B55" s="829"/>
      <c r="C55" s="1008">
        <f ca="1">C25*'EF ele_warmte'!B12</f>
        <v>215.66904964748215</v>
      </c>
      <c r="D55" s="1008"/>
      <c r="E55" s="1008">
        <f>E25*EF_CO2_aardgas</f>
        <v>774.12315812011764</v>
      </c>
      <c r="F55" s="1008"/>
      <c r="G55" s="1008"/>
      <c r="H55" s="1008"/>
      <c r="I55" s="1008"/>
      <c r="J55" s="1008"/>
      <c r="K55" s="1008"/>
      <c r="L55" s="1008"/>
      <c r="M55" s="1008"/>
      <c r="N55" s="1008"/>
      <c r="O55" s="1008"/>
      <c r="P55" s="1008"/>
      <c r="Q55" s="1009"/>
      <c r="R55" s="720">
        <f ca="1">SUM(C55:Q55)</f>
        <v>989.79220776759985</v>
      </c>
    </row>
    <row r="56" spans="1:18" ht="15.75" thickBot="1">
      <c r="A56" s="817" t="s">
        <v>913</v>
      </c>
      <c r="B56" s="830"/>
      <c r="C56" s="721">
        <f ca="1">SUM(C54:C55)</f>
        <v>895.17160635534015</v>
      </c>
      <c r="D56" s="721">
        <f t="shared" ref="D56:Q56" ca="1" si="7">SUM(D54:D55)</f>
        <v>3077.363402408223</v>
      </c>
      <c r="E56" s="721">
        <f t="shared" si="7"/>
        <v>2712.9708525310266</v>
      </c>
      <c r="F56" s="721">
        <f t="shared" si="7"/>
        <v>6.9731476563852928</v>
      </c>
      <c r="G56" s="721">
        <f t="shared" si="7"/>
        <v>2841.1470754710972</v>
      </c>
      <c r="H56" s="721">
        <f t="shared" si="7"/>
        <v>0</v>
      </c>
      <c r="I56" s="721">
        <f t="shared" si="7"/>
        <v>0</v>
      </c>
      <c r="J56" s="721">
        <f t="shared" si="7"/>
        <v>0</v>
      </c>
      <c r="K56" s="721">
        <f t="shared" si="7"/>
        <v>142.7944244979542</v>
      </c>
      <c r="L56" s="721">
        <f t="shared" si="7"/>
        <v>0</v>
      </c>
      <c r="M56" s="721">
        <f t="shared" si="7"/>
        <v>0</v>
      </c>
      <c r="N56" s="721">
        <f t="shared" si="7"/>
        <v>0</v>
      </c>
      <c r="O56" s="721">
        <f t="shared" si="7"/>
        <v>0</v>
      </c>
      <c r="P56" s="721">
        <f t="shared" si="7"/>
        <v>0</v>
      </c>
      <c r="Q56" s="722">
        <f t="shared" si="7"/>
        <v>0</v>
      </c>
      <c r="R56" s="723">
        <f ca="1">SUM(R54:R55)</f>
        <v>9676.4205089200259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16085.861130009418</v>
      </c>
      <c r="D61" s="729">
        <f t="shared" ref="D61:Q61" ca="1" si="8">D46+D52+D56</f>
        <v>3077.363402408223</v>
      </c>
      <c r="E61" s="729">
        <f t="shared" ca="1" si="8"/>
        <v>33838.31277337666</v>
      </c>
      <c r="F61" s="729">
        <f t="shared" si="8"/>
        <v>841.21240873316299</v>
      </c>
      <c r="G61" s="729">
        <f t="shared" ca="1" si="8"/>
        <v>4767.4890248670235</v>
      </c>
      <c r="H61" s="729">
        <f t="shared" si="8"/>
        <v>15982.193734228764</v>
      </c>
      <c r="I61" s="729">
        <f t="shared" si="8"/>
        <v>2957.482936339467</v>
      </c>
      <c r="J61" s="729">
        <f t="shared" si="8"/>
        <v>0</v>
      </c>
      <c r="K61" s="729">
        <f t="shared" si="8"/>
        <v>157.09933054324813</v>
      </c>
      <c r="L61" s="729">
        <f t="shared" si="8"/>
        <v>0</v>
      </c>
      <c r="M61" s="729">
        <f t="shared" ca="1" si="8"/>
        <v>0</v>
      </c>
      <c r="N61" s="729">
        <f t="shared" si="8"/>
        <v>0</v>
      </c>
      <c r="O61" s="729">
        <f t="shared" ca="1" si="8"/>
        <v>0</v>
      </c>
      <c r="P61" s="729">
        <f t="shared" si="8"/>
        <v>0</v>
      </c>
      <c r="Q61" s="729">
        <f t="shared" si="8"/>
        <v>0</v>
      </c>
      <c r="R61" s="729">
        <f ca="1">R46+R52+R56</f>
        <v>77707.014740505969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0.20838664512059857</v>
      </c>
      <c r="D63" s="773">
        <f t="shared" ca="1" si="9"/>
        <v>0.23650649623672629</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10181.125773829213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3927.0062727849527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43.647124411212488</v>
      </c>
      <c r="C76" s="739">
        <f>'lokale energieproductie'!B8*IFERROR(SUM(D76:H76)/SUM(D76:O76),0)</f>
        <v>9063.4528755887859</v>
      </c>
      <c r="D76" s="1020">
        <f>'lokale energieproductie'!C8</f>
        <v>10662.813425136088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51.349209901444752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2153.8883118774897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14151.779171025379</v>
      </c>
      <c r="C78" s="744">
        <f>SUM(C72:C77)</f>
        <v>9063.4528755887859</v>
      </c>
      <c r="D78" s="745">
        <f t="shared" ref="D78:H78" si="10">SUM(D76:D77)</f>
        <v>10662.813425136088</v>
      </c>
      <c r="E78" s="745">
        <f t="shared" si="10"/>
        <v>0</v>
      </c>
      <c r="F78" s="745">
        <f t="shared" si="10"/>
        <v>0</v>
      </c>
      <c r="G78" s="745">
        <f t="shared" si="10"/>
        <v>0</v>
      </c>
      <c r="H78" s="745">
        <f t="shared" si="10"/>
        <v>0</v>
      </c>
      <c r="I78" s="745">
        <f>SUM(I76:I77)</f>
        <v>0</v>
      </c>
      <c r="J78" s="745">
        <f>SUM(J76:J77)</f>
        <v>51.349209901444752</v>
      </c>
      <c r="K78" s="745">
        <f t="shared" ref="K78:L78" si="11">SUM(K76:K77)</f>
        <v>0</v>
      </c>
      <c r="L78" s="745">
        <f t="shared" si="11"/>
        <v>0</v>
      </c>
      <c r="M78" s="745">
        <f>SUM(M76:M77)</f>
        <v>0</v>
      </c>
      <c r="N78" s="745">
        <f>SUM(N76:N77)</f>
        <v>0</v>
      </c>
      <c r="O78" s="854">
        <f>SUM(O76:O77)</f>
        <v>0</v>
      </c>
      <c r="P78" s="746">
        <v>0</v>
      </c>
      <c r="Q78" s="746">
        <f>SUM(Q76:Q77)</f>
        <v>2153.8883118774897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62.360737343127234</v>
      </c>
      <c r="C87" s="755">
        <f>'lokale energieproductie'!B17*IFERROR(SUM(D87:H87)/SUM(D87:O87),0)</f>
        <v>12949.38926265687</v>
      </c>
      <c r="D87" s="766">
        <f>'lokale energieproductie'!C17</f>
        <v>15234.472289149619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73.365075812840928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3077.363402408223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62.360737343127234</v>
      </c>
      <c r="C90" s="744">
        <f>SUM(C87:C89)</f>
        <v>12949.38926265687</v>
      </c>
      <c r="D90" s="744">
        <f t="shared" ref="D90:H90" si="12">SUM(D87:D89)</f>
        <v>15234.472289149619</v>
      </c>
      <c r="E90" s="744">
        <f t="shared" si="12"/>
        <v>0</v>
      </c>
      <c r="F90" s="744">
        <f t="shared" si="12"/>
        <v>0</v>
      </c>
      <c r="G90" s="744">
        <f t="shared" si="12"/>
        <v>0</v>
      </c>
      <c r="H90" s="744">
        <f t="shared" si="12"/>
        <v>0</v>
      </c>
      <c r="I90" s="744">
        <f>SUM(I87:I89)</f>
        <v>0</v>
      </c>
      <c r="J90" s="744">
        <f>SUM(J87:J89)</f>
        <v>73.365075812840928</v>
      </c>
      <c r="K90" s="744">
        <f t="shared" ref="K90:L90" si="13">SUM(K87:K89)</f>
        <v>0</v>
      </c>
      <c r="L90" s="744">
        <f t="shared" si="13"/>
        <v>0</v>
      </c>
      <c r="M90" s="744">
        <f>SUM(M87:M89)</f>
        <v>0</v>
      </c>
      <c r="N90" s="744">
        <f>SUM(N87:N89)</f>
        <v>0</v>
      </c>
      <c r="O90" s="744">
        <f>SUM(O87:O89)</f>
        <v>0</v>
      </c>
      <c r="P90" s="744">
        <v>0</v>
      </c>
      <c r="Q90" s="744">
        <f>SUM(Q87:Q89)</f>
        <v>3077.363402408223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36947.990414217056</v>
      </c>
      <c r="C4" s="461">
        <f>huishoudens!C8</f>
        <v>0</v>
      </c>
      <c r="D4" s="461">
        <f>huishoudens!D8</f>
        <v>111018.96012999167</v>
      </c>
      <c r="E4" s="461">
        <f>huishoudens!E8</f>
        <v>3037.5435388526325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18578.238729633555</v>
      </c>
      <c r="O4" s="461">
        <f>huishoudens!O8</f>
        <v>126.63</v>
      </c>
      <c r="P4" s="462">
        <f>huishoudens!P8</f>
        <v>419.4666666666667</v>
      </c>
      <c r="Q4" s="463">
        <f>SUM(B4:P4)</f>
        <v>170128.82947936159</v>
      </c>
    </row>
    <row r="5" spans="1:17">
      <c r="A5" s="460" t="s">
        <v>156</v>
      </c>
      <c r="B5" s="461">
        <f ca="1">tertiair!B16</f>
        <v>19239.514443003831</v>
      </c>
      <c r="C5" s="461">
        <f ca="1">tertiair!C16</f>
        <v>0</v>
      </c>
      <c r="D5" s="461">
        <f ca="1">tertiair!D16</f>
        <v>27832.571358194531</v>
      </c>
      <c r="E5" s="461">
        <f>tertiair!E16</f>
        <v>182.4469101734681</v>
      </c>
      <c r="F5" s="461">
        <f ca="1">tertiair!F16</f>
        <v>3921.279672375284</v>
      </c>
      <c r="G5" s="461">
        <f>tertiair!G16</f>
        <v>0</v>
      </c>
      <c r="H5" s="461">
        <f>tertiair!H16</f>
        <v>0</v>
      </c>
      <c r="I5" s="461">
        <f>tertiair!I16</f>
        <v>0</v>
      </c>
      <c r="J5" s="461">
        <f>tertiair!J16</f>
        <v>0</v>
      </c>
      <c r="K5" s="461">
        <f>tertiair!K16</f>
        <v>0</v>
      </c>
      <c r="L5" s="461">
        <f ca="1">tertiair!L16</f>
        <v>0</v>
      </c>
      <c r="M5" s="461">
        <f>tertiair!M16</f>
        <v>0</v>
      </c>
      <c r="N5" s="461">
        <f ca="1">tertiair!N16</f>
        <v>1697.055335481552</v>
      </c>
      <c r="O5" s="461">
        <f>tertiair!O16</f>
        <v>0</v>
      </c>
      <c r="P5" s="462">
        <f>tertiair!P16</f>
        <v>0</v>
      </c>
      <c r="Q5" s="460">
        <f t="shared" ref="Q5:Q14" ca="1" si="0">SUM(B5:P5)</f>
        <v>52872.867719228663</v>
      </c>
    </row>
    <row r="6" spans="1:17">
      <c r="A6" s="460" t="s">
        <v>194</v>
      </c>
      <c r="B6" s="461">
        <f>'openbare verlichting'!B8</f>
        <v>1087.078</v>
      </c>
      <c r="C6" s="461"/>
      <c r="D6" s="461"/>
      <c r="E6" s="461"/>
      <c r="F6" s="461"/>
      <c r="G6" s="461"/>
      <c r="H6" s="461"/>
      <c r="I6" s="461"/>
      <c r="J6" s="461"/>
      <c r="K6" s="461"/>
      <c r="L6" s="461"/>
      <c r="M6" s="461"/>
      <c r="N6" s="461"/>
      <c r="O6" s="461"/>
      <c r="P6" s="462"/>
      <c r="Q6" s="460">
        <f t="shared" si="0"/>
        <v>1087.078</v>
      </c>
    </row>
    <row r="7" spans="1:17">
      <c r="A7" s="460" t="s">
        <v>112</v>
      </c>
      <c r="B7" s="461">
        <f>landbouw!B8</f>
        <v>3260.7778503013601</v>
      </c>
      <c r="C7" s="461">
        <f>landbouw!C8</f>
        <v>13011.749999999998</v>
      </c>
      <c r="D7" s="461">
        <f>landbouw!D8</f>
        <v>9598.2559129252913</v>
      </c>
      <c r="E7" s="461">
        <f>landbouw!E8</f>
        <v>30.718712142666487</v>
      </c>
      <c r="F7" s="461">
        <f>landbouw!F8</f>
        <v>10641.000282663284</v>
      </c>
      <c r="G7" s="461">
        <f>landbouw!G8</f>
        <v>0</v>
      </c>
      <c r="H7" s="461">
        <f>landbouw!H8</f>
        <v>0</v>
      </c>
      <c r="I7" s="461">
        <f>landbouw!I8</f>
        <v>0</v>
      </c>
      <c r="J7" s="461">
        <f>landbouw!J8</f>
        <v>403.37408050269551</v>
      </c>
      <c r="K7" s="461">
        <f>landbouw!K8</f>
        <v>0</v>
      </c>
      <c r="L7" s="461">
        <f>landbouw!L8</f>
        <v>0</v>
      </c>
      <c r="M7" s="461">
        <f>landbouw!M8</f>
        <v>0</v>
      </c>
      <c r="N7" s="461">
        <f>landbouw!N8</f>
        <v>0</v>
      </c>
      <c r="O7" s="461">
        <f>landbouw!O8</f>
        <v>0</v>
      </c>
      <c r="P7" s="462">
        <f>landbouw!P8</f>
        <v>0</v>
      </c>
      <c r="Q7" s="460">
        <f t="shared" si="0"/>
        <v>36945.876838535296</v>
      </c>
    </row>
    <row r="8" spans="1:17">
      <c r="A8" s="460" t="s">
        <v>685</v>
      </c>
      <c r="B8" s="461">
        <f>industrie!B18</f>
        <v>15620.15800954845</v>
      </c>
      <c r="C8" s="461">
        <f>industrie!C18</f>
        <v>0</v>
      </c>
      <c r="D8" s="461">
        <f>industrie!D18</f>
        <v>15228.968458482843</v>
      </c>
      <c r="E8" s="461">
        <f>industrie!E18</f>
        <v>145.3511424716967</v>
      </c>
      <c r="F8" s="461">
        <f>industrie!F18</f>
        <v>3293.4841830401683</v>
      </c>
      <c r="G8" s="461">
        <f>industrie!G18</f>
        <v>0</v>
      </c>
      <c r="H8" s="461">
        <f>industrie!H18</f>
        <v>0</v>
      </c>
      <c r="I8" s="461">
        <f>industrie!I18</f>
        <v>0</v>
      </c>
      <c r="J8" s="461">
        <f>industrie!J18</f>
        <v>40.409339110999781</v>
      </c>
      <c r="K8" s="461">
        <f>industrie!K18</f>
        <v>0</v>
      </c>
      <c r="L8" s="461">
        <f>industrie!L18</f>
        <v>0</v>
      </c>
      <c r="M8" s="461">
        <f>industrie!M18</f>
        <v>0</v>
      </c>
      <c r="N8" s="461">
        <f>industrie!N18</f>
        <v>446.72996390860101</v>
      </c>
      <c r="O8" s="461">
        <f>industrie!O18</f>
        <v>0</v>
      </c>
      <c r="P8" s="462">
        <f>industrie!P18</f>
        <v>0</v>
      </c>
      <c r="Q8" s="460">
        <f t="shared" si="0"/>
        <v>34775.101096562757</v>
      </c>
    </row>
    <row r="9" spans="1:17" s="466" customFormat="1">
      <c r="A9" s="464" t="s">
        <v>579</v>
      </c>
      <c r="B9" s="465">
        <f>transport!B14</f>
        <v>1.9148419630786149</v>
      </c>
      <c r="C9" s="465">
        <f>transport!C14</f>
        <v>0</v>
      </c>
      <c r="D9" s="465">
        <f>transport!D14</f>
        <v>5.3511466261451375</v>
      </c>
      <c r="E9" s="465">
        <f>transport!E14</f>
        <v>309.72123262897651</v>
      </c>
      <c r="F9" s="465">
        <f>transport!F14</f>
        <v>0</v>
      </c>
      <c r="G9" s="465">
        <f>transport!G14</f>
        <v>58852.497405153466</v>
      </c>
      <c r="H9" s="465">
        <f>transport!H14</f>
        <v>11877.441511403482</v>
      </c>
      <c r="I9" s="465">
        <f>transport!I14</f>
        <v>0</v>
      </c>
      <c r="J9" s="465">
        <f>transport!J14</f>
        <v>0</v>
      </c>
      <c r="K9" s="465">
        <f>transport!K14</f>
        <v>0</v>
      </c>
      <c r="L9" s="465">
        <f>transport!L14</f>
        <v>0</v>
      </c>
      <c r="M9" s="465">
        <f>transport!M14</f>
        <v>3164.0259717632516</v>
      </c>
      <c r="N9" s="465">
        <f>transport!N14</f>
        <v>0</v>
      </c>
      <c r="O9" s="465">
        <f>transport!O14</f>
        <v>0</v>
      </c>
      <c r="P9" s="465">
        <f>transport!P14</f>
        <v>0</v>
      </c>
      <c r="Q9" s="464">
        <f>SUM(B9:P9)</f>
        <v>74210.952109538412</v>
      </c>
    </row>
    <row r="10" spans="1:17">
      <c r="A10" s="460" t="s">
        <v>569</v>
      </c>
      <c r="B10" s="461">
        <f>transport!B54</f>
        <v>0</v>
      </c>
      <c r="C10" s="461">
        <f>transport!C54</f>
        <v>0</v>
      </c>
      <c r="D10" s="461">
        <f>transport!D54</f>
        <v>0</v>
      </c>
      <c r="E10" s="461">
        <f>transport!E54</f>
        <v>0</v>
      </c>
      <c r="F10" s="461">
        <f>transport!F54</f>
        <v>0</v>
      </c>
      <c r="G10" s="461">
        <f>transport!G54</f>
        <v>1005.90609383066</v>
      </c>
      <c r="H10" s="461">
        <f>transport!H54</f>
        <v>0</v>
      </c>
      <c r="I10" s="461">
        <f>transport!I54</f>
        <v>0</v>
      </c>
      <c r="J10" s="461">
        <f>transport!J54</f>
        <v>0</v>
      </c>
      <c r="K10" s="461">
        <f>transport!K54</f>
        <v>0</v>
      </c>
      <c r="L10" s="461">
        <f>transport!L54</f>
        <v>0</v>
      </c>
      <c r="M10" s="461">
        <f>transport!M54</f>
        <v>44.170995925999961</v>
      </c>
      <c r="N10" s="461">
        <f>transport!N54</f>
        <v>0</v>
      </c>
      <c r="O10" s="461">
        <f>transport!O54</f>
        <v>0</v>
      </c>
      <c r="P10" s="462">
        <f>transport!P54</f>
        <v>0</v>
      </c>
      <c r="Q10" s="460">
        <f t="shared" si="0"/>
        <v>1050.0770897566599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1034.9465990139101</v>
      </c>
      <c r="C14" s="468"/>
      <c r="D14" s="468">
        <f>'SEAP template'!E25</f>
        <v>3832.2928619807799</v>
      </c>
      <c r="E14" s="468"/>
      <c r="F14" s="468"/>
      <c r="G14" s="468"/>
      <c r="H14" s="468"/>
      <c r="I14" s="468"/>
      <c r="J14" s="468"/>
      <c r="K14" s="468"/>
      <c r="L14" s="468"/>
      <c r="M14" s="468"/>
      <c r="N14" s="468"/>
      <c r="O14" s="468"/>
      <c r="P14" s="469"/>
      <c r="Q14" s="460">
        <f t="shared" si="0"/>
        <v>4867.2394609946896</v>
      </c>
    </row>
    <row r="15" spans="1:17" s="473" customFormat="1">
      <c r="A15" s="470" t="s">
        <v>573</v>
      </c>
      <c r="B15" s="471">
        <f ca="1">SUM(B4:B14)</f>
        <v>77192.380158047701</v>
      </c>
      <c r="C15" s="471">
        <f t="shared" ref="C15:Q15" ca="1" si="1">SUM(C4:C14)</f>
        <v>13011.749999999998</v>
      </c>
      <c r="D15" s="471">
        <f t="shared" ca="1" si="1"/>
        <v>167516.39986820129</v>
      </c>
      <c r="E15" s="471">
        <f t="shared" si="1"/>
        <v>3705.78153626944</v>
      </c>
      <c r="F15" s="471">
        <f t="shared" ca="1" si="1"/>
        <v>17855.764138078735</v>
      </c>
      <c r="G15" s="471">
        <f t="shared" si="1"/>
        <v>59858.403498984124</v>
      </c>
      <c r="H15" s="471">
        <f t="shared" si="1"/>
        <v>11877.441511403482</v>
      </c>
      <c r="I15" s="471">
        <f t="shared" si="1"/>
        <v>0</v>
      </c>
      <c r="J15" s="471">
        <f t="shared" si="1"/>
        <v>443.78341961369529</v>
      </c>
      <c r="K15" s="471">
        <f t="shared" si="1"/>
        <v>0</v>
      </c>
      <c r="L15" s="471">
        <f t="shared" ca="1" si="1"/>
        <v>0</v>
      </c>
      <c r="M15" s="471">
        <f t="shared" si="1"/>
        <v>3208.1969676892518</v>
      </c>
      <c r="N15" s="471">
        <f t="shared" ca="1" si="1"/>
        <v>20722.024029023709</v>
      </c>
      <c r="O15" s="471">
        <f t="shared" si="1"/>
        <v>126.63</v>
      </c>
      <c r="P15" s="471">
        <f t="shared" si="1"/>
        <v>419.4666666666667</v>
      </c>
      <c r="Q15" s="471">
        <f t="shared" ca="1" si="1"/>
        <v>375938.02179397811</v>
      </c>
    </row>
    <row r="17" spans="1:17">
      <c r="A17" s="474" t="s">
        <v>574</v>
      </c>
      <c r="B17" s="778">
        <f ca="1">huishoudens!B10</f>
        <v>0.2083866451205986</v>
      </c>
      <c r="C17" s="778">
        <f ca="1">huishoudens!C10</f>
        <v>0.23650649623672629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7699.467766366728</v>
      </c>
      <c r="C22" s="461">
        <f t="shared" ref="C22:C32" ca="1" si="3">C4*$C$17</f>
        <v>0</v>
      </c>
      <c r="D22" s="461">
        <f t="shared" ref="D22:D32" si="4">D4*$D$17</f>
        <v>22425.82994625832</v>
      </c>
      <c r="E22" s="461">
        <f t="shared" ref="E22:E32" si="5">E4*$E$17</f>
        <v>689.52238331954766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30814.820095944597</v>
      </c>
    </row>
    <row r="23" spans="1:17">
      <c r="A23" s="460" t="s">
        <v>156</v>
      </c>
      <c r="B23" s="461">
        <f t="shared" ca="1" si="2"/>
        <v>4009.2578685268704</v>
      </c>
      <c r="C23" s="461">
        <f t="shared" ca="1" si="3"/>
        <v>0</v>
      </c>
      <c r="D23" s="461">
        <f t="shared" ca="1" si="4"/>
        <v>5622.1794143552952</v>
      </c>
      <c r="E23" s="461">
        <f t="shared" si="5"/>
        <v>41.415448609377258</v>
      </c>
      <c r="F23" s="461">
        <f t="shared" ca="1" si="6"/>
        <v>1046.9816725242008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10719.834404015743</v>
      </c>
    </row>
    <row r="24" spans="1:17">
      <c r="A24" s="460" t="s">
        <v>194</v>
      </c>
      <c r="B24" s="461">
        <f t="shared" ca="1" si="2"/>
        <v>226.53253740441008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226.53253740441008</v>
      </c>
    </row>
    <row r="25" spans="1:17">
      <c r="A25" s="460" t="s">
        <v>112</v>
      </c>
      <c r="B25" s="461">
        <f t="shared" ca="1" si="2"/>
        <v>679.50255670785793</v>
      </c>
      <c r="C25" s="461">
        <f t="shared" ca="1" si="3"/>
        <v>3077.363402408223</v>
      </c>
      <c r="D25" s="461">
        <f t="shared" si="4"/>
        <v>1938.8476944109091</v>
      </c>
      <c r="E25" s="461">
        <f t="shared" si="5"/>
        <v>6.9731476563852928</v>
      </c>
      <c r="F25" s="461">
        <f t="shared" si="6"/>
        <v>2841.1470754710972</v>
      </c>
      <c r="G25" s="461">
        <f t="shared" si="7"/>
        <v>0</v>
      </c>
      <c r="H25" s="461">
        <f t="shared" si="8"/>
        <v>0</v>
      </c>
      <c r="I25" s="461">
        <f t="shared" si="9"/>
        <v>0</v>
      </c>
      <c r="J25" s="461">
        <f t="shared" si="10"/>
        <v>142.7944244979542</v>
      </c>
      <c r="K25" s="461">
        <f t="shared" si="11"/>
        <v>0</v>
      </c>
      <c r="L25" s="461">
        <f t="shared" si="12"/>
        <v>0</v>
      </c>
      <c r="M25" s="461">
        <f t="shared" si="13"/>
        <v>0</v>
      </c>
      <c r="N25" s="461">
        <f t="shared" si="14"/>
        <v>0</v>
      </c>
      <c r="O25" s="461">
        <f t="shared" si="15"/>
        <v>0</v>
      </c>
      <c r="P25" s="462">
        <f t="shared" si="16"/>
        <v>0</v>
      </c>
      <c r="Q25" s="460">
        <f t="shared" ca="1" si="17"/>
        <v>8686.6283011524265</v>
      </c>
    </row>
    <row r="26" spans="1:17">
      <c r="A26" s="460" t="s">
        <v>685</v>
      </c>
      <c r="B26" s="461">
        <f t="shared" ca="1" si="2"/>
        <v>3255.0323238634487</v>
      </c>
      <c r="C26" s="461">
        <f t="shared" ca="1" si="3"/>
        <v>0</v>
      </c>
      <c r="D26" s="461">
        <f t="shared" si="4"/>
        <v>3076.2516286135346</v>
      </c>
      <c r="E26" s="461">
        <f t="shared" si="5"/>
        <v>32.994709341075151</v>
      </c>
      <c r="F26" s="461">
        <f t="shared" si="6"/>
        <v>879.36027687172498</v>
      </c>
      <c r="G26" s="461">
        <f t="shared" si="7"/>
        <v>0</v>
      </c>
      <c r="H26" s="461">
        <f t="shared" si="8"/>
        <v>0</v>
      </c>
      <c r="I26" s="461">
        <f t="shared" si="9"/>
        <v>0</v>
      </c>
      <c r="J26" s="461">
        <f t="shared" si="10"/>
        <v>14.304906045293922</v>
      </c>
      <c r="K26" s="461">
        <f t="shared" si="11"/>
        <v>0</v>
      </c>
      <c r="L26" s="461">
        <f t="shared" si="12"/>
        <v>0</v>
      </c>
      <c r="M26" s="461">
        <f t="shared" si="13"/>
        <v>0</v>
      </c>
      <c r="N26" s="461">
        <f t="shared" si="14"/>
        <v>0</v>
      </c>
      <c r="O26" s="461">
        <f t="shared" si="15"/>
        <v>0</v>
      </c>
      <c r="P26" s="462">
        <f t="shared" si="16"/>
        <v>0</v>
      </c>
      <c r="Q26" s="460">
        <f t="shared" ca="1" si="17"/>
        <v>7257.9438447350776</v>
      </c>
    </row>
    <row r="27" spans="1:17" s="466" customFormat="1">
      <c r="A27" s="464" t="s">
        <v>579</v>
      </c>
      <c r="B27" s="772">
        <f t="shared" ca="1" si="2"/>
        <v>0.39902749262209369</v>
      </c>
      <c r="C27" s="465">
        <f t="shared" ca="1" si="3"/>
        <v>0</v>
      </c>
      <c r="D27" s="465">
        <f t="shared" si="4"/>
        <v>1.0809316184813178</v>
      </c>
      <c r="E27" s="465">
        <f t="shared" si="5"/>
        <v>70.306719806777664</v>
      </c>
      <c r="F27" s="465">
        <f t="shared" si="6"/>
        <v>0</v>
      </c>
      <c r="G27" s="465">
        <f t="shared" si="7"/>
        <v>15713.616807175977</v>
      </c>
      <c r="H27" s="465">
        <f t="shared" si="8"/>
        <v>2957.482936339467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18742.886422433323</v>
      </c>
    </row>
    <row r="28" spans="1:17">
      <c r="A28" s="460" t="s">
        <v>569</v>
      </c>
      <c r="B28" s="461">
        <f t="shared" ca="1" si="2"/>
        <v>0</v>
      </c>
      <c r="C28" s="461">
        <f t="shared" ca="1" si="3"/>
        <v>0</v>
      </c>
      <c r="D28" s="461">
        <f t="shared" si="4"/>
        <v>0</v>
      </c>
      <c r="E28" s="461">
        <f t="shared" si="5"/>
        <v>0</v>
      </c>
      <c r="F28" s="461">
        <f t="shared" si="6"/>
        <v>0</v>
      </c>
      <c r="G28" s="461">
        <f t="shared" si="7"/>
        <v>268.57692705278623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268.57692705278623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215.66904964748215</v>
      </c>
      <c r="C32" s="461">
        <f t="shared" ca="1" si="3"/>
        <v>0</v>
      </c>
      <c r="D32" s="461">
        <f t="shared" si="4"/>
        <v>774.12315812011764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989.79220776759985</v>
      </c>
    </row>
    <row r="33" spans="1:17" s="473" customFormat="1">
      <c r="A33" s="470" t="s">
        <v>573</v>
      </c>
      <c r="B33" s="471">
        <f ca="1">SUM(B22:B32)</f>
        <v>16085.861130009418</v>
      </c>
      <c r="C33" s="471">
        <f t="shared" ref="C33:Q33" ca="1" si="18">SUM(C22:C32)</f>
        <v>3077.363402408223</v>
      </c>
      <c r="D33" s="471">
        <f t="shared" ca="1" si="18"/>
        <v>33838.31277337666</v>
      </c>
      <c r="E33" s="471">
        <f t="shared" si="18"/>
        <v>841.21240873316299</v>
      </c>
      <c r="F33" s="471">
        <f t="shared" ca="1" si="18"/>
        <v>4767.4890248670226</v>
      </c>
      <c r="G33" s="471">
        <f t="shared" si="18"/>
        <v>15982.193734228764</v>
      </c>
      <c r="H33" s="471">
        <f t="shared" si="18"/>
        <v>2957.482936339467</v>
      </c>
      <c r="I33" s="471">
        <f t="shared" si="18"/>
        <v>0</v>
      </c>
      <c r="J33" s="471">
        <f t="shared" si="18"/>
        <v>157.09933054324813</v>
      </c>
      <c r="K33" s="471">
        <f t="shared" si="18"/>
        <v>0</v>
      </c>
      <c r="L33" s="471">
        <f t="shared" ca="1" si="18"/>
        <v>0</v>
      </c>
      <c r="M33" s="471">
        <f t="shared" si="18"/>
        <v>0</v>
      </c>
      <c r="N33" s="471">
        <f t="shared" ca="1" si="18"/>
        <v>0</v>
      </c>
      <c r="O33" s="471">
        <f t="shared" si="18"/>
        <v>0</v>
      </c>
      <c r="P33" s="471">
        <f t="shared" si="18"/>
        <v>0</v>
      </c>
      <c r="Q33" s="471">
        <f t="shared" ca="1" si="18"/>
        <v>77707.014740505954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10181.125773829213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3927.0062727849527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43.647124411212488</v>
      </c>
      <c r="C8" s="1037">
        <f>'SEAP template'!C76</f>
        <v>9063.4528755887859</v>
      </c>
      <c r="D8" s="1037">
        <f>'SEAP template'!D76</f>
        <v>10662.813425136088</v>
      </c>
      <c r="E8" s="1037">
        <f>'SEAP template'!E76</f>
        <v>0</v>
      </c>
      <c r="F8" s="1037">
        <f>'SEAP template'!F76</f>
        <v>0</v>
      </c>
      <c r="G8" s="1037">
        <f>'SEAP template'!G76</f>
        <v>0</v>
      </c>
      <c r="H8" s="1037">
        <f>'SEAP template'!H76</f>
        <v>0</v>
      </c>
      <c r="I8" s="1037">
        <f>'SEAP template'!I76</f>
        <v>0</v>
      </c>
      <c r="J8" s="1037">
        <f>'SEAP template'!J76</f>
        <v>51.349209901444752</v>
      </c>
      <c r="K8" s="1037">
        <f>'SEAP template'!K76</f>
        <v>0</v>
      </c>
      <c r="L8" s="1037">
        <f>'SEAP template'!L76</f>
        <v>0</v>
      </c>
      <c r="M8" s="1037">
        <f>'SEAP template'!M76</f>
        <v>0</v>
      </c>
      <c r="N8" s="1037">
        <f>'SEAP template'!N76</f>
        <v>0</v>
      </c>
      <c r="O8" s="1037">
        <f>'SEAP template'!O76</f>
        <v>0</v>
      </c>
      <c r="P8" s="1038">
        <f>'SEAP template'!Q76</f>
        <v>2153.8883118774897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14151.779171025379</v>
      </c>
      <c r="C10" s="1041">
        <f>SUM(C4:C9)</f>
        <v>9063.4528755887859</v>
      </c>
      <c r="D10" s="1041">
        <f t="shared" ref="D10:H10" si="0">SUM(D8:D9)</f>
        <v>10662.813425136088</v>
      </c>
      <c r="E10" s="1041">
        <f t="shared" si="0"/>
        <v>0</v>
      </c>
      <c r="F10" s="1041">
        <f t="shared" si="0"/>
        <v>0</v>
      </c>
      <c r="G10" s="1041">
        <f t="shared" si="0"/>
        <v>0</v>
      </c>
      <c r="H10" s="1041">
        <f t="shared" si="0"/>
        <v>0</v>
      </c>
      <c r="I10" s="1041">
        <f>SUM(I8:I9)</f>
        <v>0</v>
      </c>
      <c r="J10" s="1041">
        <f>SUM(J8:J9)</f>
        <v>51.349209901444752</v>
      </c>
      <c r="K10" s="1041">
        <f t="shared" ref="K10:L10" si="1">SUM(K8:K9)</f>
        <v>0</v>
      </c>
      <c r="L10" s="1041">
        <f t="shared" si="1"/>
        <v>0</v>
      </c>
      <c r="M10" s="1041">
        <f>SUM(M8:M9)</f>
        <v>0</v>
      </c>
      <c r="N10" s="1041">
        <f>SUM(N8:N9)</f>
        <v>0</v>
      </c>
      <c r="O10" s="1041">
        <f>SUM(O8:O9)</f>
        <v>0</v>
      </c>
      <c r="P10" s="1041">
        <f>SUM(P8:P9)</f>
        <v>2153.8883118774897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0.2083866451205986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62.360737343127234</v>
      </c>
      <c r="C17" s="1044">
        <f>'SEAP template'!C87</f>
        <v>12949.38926265687</v>
      </c>
      <c r="D17" s="1038">
        <f>'SEAP template'!D87</f>
        <v>15234.472289149619</v>
      </c>
      <c r="E17" s="1038">
        <f>'SEAP template'!E87</f>
        <v>0</v>
      </c>
      <c r="F17" s="1038">
        <f>'SEAP template'!F87</f>
        <v>0</v>
      </c>
      <c r="G17" s="1038">
        <f>'SEAP template'!G87</f>
        <v>0</v>
      </c>
      <c r="H17" s="1038">
        <f>'SEAP template'!H87</f>
        <v>0</v>
      </c>
      <c r="I17" s="1038">
        <f>'SEAP template'!I87</f>
        <v>0</v>
      </c>
      <c r="J17" s="1038">
        <f>'SEAP template'!J87</f>
        <v>73.365075812840928</v>
      </c>
      <c r="K17" s="1038">
        <f>'SEAP template'!K87</f>
        <v>0</v>
      </c>
      <c r="L17" s="1038">
        <f>'SEAP template'!L87</f>
        <v>0</v>
      </c>
      <c r="M17" s="1038">
        <f>'SEAP template'!M87</f>
        <v>0</v>
      </c>
      <c r="N17" s="1038">
        <f>'SEAP template'!N87</f>
        <v>0</v>
      </c>
      <c r="O17" s="1038">
        <f>'SEAP template'!O87</f>
        <v>0</v>
      </c>
      <c r="P17" s="1038">
        <f>'SEAP template'!Q87</f>
        <v>3077.363402408223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62.360737343127234</v>
      </c>
      <c r="C20" s="1041">
        <f>SUM(C17:C19)</f>
        <v>12949.38926265687</v>
      </c>
      <c r="D20" s="1041">
        <f t="shared" ref="D20:H20" si="2">SUM(D17:D19)</f>
        <v>15234.472289149619</v>
      </c>
      <c r="E20" s="1041">
        <f t="shared" si="2"/>
        <v>0</v>
      </c>
      <c r="F20" s="1041">
        <f t="shared" si="2"/>
        <v>0</v>
      </c>
      <c r="G20" s="1041">
        <f t="shared" si="2"/>
        <v>0</v>
      </c>
      <c r="H20" s="1041">
        <f t="shared" si="2"/>
        <v>0</v>
      </c>
      <c r="I20" s="1041">
        <f>SUM(I17:I19)</f>
        <v>0</v>
      </c>
      <c r="J20" s="1041">
        <f>SUM(J17:J19)</f>
        <v>73.365075812840928</v>
      </c>
      <c r="K20" s="1041">
        <f t="shared" ref="K20:L20" si="3">SUM(K17:K19)</f>
        <v>0</v>
      </c>
      <c r="L20" s="1041">
        <f t="shared" si="3"/>
        <v>0</v>
      </c>
      <c r="M20" s="1041">
        <f>SUM(M17:M19)</f>
        <v>0</v>
      </c>
      <c r="N20" s="1041">
        <f>SUM(N17:N19)</f>
        <v>0</v>
      </c>
      <c r="O20" s="1041">
        <f>SUM(O17:O19)</f>
        <v>0</v>
      </c>
      <c r="P20" s="1041">
        <f>SUM(P17:P19)</f>
        <v>3077.363402408223</v>
      </c>
    </row>
    <row r="22" spans="1:16">
      <c r="A22" s="474" t="s">
        <v>933</v>
      </c>
      <c r="B22" s="778" t="s">
        <v>927</v>
      </c>
      <c r="C22" s="778">
        <f ca="1">'EF ele_warmte'!B22</f>
        <v>0.23650649623672629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0.2083866451205986</v>
      </c>
      <c r="C17" s="510">
        <f ca="1">'EF ele_warmte'!B22</f>
        <v>0.23650649623672629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0.2083866451205986</v>
      </c>
      <c r="C17" s="510">
        <f ca="1">'EF ele_warmte'!B22</f>
        <v>0.23650649623672629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0.2083866451205986</v>
      </c>
      <c r="C29" s="511">
        <f ca="1">'EF ele_warmte'!B22</f>
        <v>0.23650649623672629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7090</v>
      </c>
      <c r="C9" s="338">
        <v>7223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2955</v>
      </c>
    </row>
    <row r="15" spans="1:6">
      <c r="A15" s="1286" t="s">
        <v>184</v>
      </c>
      <c r="B15" s="335">
        <v>599</v>
      </c>
    </row>
    <row r="16" spans="1:6">
      <c r="A16" s="1286" t="s">
        <v>6</v>
      </c>
      <c r="B16" s="335">
        <v>3254</v>
      </c>
    </row>
    <row r="17" spans="1:6">
      <c r="A17" s="1286" t="s">
        <v>7</v>
      </c>
      <c r="B17" s="335">
        <v>178</v>
      </c>
    </row>
    <row r="18" spans="1:6">
      <c r="A18" s="1286" t="s">
        <v>8</v>
      </c>
      <c r="B18" s="335">
        <v>1653</v>
      </c>
    </row>
    <row r="19" spans="1:6">
      <c r="A19" s="1286" t="s">
        <v>9</v>
      </c>
      <c r="B19" s="335">
        <v>1430</v>
      </c>
    </row>
    <row r="20" spans="1:6">
      <c r="A20" s="1286" t="s">
        <v>10</v>
      </c>
      <c r="B20" s="335">
        <v>826</v>
      </c>
    </row>
    <row r="21" spans="1:6">
      <c r="A21" s="1286" t="s">
        <v>11</v>
      </c>
      <c r="B21" s="335">
        <v>9249</v>
      </c>
    </row>
    <row r="22" spans="1:6">
      <c r="A22" s="1286" t="s">
        <v>12</v>
      </c>
      <c r="B22" s="335">
        <v>20651</v>
      </c>
    </row>
    <row r="23" spans="1:6">
      <c r="A23" s="1286" t="s">
        <v>13</v>
      </c>
      <c r="B23" s="335">
        <v>377</v>
      </c>
    </row>
    <row r="24" spans="1:6">
      <c r="A24" s="1286" t="s">
        <v>14</v>
      </c>
      <c r="B24" s="335">
        <v>17</v>
      </c>
    </row>
    <row r="25" spans="1:6">
      <c r="A25" s="1286" t="s">
        <v>15</v>
      </c>
      <c r="B25" s="335">
        <v>1732</v>
      </c>
    </row>
    <row r="26" spans="1:6">
      <c r="A26" s="1286" t="s">
        <v>16</v>
      </c>
      <c r="B26" s="335">
        <v>50</v>
      </c>
    </row>
    <row r="27" spans="1:6">
      <c r="A27" s="1286" t="s">
        <v>17</v>
      </c>
      <c r="B27" s="335">
        <v>506</v>
      </c>
    </row>
    <row r="28" spans="1:6" s="341" customFormat="1">
      <c r="A28" s="1287" t="s">
        <v>18</v>
      </c>
      <c r="B28" s="1287">
        <v>184235</v>
      </c>
    </row>
    <row r="29" spans="1:6">
      <c r="A29" s="1287" t="s">
        <v>942</v>
      </c>
      <c r="B29" s="1287">
        <v>224</v>
      </c>
      <c r="C29" s="341"/>
      <c r="D29" s="341"/>
      <c r="E29" s="341"/>
      <c r="F29" s="341"/>
    </row>
    <row r="30" spans="1:6">
      <c r="A30" s="1282" t="s">
        <v>943</v>
      </c>
      <c r="B30" s="1282">
        <v>60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215397.587251333</v>
      </c>
      <c r="E38" s="335">
        <v>7</v>
      </c>
      <c r="F38" s="335">
        <v>87682.294375839701</v>
      </c>
    </row>
    <row r="39" spans="1:6">
      <c r="A39" s="1286" t="s">
        <v>30</v>
      </c>
      <c r="B39" s="1286" t="s">
        <v>31</v>
      </c>
      <c r="C39" s="335">
        <v>5237</v>
      </c>
      <c r="D39" s="335">
        <v>123080887.062075</v>
      </c>
      <c r="E39" s="335">
        <v>6940</v>
      </c>
      <c r="F39" s="335">
        <v>34266267.331189997</v>
      </c>
    </row>
    <row r="40" spans="1:6">
      <c r="A40" s="1286" t="s">
        <v>30</v>
      </c>
      <c r="B40" s="1286" t="s">
        <v>29</v>
      </c>
      <c r="C40" s="335">
        <v>0</v>
      </c>
      <c r="D40" s="335">
        <v>0</v>
      </c>
      <c r="E40" s="335">
        <v>0</v>
      </c>
      <c r="F40" s="335">
        <v>0</v>
      </c>
    </row>
    <row r="41" spans="1:6">
      <c r="A41" s="1286" t="s">
        <v>32</v>
      </c>
      <c r="B41" s="1286" t="s">
        <v>33</v>
      </c>
      <c r="C41" s="335">
        <v>69</v>
      </c>
      <c r="D41" s="335">
        <v>1992981.25528942</v>
      </c>
      <c r="E41" s="335">
        <v>147</v>
      </c>
      <c r="F41" s="335">
        <v>1598610.4340484201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275328.21199913102</v>
      </c>
      <c r="E44" s="335">
        <v>16</v>
      </c>
      <c r="F44" s="335">
        <v>885778.65037067397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114115.18733397</v>
      </c>
      <c r="E47" s="335">
        <v>5</v>
      </c>
      <c r="F47" s="335">
        <v>132647.087855864</v>
      </c>
    </row>
    <row r="48" spans="1:6">
      <c r="A48" s="1286" t="s">
        <v>32</v>
      </c>
      <c r="B48" s="1286" t="s">
        <v>29</v>
      </c>
      <c r="C48" s="335">
        <v>30</v>
      </c>
      <c r="D48" s="335">
        <v>12318900.0303209</v>
      </c>
      <c r="E48" s="335">
        <v>32</v>
      </c>
      <c r="F48" s="335">
        <v>5110899.0201973496</v>
      </c>
    </row>
    <row r="49" spans="1:6">
      <c r="A49" s="1286" t="s">
        <v>32</v>
      </c>
      <c r="B49" s="1286" t="s">
        <v>40</v>
      </c>
      <c r="C49" s="335">
        <v>0</v>
      </c>
      <c r="D49" s="335">
        <v>0</v>
      </c>
      <c r="E49" s="335">
        <v>0</v>
      </c>
      <c r="F49" s="335">
        <v>0</v>
      </c>
    </row>
    <row r="50" spans="1:6">
      <c r="A50" s="1286" t="s">
        <v>32</v>
      </c>
      <c r="B50" s="1286" t="s">
        <v>41</v>
      </c>
      <c r="C50" s="335">
        <v>11</v>
      </c>
      <c r="D50" s="335">
        <v>2182232.3643723698</v>
      </c>
      <c r="E50" s="335">
        <v>17</v>
      </c>
      <c r="F50" s="335">
        <v>7892222.8170761401</v>
      </c>
    </row>
    <row r="51" spans="1:6">
      <c r="A51" s="1286" t="s">
        <v>42</v>
      </c>
      <c r="B51" s="1286" t="s">
        <v>43</v>
      </c>
      <c r="C51" s="335">
        <v>20</v>
      </c>
      <c r="D51" s="335">
        <v>623485.37312612904</v>
      </c>
      <c r="E51" s="335">
        <v>113</v>
      </c>
      <c r="F51" s="335">
        <v>3211116.9597969302</v>
      </c>
    </row>
    <row r="52" spans="1:6">
      <c r="A52" s="1286" t="s">
        <v>42</v>
      </c>
      <c r="B52" s="1286" t="s">
        <v>29</v>
      </c>
      <c r="C52" s="335">
        <v>8</v>
      </c>
      <c r="D52" s="335">
        <v>38728556.3421854</v>
      </c>
      <c r="E52" s="335">
        <v>5</v>
      </c>
      <c r="F52" s="335">
        <v>49660.890504429903</v>
      </c>
    </row>
    <row r="53" spans="1:6">
      <c r="A53" s="1286" t="s">
        <v>44</v>
      </c>
      <c r="B53" s="1286" t="s">
        <v>45</v>
      </c>
      <c r="C53" s="335">
        <v>91</v>
      </c>
      <c r="D53" s="335">
        <v>3832292.86198078</v>
      </c>
      <c r="E53" s="335">
        <v>164</v>
      </c>
      <c r="F53" s="335">
        <v>1034946.59901391</v>
      </c>
    </row>
    <row r="54" spans="1:6">
      <c r="A54" s="1286" t="s">
        <v>46</v>
      </c>
      <c r="B54" s="1286" t="s">
        <v>47</v>
      </c>
      <c r="C54" s="335">
        <v>0</v>
      </c>
      <c r="D54" s="335">
        <v>0</v>
      </c>
      <c r="E54" s="335">
        <v>1</v>
      </c>
      <c r="F54" s="335">
        <v>1087078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26</v>
      </c>
      <c r="D57" s="335">
        <v>847690.37762573105</v>
      </c>
      <c r="E57" s="335">
        <v>51</v>
      </c>
      <c r="F57" s="335">
        <v>2605974.0679317499</v>
      </c>
    </row>
    <row r="58" spans="1:6">
      <c r="A58" s="1286" t="s">
        <v>49</v>
      </c>
      <c r="B58" s="1286" t="s">
        <v>51</v>
      </c>
      <c r="C58" s="335">
        <v>23</v>
      </c>
      <c r="D58" s="335">
        <v>907285.24233053904</v>
      </c>
      <c r="E58" s="335">
        <v>27</v>
      </c>
      <c r="F58" s="335">
        <v>208432.03554147499</v>
      </c>
    </row>
    <row r="59" spans="1:6">
      <c r="A59" s="1286" t="s">
        <v>49</v>
      </c>
      <c r="B59" s="1286" t="s">
        <v>52</v>
      </c>
      <c r="C59" s="335">
        <v>103</v>
      </c>
      <c r="D59" s="335">
        <v>4192170.0395595799</v>
      </c>
      <c r="E59" s="335">
        <v>198</v>
      </c>
      <c r="F59" s="335">
        <v>6492435.9136202997</v>
      </c>
    </row>
    <row r="60" spans="1:6">
      <c r="A60" s="1286" t="s">
        <v>49</v>
      </c>
      <c r="B60" s="1286" t="s">
        <v>53</v>
      </c>
      <c r="C60" s="335">
        <v>64</v>
      </c>
      <c r="D60" s="335">
        <v>3673097.5135171399</v>
      </c>
      <c r="E60" s="335">
        <v>76</v>
      </c>
      <c r="F60" s="335">
        <v>1866208.88537592</v>
      </c>
    </row>
    <row r="61" spans="1:6">
      <c r="A61" s="1286" t="s">
        <v>49</v>
      </c>
      <c r="B61" s="1286" t="s">
        <v>54</v>
      </c>
      <c r="C61" s="335">
        <v>199</v>
      </c>
      <c r="D61" s="335">
        <v>12954714.646256899</v>
      </c>
      <c r="E61" s="335">
        <v>373</v>
      </c>
      <c r="F61" s="335">
        <v>4973241.7883838797</v>
      </c>
    </row>
    <row r="62" spans="1:6">
      <c r="A62" s="1286" t="s">
        <v>49</v>
      </c>
      <c r="B62" s="1286" t="s">
        <v>55</v>
      </c>
      <c r="C62" s="335">
        <v>13</v>
      </c>
      <c r="D62" s="335">
        <v>2568723.9751963802</v>
      </c>
      <c r="E62" s="335">
        <v>20</v>
      </c>
      <c r="F62" s="335">
        <v>719469.43000485701</v>
      </c>
    </row>
    <row r="63" spans="1:6">
      <c r="A63" s="1286" t="s">
        <v>49</v>
      </c>
      <c r="B63" s="1286" t="s">
        <v>29</v>
      </c>
      <c r="C63" s="335">
        <v>104</v>
      </c>
      <c r="D63" s="335">
        <v>5712827.47180478</v>
      </c>
      <c r="E63" s="335">
        <v>107</v>
      </c>
      <c r="F63" s="335">
        <v>2373752.3221456502</v>
      </c>
    </row>
    <row r="64" spans="1:6">
      <c r="A64" s="1286" t="s">
        <v>56</v>
      </c>
      <c r="B64" s="1286" t="s">
        <v>57</v>
      </c>
      <c r="C64" s="335">
        <v>0</v>
      </c>
      <c r="D64" s="335">
        <v>0</v>
      </c>
      <c r="E64" s="335">
        <v>0</v>
      </c>
      <c r="F64" s="335">
        <v>0</v>
      </c>
    </row>
    <row r="65" spans="1:6">
      <c r="A65" s="1286" t="s">
        <v>56</v>
      </c>
      <c r="B65" s="1286" t="s">
        <v>29</v>
      </c>
      <c r="C65" s="335">
        <v>1</v>
      </c>
      <c r="D65" s="335">
        <v>14082.897343893599</v>
      </c>
      <c r="E65" s="335">
        <v>1</v>
      </c>
      <c r="F65" s="335">
        <v>9448.4374064282001</v>
      </c>
    </row>
    <row r="66" spans="1:6">
      <c r="A66" s="1286" t="s">
        <v>56</v>
      </c>
      <c r="B66" s="1286" t="s">
        <v>58</v>
      </c>
      <c r="C66" s="335">
        <v>0</v>
      </c>
      <c r="D66" s="335">
        <v>0</v>
      </c>
      <c r="E66" s="335">
        <v>0</v>
      </c>
      <c r="F66" s="335">
        <v>0</v>
      </c>
    </row>
    <row r="67" spans="1:6">
      <c r="A67" s="1287" t="s">
        <v>56</v>
      </c>
      <c r="B67" s="1287" t="s">
        <v>59</v>
      </c>
      <c r="C67" s="335">
        <v>0</v>
      </c>
      <c r="D67" s="335">
        <v>0</v>
      </c>
      <c r="E67" s="335">
        <v>3</v>
      </c>
      <c r="F67" s="335">
        <v>36489.897009901601</v>
      </c>
    </row>
    <row r="68" spans="1:6">
      <c r="A68" s="1282" t="s">
        <v>56</v>
      </c>
      <c r="B68" s="1282" t="s">
        <v>60</v>
      </c>
      <c r="C68" s="335">
        <v>5</v>
      </c>
      <c r="D68" s="335">
        <v>150108.70362626499</v>
      </c>
      <c r="E68" s="335">
        <v>10</v>
      </c>
      <c r="F68" s="335">
        <v>204456.05454281301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74465467</v>
      </c>
      <c r="E73" s="335">
        <v>77604211.091920674</v>
      </c>
    </row>
    <row r="74" spans="1:6">
      <c r="A74" s="1286" t="s">
        <v>64</v>
      </c>
      <c r="B74" s="1286" t="s">
        <v>772</v>
      </c>
      <c r="C74" s="1297" t="s">
        <v>766</v>
      </c>
      <c r="D74" s="335">
        <v>4848201.5406588325</v>
      </c>
      <c r="E74" s="335">
        <v>5236336.1568123801</v>
      </c>
    </row>
    <row r="75" spans="1:6">
      <c r="A75" s="1286" t="s">
        <v>65</v>
      </c>
      <c r="B75" s="1286" t="s">
        <v>771</v>
      </c>
      <c r="C75" s="1297" t="s">
        <v>767</v>
      </c>
      <c r="D75" s="335">
        <v>16544008</v>
      </c>
      <c r="E75" s="335">
        <v>17211145.04554322</v>
      </c>
    </row>
    <row r="76" spans="1:6">
      <c r="A76" s="1286" t="s">
        <v>65</v>
      </c>
      <c r="B76" s="1286" t="s">
        <v>772</v>
      </c>
      <c r="C76" s="1297" t="s">
        <v>768</v>
      </c>
      <c r="D76" s="335">
        <v>620186.54065883229</v>
      </c>
      <c r="E76" s="335">
        <v>684521.36145321722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276278.91868233547</v>
      </c>
      <c r="C83" s="335">
        <v>260072.80184118077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10181.125773829213</v>
      </c>
    </row>
    <row r="91" spans="1:6">
      <c r="A91" s="1286" t="s">
        <v>68</v>
      </c>
      <c r="B91" s="335">
        <v>2681.7230830270596</v>
      </c>
    </row>
    <row r="92" spans="1:6">
      <c r="A92" s="1282" t="s">
        <v>69</v>
      </c>
      <c r="B92" s="338">
        <v>1245.2831897578928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3771</v>
      </c>
    </row>
    <row r="98" spans="1:6">
      <c r="A98" s="1286" t="s">
        <v>72</v>
      </c>
      <c r="B98" s="335">
        <v>6</v>
      </c>
    </row>
    <row r="99" spans="1:6">
      <c r="A99" s="1286" t="s">
        <v>73</v>
      </c>
      <c r="B99" s="335">
        <v>60</v>
      </c>
    </row>
    <row r="100" spans="1:6">
      <c r="A100" s="1286" t="s">
        <v>74</v>
      </c>
      <c r="B100" s="335">
        <v>624</v>
      </c>
    </row>
    <row r="101" spans="1:6">
      <c r="A101" s="1286" t="s">
        <v>75</v>
      </c>
      <c r="B101" s="335">
        <v>113</v>
      </c>
    </row>
    <row r="102" spans="1:6">
      <c r="A102" s="1286" t="s">
        <v>76</v>
      </c>
      <c r="B102" s="335">
        <v>88</v>
      </c>
    </row>
    <row r="103" spans="1:6">
      <c r="A103" s="1286" t="s">
        <v>77</v>
      </c>
      <c r="B103" s="335">
        <v>105</v>
      </c>
    </row>
    <row r="104" spans="1:6">
      <c r="A104" s="1286" t="s">
        <v>78</v>
      </c>
      <c r="B104" s="335">
        <v>1450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10</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77192.380158047687</v>
      </c>
      <c r="C3" s="44" t="s">
        <v>170</v>
      </c>
      <c r="D3" s="44"/>
      <c r="E3" s="157"/>
      <c r="F3" s="44"/>
      <c r="G3" s="44"/>
      <c r="H3" s="44"/>
      <c r="I3" s="44"/>
      <c r="J3" s="44"/>
      <c r="K3" s="97"/>
    </row>
    <row r="4" spans="1:11">
      <c r="A4" s="365" t="s">
        <v>171</v>
      </c>
      <c r="B4" s="50">
        <f>IF(ISERROR('SEAP template'!B78),0,'SEAP template'!B78)</f>
        <v>14151.779171025379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2153.8883118774897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0.2083866451205986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3077.363402408223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13011.749999999998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0.23650649623672629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1087.078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0.2083866451205986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226.53253740441008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B46*B57</f>
        <v>3037.5435388526325</v>
      </c>
      <c r="F5" s="18">
        <f>B51*B62</f>
        <v>0</v>
      </c>
      <c r="G5" s="19"/>
      <c r="H5" s="18"/>
      <c r="I5" s="18"/>
      <c r="J5" s="18">
        <f>B50*B61+C50*C61</f>
        <v>0</v>
      </c>
      <c r="K5" s="18"/>
      <c r="L5" s="18"/>
      <c r="M5" s="18"/>
      <c r="N5" s="18">
        <f>B48*B59+C48*C59</f>
        <v>18578.238729633555</v>
      </c>
      <c r="O5" s="18">
        <f>B69*B70*B71</f>
        <v>126.63</v>
      </c>
      <c r="P5" s="18">
        <f>B77*B78*B79/1000-B77*B78*B79/1000/B80</f>
        <v>419.4666666666667</v>
      </c>
    </row>
    <row r="6" spans="1:16">
      <c r="A6" s="17" t="s">
        <v>639</v>
      </c>
      <c r="B6" s="780">
        <f>kWh_PV_kleiner_dan_10kW</f>
        <v>2681.7230830270596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36947.990414217056</v>
      </c>
      <c r="C8" s="22">
        <f>C5</f>
        <v>0</v>
      </c>
      <c r="D8" s="22">
        <f>D5</f>
        <v>111018.96012999167</v>
      </c>
      <c r="E8" s="22">
        <f>E5</f>
        <v>3037.5435388526325</v>
      </c>
      <c r="F8" s="22">
        <f>F5</f>
        <v>0</v>
      </c>
      <c r="G8" s="22"/>
      <c r="H8" s="22"/>
      <c r="I8" s="22"/>
      <c r="J8" s="22">
        <f>J5</f>
        <v>0</v>
      </c>
      <c r="K8" s="22"/>
      <c r="L8" s="22">
        <f>L5</f>
        <v>0</v>
      </c>
      <c r="M8" s="22">
        <f>M5</f>
        <v>0</v>
      </c>
      <c r="N8" s="22">
        <f>N5</f>
        <v>18578.238729633555</v>
      </c>
      <c r="O8" s="22">
        <f>O5</f>
        <v>126.63</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0.2083866451205986</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7699.467766366728</v>
      </c>
      <c r="C12" s="24">
        <f ca="1">C10*C8</f>
        <v>0</v>
      </c>
      <c r="D12" s="24">
        <f>D8*D10</f>
        <v>22425.82994625832</v>
      </c>
      <c r="E12" s="24">
        <f>E10*E8</f>
        <v>689.52238331954766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3771</v>
      </c>
      <c r="C18" s="169" t="s">
        <v>111</v>
      </c>
      <c r="D18" s="231"/>
      <c r="E18" s="16"/>
    </row>
    <row r="19" spans="1:7">
      <c r="A19" s="174" t="s">
        <v>72</v>
      </c>
      <c r="B19" s="38">
        <f>aantalw2001_ander</f>
        <v>6</v>
      </c>
      <c r="C19" s="169" t="s">
        <v>111</v>
      </c>
      <c r="D19" s="232"/>
      <c r="E19" s="16"/>
    </row>
    <row r="20" spans="1:7">
      <c r="A20" s="174" t="s">
        <v>73</v>
      </c>
      <c r="B20" s="38">
        <f>aantalw2001_propaan</f>
        <v>60</v>
      </c>
      <c r="C20" s="170">
        <f>IF(ISERROR(B20/SUM($B$20,$B$21,$B$22)*100),0,B20/SUM($B$20,$B$21,$B$22)*100)</f>
        <v>7.5282308657465489</v>
      </c>
      <c r="D20" s="232"/>
      <c r="E20" s="16"/>
    </row>
    <row r="21" spans="1:7">
      <c r="A21" s="174" t="s">
        <v>74</v>
      </c>
      <c r="B21" s="38">
        <f>aantalw2001_elektriciteit</f>
        <v>624</v>
      </c>
      <c r="C21" s="170">
        <f>IF(ISERROR(B21/SUM($B$20,$B$21,$B$22)*100),0,B21/SUM($B$20,$B$21,$B$22)*100)</f>
        <v>78.29360100376411</v>
      </c>
      <c r="D21" s="232"/>
      <c r="E21" s="16"/>
    </row>
    <row r="22" spans="1:7">
      <c r="A22" s="174" t="s">
        <v>75</v>
      </c>
      <c r="B22" s="38">
        <f>aantalw2001_hout</f>
        <v>113</v>
      </c>
      <c r="C22" s="170">
        <f>IF(ISERROR(B22/SUM($B$20,$B$21,$B$22)*100),0,B22/SUM($B$20,$B$21,$B$22)*100)</f>
        <v>14.178168130489336</v>
      </c>
      <c r="D22" s="232"/>
      <c r="E22" s="16"/>
    </row>
    <row r="23" spans="1:7">
      <c r="A23" s="174" t="s">
        <v>76</v>
      </c>
      <c r="B23" s="38">
        <f>aantalw2001_niet_gespec</f>
        <v>88</v>
      </c>
      <c r="C23" s="169" t="s">
        <v>111</v>
      </c>
      <c r="D23" s="231"/>
      <c r="E23" s="16"/>
    </row>
    <row r="24" spans="1:7">
      <c r="A24" s="174" t="s">
        <v>77</v>
      </c>
      <c r="B24" s="38">
        <f>aantalw2001_steenkool</f>
        <v>105</v>
      </c>
      <c r="C24" s="169" t="s">
        <v>111</v>
      </c>
      <c r="D24" s="232"/>
      <c r="E24" s="16"/>
    </row>
    <row r="25" spans="1:7">
      <c r="A25" s="174" t="s">
        <v>78</v>
      </c>
      <c r="B25" s="38">
        <f>aantalw2001_stookolie</f>
        <v>1450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7090</v>
      </c>
      <c r="C28" s="37"/>
      <c r="D28" s="231"/>
    </row>
    <row r="29" spans="1:7" s="16" customFormat="1">
      <c r="A29" s="233" t="s">
        <v>666</v>
      </c>
      <c r="B29" s="38">
        <f>SUM(HH_hh_gas_aantal,HH_rest_gas_aantal)</f>
        <v>5237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5237</v>
      </c>
      <c r="C32" s="170">
        <f>IF(ISERROR(B32/SUM($B$32,$B$34,$B$35,$B$36,$B$38,$B$39)*100),0,B32/SUM($B$32,$B$34,$B$35,$B$36,$B$38,$B$39)*100)</f>
        <v>74.094510469722692</v>
      </c>
      <c r="D32" s="236"/>
      <c r="G32" s="16"/>
    </row>
    <row r="33" spans="1:7">
      <c r="A33" s="174" t="s">
        <v>72</v>
      </c>
      <c r="B33" s="35" t="s">
        <v>111</v>
      </c>
      <c r="C33" s="170"/>
      <c r="D33" s="236"/>
      <c r="G33" s="16"/>
    </row>
    <row r="34" spans="1:7">
      <c r="A34" s="174" t="s">
        <v>73</v>
      </c>
      <c r="B34" s="34">
        <f>IF((($B$28-$B$32-$B$39-$B$77-$B$38)*C20/100)&lt;0,0,($B$28-$B$32-$B$39-$B$77-$B$38)*C20/100)</f>
        <v>137.8419071518193</v>
      </c>
      <c r="C34" s="170">
        <f>IF(ISERROR(B34/SUM($B$32,$B$34,$B$35,$B$36,$B$38,$B$39)*100),0,B34/SUM($B$32,$B$34,$B$35,$B$36,$B$38,$B$39)*100)</f>
        <v>1.9502250587410768</v>
      </c>
      <c r="D34" s="236"/>
      <c r="G34" s="16"/>
    </row>
    <row r="35" spans="1:7">
      <c r="A35" s="174" t="s">
        <v>74</v>
      </c>
      <c r="B35" s="34">
        <f>IF((($B$28-$B$32-$B$39-$B$77-$B$38)*C21/100)&lt;0,0,($B$28-$B$32-$B$39-$B$77-$B$38)*C21/100)</f>
        <v>1433.5558343789207</v>
      </c>
      <c r="C35" s="170">
        <f>IF(ISERROR(B35/SUM($B$32,$B$34,$B$35,$B$36,$B$38,$B$39)*100),0,B35/SUM($B$32,$B$34,$B$35,$B$36,$B$38,$B$39)*100)</f>
        <v>20.282340610907198</v>
      </c>
      <c r="D35" s="236"/>
      <c r="G35" s="16"/>
    </row>
    <row r="36" spans="1:7">
      <c r="A36" s="174" t="s">
        <v>75</v>
      </c>
      <c r="B36" s="34">
        <f>IF((($B$28-$B$32-$B$39-$B$77-$B$38)*C22/100)&lt;0,0,($B$28-$B$32-$B$39-$B$77-$B$38)*C22/100)</f>
        <v>259.60225846925977</v>
      </c>
      <c r="C36" s="170">
        <f>IF(ISERROR(B36/SUM($B$32,$B$34,$B$35,$B$36,$B$38,$B$39)*100),0,B36/SUM($B$32,$B$34,$B$35,$B$36,$B$38,$B$39)*100)</f>
        <v>3.6729238606290284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5237</v>
      </c>
      <c r="C44" s="35" t="s">
        <v>111</v>
      </c>
      <c r="D44" s="177"/>
    </row>
    <row r="45" spans="1:7">
      <c r="A45" s="174" t="s">
        <v>72</v>
      </c>
      <c r="B45" s="34" t="str">
        <f t="shared" si="0"/>
        <v>-</v>
      </c>
      <c r="C45" s="35" t="s">
        <v>111</v>
      </c>
      <c r="D45" s="177"/>
    </row>
    <row r="46" spans="1:7">
      <c r="A46" s="174" t="s">
        <v>73</v>
      </c>
      <c r="B46" s="34">
        <f t="shared" si="0"/>
        <v>137.8419071518193</v>
      </c>
      <c r="C46" s="35" t="s">
        <v>111</v>
      </c>
      <c r="D46" s="177"/>
    </row>
    <row r="47" spans="1:7">
      <c r="A47" s="174" t="s">
        <v>74</v>
      </c>
      <c r="B47" s="34">
        <f t="shared" si="0"/>
        <v>1433.5558343789207</v>
      </c>
      <c r="C47" s="35" t="s">
        <v>111</v>
      </c>
      <c r="D47" s="177"/>
    </row>
    <row r="48" spans="1:7">
      <c r="A48" s="174" t="s">
        <v>75</v>
      </c>
      <c r="B48" s="34">
        <f t="shared" si="0"/>
        <v>259.60225846925977</v>
      </c>
      <c r="C48" s="34">
        <f>B48*10</f>
        <v>2596.0225846925978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0</v>
      </c>
      <c r="R5" s="33"/>
    </row>
    <row r="6" spans="1:18">
      <c r="A6" s="33" t="s">
        <v>54</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53</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52</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51</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50</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55</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260</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0.2083866451205986</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4009.2578685268704</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4973.2417883838798</v>
      </c>
      <c r="C26" s="40">
        <f>IF(ISERROR(B26*3.6/1000000/'E Balans VL '!Z12*100),0,B26*3.6/1000000/'E Balans VL '!Z12*100)</f>
        <v>0.10567782153708319</v>
      </c>
      <c r="D26" s="240" t="s">
        <v>707</v>
      </c>
      <c r="F26" s="6"/>
    </row>
    <row r="27" spans="1:18">
      <c r="A27" s="234" t="s">
        <v>53</v>
      </c>
      <c r="B27" s="34">
        <f>IF(ISERROR(TER_horeca_ele_kWh/1000),0,TER_horeca_ele_kWh/1000)</f>
        <v>1866.2088853759201</v>
      </c>
      <c r="C27" s="40">
        <f>IF(ISERROR(B27*3.6/1000000/'E Balans VL '!Z9*100),0,B27*3.6/1000000/'E Balans VL '!Z9*100)</f>
        <v>0.14688507060981176</v>
      </c>
      <c r="D27" s="240" t="s">
        <v>707</v>
      </c>
      <c r="F27" s="6"/>
    </row>
    <row r="28" spans="1:18">
      <c r="A28" s="174" t="s">
        <v>52</v>
      </c>
      <c r="B28" s="34">
        <f>IF(ISERROR(TER_handel_ele_kWh/1000),0,TER_handel_ele_kWh/1000)</f>
        <v>6492.4359136202993</v>
      </c>
      <c r="C28" s="40">
        <f>IF(ISERROR(B28*3.6/1000000/'E Balans VL '!Z13*100),0,B28*3.6/1000000/'E Balans VL '!Z13*100)</f>
        <v>0.18185660455502878</v>
      </c>
      <c r="D28" s="240" t="s">
        <v>707</v>
      </c>
      <c r="F28" s="6"/>
    </row>
    <row r="29" spans="1:18">
      <c r="A29" s="234" t="s">
        <v>51</v>
      </c>
      <c r="B29" s="34">
        <f>IF(ISERROR(TER_gezond_ele_kWh/1000),0,TER_gezond_ele_kWh/1000)</f>
        <v>208.43203554147499</v>
      </c>
      <c r="C29" s="40">
        <f>IF(ISERROR(B29*3.6/1000000/'E Balans VL '!Z10*100),0,B29*3.6/1000000/'E Balans VL '!Z10*100)</f>
        <v>2.666476007667077E-2</v>
      </c>
      <c r="D29" s="240" t="s">
        <v>707</v>
      </c>
      <c r="F29" s="6"/>
    </row>
    <row r="30" spans="1:18">
      <c r="A30" s="234" t="s">
        <v>50</v>
      </c>
      <c r="B30" s="34">
        <f>IF(ISERROR(TER_ander_ele_kWh/1000),0,TER_ander_ele_kWh/1000)</f>
        <v>2605.9740679317497</v>
      </c>
      <c r="C30" s="40">
        <f>IF(ISERROR(B30*3.6/1000000/'E Balans VL '!Z14*100),0,B30*3.6/1000000/'E Balans VL '!Z14*100)</f>
        <v>0.19490490196021076</v>
      </c>
      <c r="D30" s="240" t="s">
        <v>707</v>
      </c>
      <c r="F30" s="6"/>
    </row>
    <row r="31" spans="1:18">
      <c r="A31" s="234" t="s">
        <v>55</v>
      </c>
      <c r="B31" s="34">
        <f>IF(ISERROR(TER_onderwijs_ele_kWh/1000),0,TER_onderwijs_ele_kWh/1000)</f>
        <v>719.46943000485703</v>
      </c>
      <c r="C31" s="40">
        <f>IF(ISERROR(B31*3.6/1000000/'E Balans VL '!Z11*100),0,B31*3.6/1000000/'E Balans VL '!Z11*100)</f>
        <v>0.15191690209665004</v>
      </c>
      <c r="D31" s="240" t="s">
        <v>707</v>
      </c>
    </row>
    <row r="32" spans="1:18">
      <c r="A32" s="234" t="s">
        <v>260</v>
      </c>
      <c r="B32" s="34">
        <f>IF(ISERROR(TER_rest_ele_kWh/1000),0,TER_rest_ele_kWh/1000)</f>
        <v>2373.7523221456499</v>
      </c>
      <c r="C32" s="40">
        <f>IF(ISERROR(B32*3.6/1000000/'E Balans VL '!Z8*100),0,B32*3.6/1000000/'E Balans VL '!Z8*100)</f>
        <v>1.9554810370015514E-2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33</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41</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0.2083866451205986</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3255.0323238634487</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885.77865037067397</v>
      </c>
      <c r="C30" s="40">
        <f>IF(ISERROR(B30*3.6/1000000/'E Balans VL '!Z18*100),0,B30*3.6/1000000/'E Balans VL '!Z18*100)</f>
        <v>4.9287658742112071E-2</v>
      </c>
      <c r="D30" s="240" t="s">
        <v>707</v>
      </c>
    </row>
    <row r="31" spans="1:18">
      <c r="A31" s="6" t="s">
        <v>33</v>
      </c>
      <c r="B31" s="38">
        <f>IF( ISERROR(IND_ander_ele_kWh/1000),0,IND_ander_ele_kWh/1000)</f>
        <v>1598.6104340484201</v>
      </c>
      <c r="C31" s="40">
        <f>IF(ISERROR(B31*3.6/1000000/'E Balans VL '!Z19*100),0,B31*3.6/1000000/'E Balans VL '!Z19*100)</f>
        <v>7.431520064398571E-2</v>
      </c>
      <c r="D31" s="240" t="s">
        <v>707</v>
      </c>
    </row>
    <row r="32" spans="1:18">
      <c r="A32" s="174" t="s">
        <v>41</v>
      </c>
      <c r="B32" s="38">
        <f>IF( ISERROR(IND_voed_ele_kWh/1000),0,IND_voed_ele_kWh/1000)</f>
        <v>7892.22281707614</v>
      </c>
      <c r="C32" s="40">
        <f>IF(ISERROR(B32*3.6/1000000/'E Balans VL '!Z20*100),0,B32*3.6/1000000/'E Balans VL '!Z20*100)</f>
        <v>0.27897413756463807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132.64708785586399</v>
      </c>
      <c r="C35" s="40">
        <f>IF(ISERROR(B35*3.6/1000000/'E Balans VL '!Z22*100),0,B35*3.6/1000000/'E Balans VL '!Z22*100)</f>
        <v>2.6658324137521283E-2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5110.8990201973493</v>
      </c>
      <c r="C37" s="40">
        <f>IF(ISERROR(B37*3.6/1000000/'E Balans VL '!Z15*100),0,B37*3.6/1000000/'E Balans VL '!Z15*100)</f>
        <v>3.8594837542006676E-2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3260.7778503013601</v>
      </c>
      <c r="C5" s="18">
        <f>'Eigen informatie GS &amp; warmtenet'!B60</f>
        <v>0</v>
      </c>
      <c r="D5" s="31">
        <f>IF(ISERROR(SUM(LB_lb_gas_kWh,LB_rest_gas_kWh)/1000),0,SUM(LB_lb_gas_kWh,LB_rest_gas_kWh)/1000)*0.902</f>
        <v>35495.541627211001</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502</v>
      </c>
      <c r="B6" s="18" t="s">
        <v>211</v>
      </c>
      <c r="C6" s="18">
        <f>'lokale energieproductie'!O92+'lokale energieproductie'!O61</f>
        <v>13011.749999999998</v>
      </c>
      <c r="D6" s="312">
        <f>('lokale energieproductie'!P61+'lokale energieproductie'!P92)*(-1)</f>
        <v>-25897.28571428571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3260.7778503013601</v>
      </c>
      <c r="C8" s="22">
        <f>C5+C6</f>
        <v>13011.749999999998</v>
      </c>
      <c r="D8" s="22">
        <f>MAX((D5+D6),0)</f>
        <v>9598.2559129252913</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0.2083866451205986</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679.50255670785793</v>
      </c>
      <c r="C12" s="24">
        <f ca="1">C8*C10</f>
        <v>3077.363402408223</v>
      </c>
      <c r="D12" s="24">
        <f>D8*D10</f>
        <v>1938.8476944109091</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0.44145721536641336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704.3713872677896</v>
      </c>
      <c r="C26" s="250">
        <f>B26*'GWP N2O_CH4'!B5</f>
        <v>14791.799132623582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284.09058524229607</v>
      </c>
      <c r="C27" s="250">
        <f>B27*'GWP N2O_CH4'!B5</f>
        <v>5965.9022900882173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50">
        <f>B28*'GWP N2O_CH4'!B4</f>
        <v>2667.8057240108205</v>
      </c>
      <c r="D28" s="51"/>
    </row>
    <row r="29" spans="1:4">
      <c r="A29" s="42" t="s">
        <v>277</v>
      </c>
      <c r="B29" s="250">
        <f>B34*'ha_N2O bodem landbouw'!B4</f>
        <v>16.297903143985078</v>
      </c>
      <c r="C29" s="250">
        <f>B29*'GWP N2O_CH4'!B4</f>
        <v>5052.3499746353746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4.3999207865360931E-3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6.8934310670830135E-6</v>
      </c>
      <c r="C5" s="447" t="s">
        <v>211</v>
      </c>
      <c r="D5" s="432">
        <f>SUM(D6:D11)</f>
        <v>1.9264127854122496E-5</v>
      </c>
      <c r="E5" s="432">
        <f>SUM(E6:E11)</f>
        <v>1.1149964374643155E-3</v>
      </c>
      <c r="F5" s="445" t="s">
        <v>211</v>
      </c>
      <c r="G5" s="432">
        <f>SUM(G6:G11)</f>
        <v>0.21186899065855247</v>
      </c>
      <c r="H5" s="432">
        <f>SUM(H6:H11)</f>
        <v>4.2758789441052533E-2</v>
      </c>
      <c r="I5" s="447" t="s">
        <v>211</v>
      </c>
      <c r="J5" s="447" t="s">
        <v>211</v>
      </c>
      <c r="K5" s="447" t="s">
        <v>211</v>
      </c>
      <c r="L5" s="447" t="s">
        <v>211</v>
      </c>
      <c r="M5" s="432">
        <f>SUM(M6:M11)</f>
        <v>1.1390493498347705E-2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5.6403200176975521E-6</v>
      </c>
      <c r="C6" s="433"/>
      <c r="D6" s="433">
        <f>vkm_2011_GW_PW*SUMIFS(TableVerdeelsleutelVkm[CNG],TableVerdeelsleutelVkm[Voertuigtype],"Lichte voertuigen")*SUMIFS(TableECFTransport[EnergieConsumptieFactor (PJ per km)],TableECFTransport[Index],CONCATENATE($A6,"_CNG_CNG"))</f>
        <v>1.3773755942257159E-5</v>
      </c>
      <c r="E6" s="435">
        <f>vkm_2011_GW_PW*SUMIFS(TableVerdeelsleutelVkm[LPG],TableVerdeelsleutelVkm[Voertuigtype],"Lichte voertuigen")*SUMIFS(TableECFTransport[EnergieConsumptieFactor (PJ per km)],TableECFTransport[Index],CONCATENATE($A6,"_LPG_LPG"))</f>
        <v>8.164370714005421E-4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0.11802558280915969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3.0931114442097913E-2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6.6705552234944884E-3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4.5076349955215353E-2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1.8186549827759644E-5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2.0081374439798209E-3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1.2531110493854615E-6</v>
      </c>
      <c r="C8" s="433"/>
      <c r="D8" s="435">
        <f>vkm_2011_NGW_PW*SUMIFS(TableVerdeelsleutelVkm[CNG],TableVerdeelsleutelVkm[Voertuigtype],"Lichte voertuigen")*SUMIFS(TableECFTransport[EnergieConsumptieFactor (PJ per km)],TableECFTransport[Index],CONCATENATE($A8,"_CNG_CNG"))</f>
        <v>5.4903719118653384E-6</v>
      </c>
      <c r="E8" s="435">
        <f>vkm_2011_NGW_PW*SUMIFS(TableVerdeelsleutelVkm[LPG],TableVerdeelsleutelVkm[Voertuigtype],"Lichte voertuigen")*SUMIFS(TableECFTransport[EnergieConsumptieFactor (PJ per km)],TableECFTransport[Index],CONCATENATE($A8,"_LPG_LPG"))</f>
        <v>2.9855936606377331E-4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4.0772856402318737E-2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1.1806680152270517E-2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2.3556807029503773E-3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7.9942014918586921E-3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2.8082968563484273E-6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3.5612012792301791E-4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1.9148419630786149</v>
      </c>
      <c r="C14" s="22"/>
      <c r="D14" s="22">
        <f t="shared" ref="D14:M14" si="0">((D5)*10^9/3600)+D12</f>
        <v>5.3511466261451375</v>
      </c>
      <c r="E14" s="22">
        <f t="shared" si="0"/>
        <v>309.72123262897651</v>
      </c>
      <c r="F14" s="22"/>
      <c r="G14" s="22">
        <f t="shared" si="0"/>
        <v>58852.497405153466</v>
      </c>
      <c r="H14" s="22">
        <f t="shared" si="0"/>
        <v>11877.441511403482</v>
      </c>
      <c r="I14" s="22"/>
      <c r="J14" s="22"/>
      <c r="K14" s="22"/>
      <c r="L14" s="22"/>
      <c r="M14" s="22">
        <f t="shared" si="0"/>
        <v>3164.0259717632516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0.2083866451205986</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0.39902749262209369</v>
      </c>
      <c r="C18" s="24"/>
      <c r="D18" s="24">
        <f t="shared" ref="D18:M18" si="1">D14*D16</f>
        <v>1.0809316184813178</v>
      </c>
      <c r="E18" s="24">
        <f t="shared" si="1"/>
        <v>70.306719806777664</v>
      </c>
      <c r="F18" s="24"/>
      <c r="G18" s="24">
        <f t="shared" si="1"/>
        <v>15713.616807175977</v>
      </c>
      <c r="H18" s="24">
        <f t="shared" si="1"/>
        <v>2957.482936339467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3.6212619377903764E-3</v>
      </c>
      <c r="H50" s="323">
        <f t="shared" si="2"/>
        <v>0</v>
      </c>
      <c r="I50" s="323">
        <f t="shared" si="2"/>
        <v>0</v>
      </c>
      <c r="J50" s="323">
        <f t="shared" si="2"/>
        <v>0</v>
      </c>
      <c r="K50" s="323">
        <f t="shared" si="2"/>
        <v>0</v>
      </c>
      <c r="L50" s="323">
        <f t="shared" si="2"/>
        <v>0</v>
      </c>
      <c r="M50" s="323">
        <f t="shared" si="2"/>
        <v>1.5901558533359985E-4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3.6212619377903764E-3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1.5901558533359985E-4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1005.90609383066</v>
      </c>
      <c r="H54" s="22">
        <f t="shared" si="3"/>
        <v>0</v>
      </c>
      <c r="I54" s="22">
        <f t="shared" si="3"/>
        <v>0</v>
      </c>
      <c r="J54" s="22">
        <f t="shared" si="3"/>
        <v>0</v>
      </c>
      <c r="K54" s="22">
        <f t="shared" si="3"/>
        <v>0</v>
      </c>
      <c r="L54" s="22">
        <f t="shared" si="3"/>
        <v>0</v>
      </c>
      <c r="M54" s="22">
        <f t="shared" si="3"/>
        <v>44.170995925999961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0.2083866451205986</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268.57692705278623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10181.125773829213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3927.0062727849527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9107.0999999999985</v>
      </c>
      <c r="C8" s="558">
        <f>B101</f>
        <v>10662.813425136088</v>
      </c>
      <c r="D8" s="991"/>
      <c r="E8" s="991">
        <f>E101</f>
        <v>0</v>
      </c>
      <c r="F8" s="992"/>
      <c r="G8" s="559"/>
      <c r="H8" s="991">
        <f>I101</f>
        <v>0</v>
      </c>
      <c r="I8" s="991">
        <f>G101+F101</f>
        <v>0</v>
      </c>
      <c r="J8" s="991">
        <f>H101+D101+C101</f>
        <v>51.349209901444752</v>
      </c>
      <c r="K8" s="991"/>
      <c r="L8" s="991"/>
      <c r="M8" s="991"/>
      <c r="N8" s="560"/>
      <c r="O8" s="561">
        <f>C8*$C$12+D8*$D$12+E8*$E$12+F8*$F$12+G8*$G$12+H8*$H$12+I8*$I$12+J8*$J$12</f>
        <v>2153.8883118774897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23215.232046614165</v>
      </c>
      <c r="C10" s="570">
        <f t="shared" ref="C10:L10" si="0">SUM(C8:C9)</f>
        <v>10662.813425136088</v>
      </c>
      <c r="D10" s="570">
        <f t="shared" si="0"/>
        <v>0</v>
      </c>
      <c r="E10" s="570">
        <f t="shared" si="0"/>
        <v>0</v>
      </c>
      <c r="F10" s="570">
        <f t="shared" si="0"/>
        <v>0</v>
      </c>
      <c r="G10" s="570">
        <f t="shared" si="0"/>
        <v>0</v>
      </c>
      <c r="H10" s="570">
        <f t="shared" si="0"/>
        <v>0</v>
      </c>
      <c r="I10" s="570">
        <f t="shared" si="0"/>
        <v>0</v>
      </c>
      <c r="J10" s="570">
        <f t="shared" si="0"/>
        <v>51.349209901444752</v>
      </c>
      <c r="K10" s="570">
        <f t="shared" si="0"/>
        <v>0</v>
      </c>
      <c r="L10" s="570">
        <f t="shared" si="0"/>
        <v>0</v>
      </c>
      <c r="M10" s="995"/>
      <c r="N10" s="995"/>
      <c r="O10" s="571">
        <f>SUM(O4:O9)</f>
        <v>2153.8883118774897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13011.749999999998</v>
      </c>
      <c r="C17" s="582">
        <f>B102</f>
        <v>15234.472289149619</v>
      </c>
      <c r="D17" s="583"/>
      <c r="E17" s="583">
        <f>E102</f>
        <v>0</v>
      </c>
      <c r="F17" s="584"/>
      <c r="G17" s="585"/>
      <c r="H17" s="582">
        <f>I102</f>
        <v>0</v>
      </c>
      <c r="I17" s="583">
        <f>G102+F102</f>
        <v>0</v>
      </c>
      <c r="J17" s="583">
        <f>H102+D102+C102</f>
        <v>73.365075812840928</v>
      </c>
      <c r="K17" s="583"/>
      <c r="L17" s="583"/>
      <c r="M17" s="583"/>
      <c r="N17" s="998"/>
      <c r="O17" s="586">
        <f>C17*$C$22+E17*$E$22+H17*$H$22+I17*$I$22+J17*$J$22+D17*$D$22+F17*$F$22+G17*$G$22+K17*$K$22+L17*$L$22</f>
        <v>3077.363402408223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13011.749999999998</v>
      </c>
      <c r="C20" s="569">
        <f>SUM(C17:C19)</f>
        <v>15234.472289149619</v>
      </c>
      <c r="D20" s="569">
        <f t="shared" ref="D20:L20" si="1">SUM(D17:D19)</f>
        <v>0</v>
      </c>
      <c r="E20" s="569">
        <f t="shared" si="1"/>
        <v>0</v>
      </c>
      <c r="F20" s="569">
        <f t="shared" si="1"/>
        <v>0</v>
      </c>
      <c r="G20" s="569">
        <f t="shared" si="1"/>
        <v>0</v>
      </c>
      <c r="H20" s="569">
        <f t="shared" si="1"/>
        <v>0</v>
      </c>
      <c r="I20" s="569">
        <f t="shared" si="1"/>
        <v>0</v>
      </c>
      <c r="J20" s="569">
        <f t="shared" si="1"/>
        <v>73.365075812840928</v>
      </c>
      <c r="K20" s="569">
        <f t="shared" si="1"/>
        <v>0</v>
      </c>
      <c r="L20" s="569">
        <f t="shared" si="1"/>
        <v>0</v>
      </c>
      <c r="M20" s="569"/>
      <c r="N20" s="569"/>
      <c r="O20" s="590">
        <f>SUM(O17:O19)</f>
        <v>3077.363402408223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11022</v>
      </c>
      <c r="C28" s="789">
        <v>2920</v>
      </c>
      <c r="D28" s="642" t="s">
        <v>946</v>
      </c>
      <c r="E28" s="641" t="s">
        <v>947</v>
      </c>
      <c r="F28" s="641" t="s">
        <v>948</v>
      </c>
      <c r="G28" s="641" t="s">
        <v>949</v>
      </c>
      <c r="H28" s="641" t="s">
        <v>950</v>
      </c>
      <c r="I28" s="641" t="s">
        <v>947</v>
      </c>
      <c r="J28" s="788">
        <v>39002</v>
      </c>
      <c r="K28" s="788">
        <v>39007</v>
      </c>
      <c r="L28" s="641" t="s">
        <v>951</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25.5">
      <c r="A29" s="594"/>
      <c r="B29" s="789">
        <v>11022</v>
      </c>
      <c r="C29" s="789">
        <v>2920</v>
      </c>
      <c r="D29" s="642" t="s">
        <v>952</v>
      </c>
      <c r="E29" s="641" t="s">
        <v>953</v>
      </c>
      <c r="F29" s="641" t="s">
        <v>954</v>
      </c>
      <c r="G29" s="641" t="s">
        <v>955</v>
      </c>
      <c r="H29" s="641" t="s">
        <v>955</v>
      </c>
      <c r="I29" s="641" t="s">
        <v>953</v>
      </c>
      <c r="J29" s="788">
        <v>40940</v>
      </c>
      <c r="K29" s="788">
        <v>41183</v>
      </c>
      <c r="L29" s="641" t="s">
        <v>951</v>
      </c>
      <c r="M29" s="641">
        <v>1</v>
      </c>
      <c r="N29" s="641">
        <v>0.45</v>
      </c>
      <c r="O29" s="641">
        <v>2.25</v>
      </c>
      <c r="P29" s="641">
        <v>3</v>
      </c>
      <c r="Q29" s="641">
        <v>0</v>
      </c>
      <c r="R29" s="641">
        <v>0</v>
      </c>
      <c r="S29" s="641">
        <v>0</v>
      </c>
      <c r="T29" s="641">
        <v>0</v>
      </c>
      <c r="U29" s="641">
        <v>0</v>
      </c>
      <c r="V29" s="641">
        <v>0</v>
      </c>
      <c r="W29" s="641"/>
      <c r="X29" s="641">
        <v>10</v>
      </c>
      <c r="Y29" s="641" t="s">
        <v>112</v>
      </c>
      <c r="Z29" s="643" t="s">
        <v>112</v>
      </c>
    </row>
    <row r="30" spans="1:26" s="595" customFormat="1" ht="25.5">
      <c r="A30" s="594"/>
      <c r="B30" s="789">
        <v>11022</v>
      </c>
      <c r="C30" s="789">
        <v>2920</v>
      </c>
      <c r="D30" s="642" t="s">
        <v>956</v>
      </c>
      <c r="E30" s="641" t="s">
        <v>957</v>
      </c>
      <c r="F30" s="641" t="s">
        <v>958</v>
      </c>
      <c r="G30" s="641" t="s">
        <v>949</v>
      </c>
      <c r="H30" s="641" t="s">
        <v>950</v>
      </c>
      <c r="I30" s="641" t="s">
        <v>959</v>
      </c>
      <c r="J30" s="788">
        <v>41141</v>
      </c>
      <c r="K30" s="788">
        <v>41275</v>
      </c>
      <c r="L30" s="641" t="s">
        <v>951</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2024.7</v>
      </c>
      <c r="N58" s="599">
        <f>SUM(N28:N57)</f>
        <v>9107.0999999999985</v>
      </c>
      <c r="O58" s="599">
        <f t="shared" ref="O58:W58" si="2">SUM(O28:O57)</f>
        <v>13011.749999999998</v>
      </c>
      <c r="P58" s="599">
        <f t="shared" si="2"/>
        <v>25897.28571428571</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2024.7</v>
      </c>
      <c r="N61" s="604">
        <f t="shared" si="4"/>
        <v>9107.0999999999985</v>
      </c>
      <c r="O61" s="604">
        <f t="shared" si="4"/>
        <v>13011.749999999998</v>
      </c>
      <c r="P61" s="604">
        <f t="shared" si="4"/>
        <v>25897.28571428571</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0.58826521270319199</v>
      </c>
      <c r="C98" s="624">
        <f>IF(ISERROR(N58/(O58+N58)),0,N58/(N58+O58))</f>
        <v>0.4117347872968079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10662.813425136088</v>
      </c>
      <c r="C101" s="633">
        <f t="shared" si="9"/>
        <v>51.349209901444752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15234.472289149619</v>
      </c>
      <c r="C102" s="636">
        <f t="shared" si="10"/>
        <v>73.365075812840928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2019-06-29T16:10:51Z</dcterms:modified>
</cp:coreProperties>
</file>