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Q88"/>
  <c r="P18" i="56" s="1"/>
  <c r="D18"/>
  <c r="K78" i="14"/>
  <c r="K8" i="56"/>
  <c r="K10" s="1"/>
  <c r="O78" i="14"/>
  <c r="O9" i="56"/>
  <c r="L90" i="14"/>
  <c r="L17" i="56"/>
  <c r="L20" s="1"/>
  <c r="G90" i="14"/>
  <c r="G18" i="56"/>
  <c r="G20" s="1"/>
  <c r="O90" i="14"/>
  <c r="O18" i="56"/>
  <c r="O20" s="1"/>
  <c r="O10"/>
  <c r="C88" i="14"/>
  <c r="C18" i="56" s="1"/>
  <c r="L78" i="14"/>
  <c r="N20" i="56"/>
  <c r="G78" i="14"/>
  <c r="Q89"/>
  <c r="P19" i="56" s="1"/>
  <c r="I76" i="14"/>
  <c r="I8" i="56" s="1"/>
  <c r="I10" s="1"/>
  <c r="I87" i="14"/>
  <c r="I17" i="56" s="1"/>
  <c r="I20" s="1"/>
  <c r="C77" i="14"/>
  <c r="C9" i="56" s="1"/>
  <c r="D9"/>
  <c r="D10" s="1"/>
  <c r="K90" i="14"/>
  <c r="K18" i="56"/>
  <c r="K20" s="1"/>
  <c r="N78" i="14"/>
  <c r="N8" i="56"/>
  <c r="N10" s="1"/>
  <c r="E8"/>
  <c r="E10" s="1"/>
  <c r="M78" i="14"/>
  <c r="M8" i="56"/>
  <c r="M10" s="1"/>
  <c r="H78" i="14"/>
  <c r="H9" i="56"/>
  <c r="H10" s="1"/>
  <c r="Q87" i="14"/>
  <c r="P17" i="56" s="1"/>
  <c r="P20" s="1"/>
  <c r="D17"/>
  <c r="F90" i="14"/>
  <c r="H90"/>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M90"/>
  <c r="D90"/>
  <c r="J90" l="1"/>
  <c r="J17" i="56"/>
  <c r="J20" s="1"/>
  <c r="J8"/>
  <c r="J10" s="1"/>
  <c r="J78" i="14"/>
  <c r="I90"/>
  <c r="Q78"/>
  <c r="B9" i="6" s="1"/>
  <c r="P9" i="56"/>
  <c r="P10" s="1"/>
  <c r="D20"/>
  <c r="C87" i="14"/>
  <c r="C17" i="56" s="1"/>
  <c r="C20" s="1"/>
  <c r="C76" i="14"/>
  <c r="C90"/>
  <c r="B87"/>
  <c r="B90" l="1"/>
  <c r="B17" i="56"/>
  <c r="B20" s="1"/>
  <c r="C8"/>
  <c r="C10" s="1"/>
  <c r="C78" i="14"/>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31"/>
  <c r="K25"/>
  <c r="K26"/>
  <c r="K29"/>
  <c r="K24"/>
  <c r="K27"/>
  <c r="K28"/>
  <c r="K30"/>
  <c r="K22"/>
  <c r="J10" i="14"/>
  <c r="J16" s="1"/>
  <c r="J27" s="1"/>
  <c r="I5" i="48"/>
  <c r="J24"/>
  <c r="J32"/>
  <c r="J30"/>
  <c r="J29"/>
  <c r="J27"/>
  <c r="J31"/>
  <c r="J28"/>
  <c r="Q11" i="14"/>
  <c r="P4" i="48"/>
  <c r="B7"/>
  <c r="C24" i="14"/>
  <c r="C26" s="1"/>
  <c r="P11"/>
  <c r="O4" i="48"/>
  <c r="I25"/>
  <c r="I26"/>
  <c r="I32"/>
  <c r="I22"/>
  <c r="I28"/>
  <c r="I29"/>
  <c r="I30"/>
  <c r="I27"/>
  <c r="I31"/>
  <c r="I24"/>
  <c r="H26"/>
  <c r="H32"/>
  <c r="H28"/>
  <c r="H25"/>
  <c r="H24"/>
  <c r="H29"/>
  <c r="H22"/>
  <c r="H30"/>
  <c r="H23"/>
  <c r="G32"/>
  <c r="G26"/>
  <c r="G24"/>
  <c r="G22"/>
  <c r="G25"/>
  <c r="G30"/>
  <c r="G29"/>
  <c r="G23"/>
  <c r="C11" i="14"/>
  <c r="B4" i="48"/>
  <c r="C19" i="14"/>
  <c r="B10" i="48"/>
  <c r="E28"/>
  <c r="E29"/>
  <c r="E32"/>
  <c r="E24"/>
  <c r="E30"/>
  <c r="E31"/>
  <c r="M12" i="13"/>
  <c r="N41" i="14" s="1"/>
  <c r="M17" i="48"/>
  <c r="N46" i="14"/>
  <c r="D4" i="48"/>
  <c r="D22" s="1"/>
  <c r="E11" i="14"/>
  <c r="D11"/>
  <c r="C4" i="48"/>
  <c r="F24"/>
  <c r="F28"/>
  <c r="F32"/>
  <c r="F31"/>
  <c r="F29"/>
  <c r="F27"/>
  <c r="F30"/>
  <c r="N31"/>
  <c r="N28"/>
  <c r="N27"/>
  <c r="N32"/>
  <c r="N30"/>
  <c r="N29"/>
  <c r="N24"/>
  <c r="K5"/>
  <c r="L10" i="14"/>
  <c r="L16" s="1"/>
  <c r="L27" s="1"/>
  <c r="D30" i="48"/>
  <c r="D31"/>
  <c r="D32"/>
  <c r="D29"/>
  <c r="D24"/>
  <c r="D28"/>
  <c r="L32"/>
  <c r="L27"/>
  <c r="L31"/>
  <c r="L29"/>
  <c r="L22"/>
  <c r="L30"/>
  <c r="L28"/>
  <c r="L24"/>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G11" i="14"/>
  <c r="F4" i="48"/>
  <c r="F22" s="1"/>
  <c r="I18" i="14"/>
  <c r="H13" i="48"/>
  <c r="H31" s="1"/>
  <c r="L61" i="14"/>
  <c r="L63" s="1"/>
  <c r="K33" i="48"/>
  <c r="J63" i="14"/>
  <c r="Q13"/>
  <c r="P8" i="48"/>
  <c r="P26" s="1"/>
  <c r="I23"/>
  <c r="I33" s="1"/>
  <c r="I15"/>
  <c r="H18" i="14"/>
  <c r="G13" i="48"/>
  <c r="N18" i="14"/>
  <c r="M13" i="48"/>
  <c r="M31" s="1"/>
  <c r="P15"/>
  <c r="P22"/>
  <c r="P33" s="1"/>
  <c r="J12" i="17"/>
  <c r="K54" i="14" s="1"/>
  <c r="K56" s="1"/>
  <c r="J7" i="48"/>
  <c r="J25" s="1"/>
  <c r="K24" i="14"/>
  <c r="K26" s="1"/>
  <c r="K23" i="48"/>
  <c r="K15"/>
  <c r="Q16" i="14"/>
  <c r="Q27" s="1"/>
  <c r="J46"/>
  <c r="J61" s="1"/>
  <c r="M32" i="48"/>
  <c r="M22"/>
  <c r="M29"/>
  <c r="M25"/>
  <c r="M26"/>
  <c r="M24"/>
  <c r="M30"/>
  <c r="M2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20"/>
  <c r="M9" i="48"/>
  <c r="E7"/>
  <c r="E25" s="1"/>
  <c r="F24" i="14"/>
  <c r="F26" s="1"/>
  <c r="F20"/>
  <c r="F22" s="1"/>
  <c r="E9" i="48"/>
  <c r="E27" s="1"/>
  <c r="H9"/>
  <c r="I20" i="14"/>
  <c r="P16"/>
  <c r="P27" s="1"/>
  <c r="E12" i="17"/>
  <c r="F54" i="14" s="1"/>
  <c r="F56" s="1"/>
  <c r="J4" i="48"/>
  <c r="K11" i="14"/>
  <c r="P13"/>
  <c r="O8" i="48"/>
  <c r="O26" s="1"/>
  <c r="O33" s="1"/>
  <c r="E20" i="14"/>
  <c r="E22" s="1"/>
  <c r="D9" i="48"/>
  <c r="D27" s="1"/>
  <c r="B9"/>
  <c r="C20" i="14"/>
  <c r="R18"/>
  <c r="G31" i="48"/>
  <c r="Q13"/>
  <c r="P46" i="14"/>
  <c r="P61" s="1"/>
  <c r="D18" i="22"/>
  <c r="E50" i="14" s="1"/>
  <c r="E52" s="1"/>
  <c r="Q63"/>
  <c r="I22"/>
  <c r="I27" s="1"/>
  <c r="N19"/>
  <c r="N22" s="1"/>
  <c r="N27" s="1"/>
  <c r="M10" i="48"/>
  <c r="M28" s="1"/>
  <c r="O11" i="14"/>
  <c r="N4" i="48"/>
  <c r="N22" s="1"/>
  <c r="H19" i="14"/>
  <c r="G10"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N63"/>
  <c r="G28" i="48"/>
  <c r="Q10"/>
  <c r="J22"/>
  <c r="H27"/>
  <c r="H33" s="1"/>
  <c r="H15"/>
  <c r="E22"/>
  <c r="Q4"/>
  <c r="G9"/>
  <c r="H20" i="14"/>
  <c r="H22" s="1"/>
  <c r="H27" s="1"/>
  <c r="R11"/>
  <c r="F10"/>
  <c r="R10" s="1"/>
  <c r="E5" i="48"/>
  <c r="E23" s="1"/>
  <c r="E46" i="14"/>
  <c r="E61" s="1"/>
  <c r="P63"/>
  <c r="J5" i="48"/>
  <c r="J23" s="1"/>
  <c r="K10" i="14"/>
  <c r="M27" i="48"/>
  <c r="M33" s="1"/>
  <c r="M15"/>
  <c r="R20" i="14"/>
  <c r="C22"/>
  <c r="R19"/>
  <c r="R22" s="1"/>
  <c r="O15" i="48"/>
  <c r="D15"/>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15" i="48" l="1"/>
  <c r="E33"/>
  <c r="G27"/>
  <c r="G33" s="1"/>
  <c r="G15"/>
  <c r="K13" i="14"/>
  <c r="J8" i="48"/>
  <c r="J26" s="1"/>
  <c r="J15"/>
  <c r="K16" i="14"/>
  <c r="K27" s="1"/>
  <c r="J33" i="48"/>
  <c r="Q5"/>
  <c r="E63" i="14"/>
  <c r="F13"/>
  <c r="E8" i="48"/>
  <c r="E26" s="1"/>
  <c r="Q9"/>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<sst xmlns="http://schemas.openxmlformats.org/spreadsheetml/2006/main" count="2501" uniqueCount="955">
  <si>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</si>
  <si>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</si>
  <si>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</si>
  <si>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</si>
  <si>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</si>
  <si>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</si>
  <si>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</si>
  <si>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</si>
  <si>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</si>
  <si>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</si>
  <si>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</si>
  <si>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</si>
  <si>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</si>
  <si>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</si>
  <si>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</si>
  <si>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</si>
  <si>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</si>
  <si>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</si>
  <si>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</si>
  <si>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</si>
  <si>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</si>
  <si>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</si>
  <si>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</si>
  <si>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</si>
  <si>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</si>
  <si>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</si>
  <si>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</si>
  <si>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</si>
  <si>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</si>
  <si>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</si>
  <si>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</si>
  <si>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</si>
  <si>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</si>
  <si>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</si>
  <si>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</si>
  <si>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</si>
  <si>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</si>
  <si>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</si>
  <si>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</si>
  <si>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</si>
  <si>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</si>
  <si>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</si>
  <si>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</si>
  <si>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</si>
  <si>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</si>
  <si>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</si>
  <si>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</si>
  <si>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</si>
  <si>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</si>
  <si>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</si>
  <si>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</si>
  <si>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</si>
  <si>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</si>
  <si>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</si>
  <si>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</si>
  <si>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</si>
  <si>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</si>
  <si>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</si>
  <si>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</si>
  <si>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</si>
  <si>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</si>
  <si>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</si>
  <si>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</si>
  <si>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</si>
  <si>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</si>
  <si>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</si>
  <si>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</si>
  <si>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</si>
  <si>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</si>
  <si>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</si>
  <si>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</si>
  <si>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</si>
  <si>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</si>
  <si>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</si>
  <si>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</si>
  <si>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</si>
  <si>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</si>
  <si>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</si>
  <si>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</si>
  <si>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</si>
  <si>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</si>
  <si>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</si>
  <si>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</si>
  <si>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</si>
  <si>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</si>
  <si>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</si>
  <si>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</si>
  <si>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</si>
  <si>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</si>
  <si>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</si>
  <si>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</si>
  <si>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</si>
  <si>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</si>
  <si>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</si>
  <si>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</si>
  <si>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</si>
  <si>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</si>
  <si>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</si>
  <si>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</si>
  <si>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</si>
  <si>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</si>
  <si>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</si>
  <si>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</si>
  <si>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</si>
  <si>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</si>
  <si>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</si>
  <si>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</si>
  <si>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</si>
  <si>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</si>
  <si>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</si>
  <si>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</si>
  <si>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</si>
  <si>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</si>
  <si>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</si>
  <si>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</si>
  <si>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</si>
  <si>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</si>
  <si>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</si>
  <si>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</si>
  <si>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</si>
  <si>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</si>
  <si>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</si>
  <si>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</si>
  <si>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</si>
  <si>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</si>
  <si>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</si>
  <si>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</si>
  <si>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</si>
  <si>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</si>
  <si>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</si>
  <si>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</si>
  <si>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</si>
  <si>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</si>
  <si>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</si>
  <si>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</si>
  <si>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</si>
  <si>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</si>
  <si>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</si>
  <si>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</si>
  <si>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</si>
  <si>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</si>
  <si>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</si>
  <si>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</si>
  <si>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</si>
  <si>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</si>
  <si>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</si>
  <si>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</si>
  <si>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</si>
  <si>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</si>
  <si>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</si>
  <si>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</si>
  <si>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</si>
  <si>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</si>
  <si>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</si>
  <si>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</si>
  <si>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</si>
  <si>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</si>
  <si>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</si>
  <si>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</si>
  <si>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</si>
  <si>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</si>
  <si>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</si>
  <si>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</si>
  <si>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</si>
  <si>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</si>
  <si>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</si>
  <si>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</si>
  <si>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</si>
  <si>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</si>
  <si>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</si>
  <si>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</si>
  <si>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</si>
  <si>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</si>
  <si>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</si>
  <si>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</si>
  <si>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</si>
  <si>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</si>
  <si>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</si>
  <si>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</si>
  <si>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</si>
  <si>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</si>
  <si>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</si>
  <si>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</si>
  <si>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</si>
  <si>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</si>
  <si>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</si>
  <si>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</si>
  <si>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</si>
  <si>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</si>
  <si>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</si>
  <si>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</si>
  <si>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</si>
  <si>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</si>
  <si>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</si>
  <si>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</si>
  <si>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</si>
  <si>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</si>
  <si>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</si>
  <si>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</si>
  <si>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</si>
  <si>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</si>
  <si>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</si>
  <si>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</si>
  <si>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</si>
  <si>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</si>
  <si>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</si>
  <si>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</si>
  <si>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</si>
  <si>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</si>
  <si>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</si>
  <si>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</si>
  <si>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</si>
  <si>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</si>
  <si>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</si>
  <si>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</si>
  <si>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</si>
  <si>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</si>
  <si>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</si>
  <si>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</si>
  <si>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</si>
  <si>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</si>
  <si>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</si>
  <si>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</si>
  <si>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</si>
  <si>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</si>
  <si>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</si>
  <si>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</si>
  <si>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</si>
  <si>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</si>
  <si>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</si>
  <si>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</si>
  <si>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</si>
  <si>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</si>
  <si>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</si>
  <si>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</si>
  <si>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</si>
  <si>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</si>
  <si>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</si>
  <si>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</si>
  <si>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</si>
  <si>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</si>
  <si>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</si>
  <si>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</si>
  <si>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</si>
  <si>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</si>
  <si>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</si>
  <si>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</si>
  <si>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</si>
  <si>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</si>
  <si>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</si>
  <si>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</si>
  <si>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</si>
  <si>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</si>
  <si>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</si>
  <si>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</si>
  <si>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</si>
  <si>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</si>
  <si>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</si>
  <si>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</si>
  <si>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</si>
  <si>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</si>
  <si>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</si>
  <si>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</si>
  <si>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</si>
  <si>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</si>
  <si>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</si>
  <si>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</si>
  <si>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</si>
  <si>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</si>
  <si>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</si>
  <si>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</si>
  <si>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</si>
  <si>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</si>
  <si>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</si>
  <si>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</si>
  <si>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</si>
  <si>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</si>
  <si>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</si>
  <si>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</si>
  <si>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</si>
  <si>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</si>
  <si>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</si>
  <si>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</si>
  <si>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</si>
  <si>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</si>
  <si>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</si>
  <si>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</si>
  <si>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</si>
  <si>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</si>
  <si>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</si>
  <si>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</si>
  <si>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</si>
  <si>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</si>
  <si>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</si>
  <si>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</si>
  <si>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</si>
  <si>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</si>
  <si>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</si>
  <si>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</si>
  <si>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</si>
  <si>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</si>
  <si>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</si>
  <si>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</si>
  <si>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</si>
  <si>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</si>
  <si>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</si>
  <si>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</si>
  <si>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</si>
  <si>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</si>
  <si>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</si>
  <si>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</si>
  <si>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</si>
  <si>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</si>
  <si>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</si>
  <si>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</si>
  <si>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</si>
  <si>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</si>
  <si>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</si>
  <si>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</si>
  <si>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</si>
  <si>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</si>
  <si>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</si>
  <si>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</si>
  <si>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</si>
  <si>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</si>
  <si>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</si>
  <si>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</si>
  <si>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</si>
  <si>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</si>
  <si>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</si>
  <si>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</si>
  <si>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</si>
  <si>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</si>
  <si>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</si>
  <si>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</si>
  <si>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</si>
  <si>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</si>
  <si>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</si>
  <si>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</si>
  <si>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</si>
  <si>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</si>
  <si>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</si>
  <si>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</si>
  <si>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</si>
  <si>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</si>
  <si>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</si>
  <si>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</si>
  <si>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</si>
  <si>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</si>
  <si>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</si>
  <si>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</si>
  <si>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</si>
  <si>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</si>
  <si>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</si>
  <si>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</si>
  <si>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</si>
  <si>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</si>
  <si>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</si>
  <si>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</si>
  <si>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</si>
  <si>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</si>
  <si>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</si>
  <si>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</si>
  <si>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</si>
  <si>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</si>
  <si>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</si>
  <si>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</si>
  <si>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</si>
  <si>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</si>
  <si>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</si>
  <si>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</si>
  <si>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</si>
  <si>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</si>
  <si>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</si>
  <si>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</si>
  <si>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</si>
  <si>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</si>
  <si>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</si>
  <si>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</si>
  <si>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</si>
  <si>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</si>
  <si>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</si>
  <si>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</si>
  <si>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</si>
  <si>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</si>
  <si>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</si>
  <si>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</si>
  <si>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</si>
  <si>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</si>
  <si>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</si>
  <si>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</si>
  <si>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</si>
  <si>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</si>
  <si>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</si>
  <si>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</si>
  <si>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</si>
  <si>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</si>
  <si>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</si>
  <si>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</si>
  <si>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</si>
  <si>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</si>
  <si>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</si>
  <si>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</si>
  <si>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</si>
  <si>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</si>
  <si>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</si>
  <si>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</si>
  <si>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</si>
  <si>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</si>
  <si>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</si>
  <si>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</si>
  <si>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</si>
  <si>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</si>
  <si>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</si>
  <si>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</si>
  <si>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</si>
  <si>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</si>
  <si>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</si>
  <si>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</si>
  <si>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</si>
  <si>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</si>
  <si>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</si>
  <si>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</si>
  <si>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</si>
  <si>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</si>
  <si>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</si>
  <si>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</si>
  <si>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</si>
  <si>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</si>
  <si>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</si>
  <si>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</si>
  <si>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</si>
  <si>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</si>
  <si>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</si>
  <si>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</si>
  <si>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</si>
  <si>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</si>
  <si>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</si>
  <si>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</si>
  <si>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</si>
  <si>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</si>
  <si>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</si>
  <si>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</si>
  <si>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</si>
  <si>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</si>
  <si>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</si>
  <si>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</si>
  <si>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</si>
  <si>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</si>
  <si>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</si>
  <si>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</si>
  <si>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</si>
  <si>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</si>
  <si>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</si>
  <si>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</si>
  <si>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</si>
  <si>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</si>
  <si>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</si>
  <si>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</si>
  <si>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</si>
  <si>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</si>
  <si>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</si>
  <si>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</si>
  <si>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</si>
  <si>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</si>
  <si>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</si>
  <si>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</si>
  <si>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</si>
  <si>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</si>
  <si>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</si>
  <si>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</si>
  <si>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</si>
  <si>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</si>
  <si>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</si>
  <si>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</si>
  <si>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</si>
  <si>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</si>
  <si>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</si>
  <si>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</si>
  <si>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</si>
  <si>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</si>
  <si>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</si>
  <si>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</si>
  <si>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</si>
  <si>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</si>
  <si>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</si>
  <si>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</si>
  <si>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</si>
  <si>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</si>
  <si>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</si>
  <si>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</si>
  <si>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</si>
  <si>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</si>
  <si>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</si>
  <si>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</si>
  <si>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</si>
  <si>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</si>
  <si>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</si>
  <si>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</si>
  <si>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</si>
  <si>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</si>
  <si>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</si>
  <si>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</si>
  <si>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</si>
  <si>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</si>
  <si>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</si>
  <si>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</si>
  <si>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</si>
  <si>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</si>
  <si>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</si>
  <si>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</si>
  <si>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</si>
  <si>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</si>
  <si>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</si>
  <si>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</si>
  <si>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</si>
  <si>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</si>
  <si>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</si>
  <si>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</si>
  <si>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</si>
  <si>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</si>
  <si>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</si>
  <si>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</si>
  <si>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</si>
  <si>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</si>
  <si>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</si>
  <si>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</si>
  <si>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</si>
  <si>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</si>
  <si>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</si>
  <si>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</si>
  <si>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</si>
  <si>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</si>
  <si>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</si>
  <si>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</si>
  <si>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</si>
  <si>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</si>
  <si>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</si>
  <si>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</si>
  <si>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</si>
  <si>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</si>
  <si>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</si>
  <si>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</si>
  <si>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</si>
  <si>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</si>
  <si>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</si>
  <si>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</si>
  <si>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</si>
  <si>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</si>
  <si>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</si>
  <si>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</si>
  <si>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</si>
  <si>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</si>
  <si>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</si>
  <si>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</si>
  <si>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</si>
  <si>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</si>
  <si>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</si>
  <si>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</si>
  <si>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</si>
  <si>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</si>
  <si>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</si>
  <si>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</si>
  <si>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</si>
  <si>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</si>
  <si>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</si>
  <si>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</si>
  <si>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</si>
  <si>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</si>
  <si>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</si>
  <si>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</si>
  <si>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</si>
  <si>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</si>
  <si>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</si>
  <si>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</si>
  <si>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</si>
  <si>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</si>
  <si>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</si>
  <si>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</si>
  <si>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</si>
  <si>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</si>
  <si>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</si>
  <si>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</si>
  <si>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</si>
  <si>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</si>
  <si>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</si>
  <si>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</si>
  <si>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</si>
  <si>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</si>
  <si>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</si>
  <si>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</si>
  <si>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</si>
  <si>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</si>
  <si>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</si>
  <si>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</si>
  <si>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</si>
  <si>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</si>
  <si>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</si>
  <si>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</si>
  <si>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</si>
  <si>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</si>
  <si>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</si>
  <si>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</si>
  <si>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</si>
  <si>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</si>
  <si>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</si>
  <si>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</si>
  <si>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</si>
  <si>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</si>
  <si>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</si>
  <si>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</si>
  <si>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</si>
  <si>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</si>
  <si>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</si>
  <si>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</si>
  <si>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</si>
  <si>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</si>
  <si>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</si>
  <si>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</si>
  <si>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</si>
  <si>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</si>
  <si>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</si>
  <si>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</si>
  <si>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</si>
  <si>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</si>
  <si>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</si>
  <si>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</si>
  <si>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</si>
  <si>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</si>
  <si>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</si>
  <si>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</si>
  <si>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</si>
  <si>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</si>
  <si>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</si>
  <si>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</si>
  <si>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</si>
  <si>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</si>
  <si>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</si>
  <si>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</si>
  <si>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</si>
  <si>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</si>
  <si>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</si>
  <si>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</si>
  <si>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</si>
  <si>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</si>
  <si>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</si>
  <si>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</si>
  <si>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</si>
  <si>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</si>
  <si>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</si>
  <si>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</si>
  <si>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</si>
  <si>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</si>
  <si>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</si>
  <si>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</si>
  <si>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</si>
  <si>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</si>
  <si>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</si>
  <si>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</si>
  <si>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</si>
  <si>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</si>
  <si>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</si>
  <si>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</si>
  <si>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</si>
  <si>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</si>
  <si>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</si>
  <si>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</si>
  <si>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</si>
  <si>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</si>
  <si>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</si>
  <si>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</si>
  <si>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</si>
  <si>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</si>
  <si>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</si>
  <si>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</si>
  <si>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</si>
  <si>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</si>
  <si>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</si>
  <si>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</si>
  <si>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</si>
  <si>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</si>
  <si>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</si>
  <si>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</si>
  <si>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</si>
  <si>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</si>
  <si>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</si>
  <si>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</si>
  <si>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</si>
  <si>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</si>
  <si>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</si>
  <si>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</si>
  <si>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</si>
  <si>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</si>
  <si>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</si>
  <si>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</si>
  <si>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</si>
  <si>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</si>
  <si>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</si>
  <si>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</si>
  <si>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</si>
  <si>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</si>
  <si>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</si>
  <si>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</si>
  <si>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</si>
  <si>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</si>
  <si>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</si>
  <si>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</si>
  <si>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</si>
  <si>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</si>
  <si>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</si>
  <si>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</si>
  <si>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</si>
  <si>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</si>
  <si>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</si>
  <si>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</si>
  <si>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</si>
  <si>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</si>
  <si>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</si>
  <si>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</si>
  <si>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</si>
  <si>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</si>
  <si>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</si>
  <si>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</si>
  <si>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</si>
  <si>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</si>
  <si>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</si>
  <si>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</si>
  <si>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</si>
  <si>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</si>
  <si>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</si>
  <si>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</si>
  <si>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</si>
  <si>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</si>
  <si>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</si>
  <si>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</si>
  <si>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</si>
  <si>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</si>
  <si>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</si>
  <si>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</si>
  <si>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</si>
  <si>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</si>
  <si>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</si>
  <si>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</si>
  <si>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</si>
  <si>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</si>
  <si>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</si>
  <si>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</si>
  <si>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</si>
  <si>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</si>
  <si>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</si>
  <si>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</si>
  <si>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</si>
  <si>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</si>
  <si>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</si>
  <si>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</si>
  <si>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</si>
  <si>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</si>
  <si>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</si>
  <si>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</si>
  <si>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</si>
  <si>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</si>
  <si>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</si>
  <si>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</si>
  <si>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</si>
  <si>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</si>
  <si>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</si>
  <si>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</si>
  <si>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</si>
  <si>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</si>
  <si>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</si>
  <si>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</si>
  <si>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</si>
  <si>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</si>
  <si>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</si>
  <si>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</si>
  <si>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</si>
  <si>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</si>
  <si>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</si>
  <si>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</si>
  <si>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</si>
  <si>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</si>
  <si>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</si>
  <si>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</si>
  <si>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</si>
  <si>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</si>
  <si>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</si>
  <si>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</si>
  <si>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</si>
  <si>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</si>
  <si>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</si>
  <si>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</si>
  <si>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</si>
  <si>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</si>
  <si>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</si>
  <si>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</si>
  <si>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</si>
  <si>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</si>
  <si>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</si>
  <si>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</si>
  <si>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</si>
  <si>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</si>
  <si>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</si>
  <si>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</si>
  <si>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</si>
  <si>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</si>
  <si>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</si>
  <si>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</si>
  <si>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</si>
  <si>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</si>
  <si>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</si>
  <si>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</si>
  <si>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</si>
  <si>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</si>
  <si>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</si>
  <si>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</si>
  <si>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</si>
  <si>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</si>
  <si>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</si>
  <si>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</si>
  <si>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</si>
  <si>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</si>
  <si>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</si>
  <si>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</si>
  <si>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</si>
  <si>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</si>
  <si>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</si>
  <si>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</si>
  <si>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</si>
  <si>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</si>
  <si>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</si>
  <si>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</si>
  <si>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</si>
  <si>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</si>
  <si>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</si>
  <si>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</si>
  <si>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</si>
  <si>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</si>
  <si>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</si>
  <si>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</si>
  <si>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</si>
  <si>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</si>
  <si>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</si>
  <si>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</si>
  <si>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</si>
  <si>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</si>
  <si>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</si>
  <si>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</si>
  <si>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</si>
  <si>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</si>
  <si>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</si>
  <si>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</si>
  <si>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</si>
  <si>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</si>
  <si>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</si>
  <si>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</si>
  <si>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</si>
  <si>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</si>
  <si>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</si>
  <si>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</si>
  <si>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</si>
  <si>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</si>
  <si>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</si>
  <si>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</si>
  <si>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</si>
  <si>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</si>
  <si>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</si>
  <si>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</si>
  <si>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</si>
  <si>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</si>
  <si>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</si>
  <si>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</si>
  <si>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</si>
  <si>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</si>
  <si>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</si>
  <si>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</si>
  <si>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</si>
  <si>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</si>
  <si>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</si>
  <si>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</si>
  <si>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</si>
  <si>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</si>
  <si>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</si>
  <si>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</si>
  <si>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</si>
  <si>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</si>
  <si>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</si>
  <si>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</si>
  <si>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</si>
  <si>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</si>
  <si>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</si>
  <si>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</si>
  <si>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</si>
  <si>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</si>
  <si>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</si>
  <si>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</si>
  <si>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</si>
  <si>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</si>
  <si>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</si>
  <si>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</si>
  <si>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</si>
  <si>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</si>
  <si>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</si>
  <si>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</si>
  <si>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</si>
  <si>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</si>
  <si>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</si>
  <si>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</si>
  <si>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</si>
  <si>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</si>
  <si>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</si>
  <si>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</si>
  <si>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</si>
  <si>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</si>
  <si>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</si>
  <si>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</si>
  <si>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</si>
  <si>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</si>
  <si>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</si>
  <si>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</si>
  <si>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</si>
  <si>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</si>
  <si>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</si>
  <si>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</si>
  <si>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</si>
  <si>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</si>
  <si>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</si>
  <si>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</si>
  <si>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</si>
  <si>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</si>
  <si>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</si>
  <si>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</si>
  <si>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</si>
  <si>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</si>
  <si>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</si>
  <si>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</si>
  <si>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</si>
  <si>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</si>
  <si>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</si>
  <si>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</si>
  <si>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</si>
  <si>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11021</t>
  </si>
  <si>
    <t>HOVE</t>
  </si>
  <si>
    <t>Paarden&amp;pony's 200 - 600 kg</t>
  </si>
  <si>
    <t>Paarden&amp;pony's &lt; 200 kg</t>
  </si>
  <si>
    <t>op basis van VEA (maart 2018) en Inventaris Hernieuwbare Energiebronnen (juni 2018)</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</si>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</sst>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11021</v>
      </c>
      <c r="B6" s="397"/>
      <c r="C6" s="398"/>
    </row>
    <row r="7" spans="1:7" s="395" customFormat="1" ht="15.75" customHeight="1">
      <c r="A7" s="399" t="str">
        <f>txtMunicipality</f>
        <v>HOVE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0.21364152866438901</v>
      </c>
      <c r="C17" s="510">
        <f ca="1">'EF ele_warmte'!B22</f>
        <v>0.21784313725490195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0.21364152866438901</v>
      </c>
      <c r="C29" s="511">
        <f ca="1">'EF ele_warmte'!B22</f>
        <v>0.21784313725490195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3149</v>
      </c>
      <c r="C9" s="338">
        <v>3350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v>
      </c>
    </row>
    <row r="15" spans="1:6">
      <c r="A15" s="1286" t="s">
        <v>184</v>
      </c>
      <c r="B15" s="335">
        <v>6</v>
      </c>
    </row>
    <row r="16" spans="1:6">
      <c r="A16" s="1286" t="s">
        <v>6</v>
      </c>
      <c r="B16" s="335">
        <v>438</v>
      </c>
    </row>
    <row r="17" spans="1:6">
      <c r="A17" s="1286" t="s">
        <v>7</v>
      </c>
      <c r="B17" s="335">
        <v>12</v>
      </c>
    </row>
    <row r="18" spans="1:6">
      <c r="A18" s="1286" t="s">
        <v>8</v>
      </c>
      <c r="B18" s="335">
        <v>184</v>
      </c>
    </row>
    <row r="19" spans="1:6">
      <c r="A19" s="1286" t="s">
        <v>9</v>
      </c>
      <c r="B19" s="335">
        <v>169</v>
      </c>
    </row>
    <row r="20" spans="1:6">
      <c r="A20" s="1286" t="s">
        <v>10</v>
      </c>
      <c r="B20" s="335">
        <v>35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92</v>
      </c>
    </row>
    <row r="27" spans="1:6">
      <c r="A27" s="1286" t="s">
        <v>17</v>
      </c>
      <c r="B27" s="335">
        <v>0</v>
      </c>
    </row>
    <row r="28" spans="1:6" s="341" customFormat="1">
      <c r="A28" s="1287" t="s">
        <v>18</v>
      </c>
      <c r="B28" s="1287">
        <v>0</v>
      </c>
    </row>
    <row r="29" spans="1:6">
      <c r="A29" s="1287" t="s">
        <v>942</v>
      </c>
      <c r="B29" s="1287">
        <v>4</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1033.643892024</v>
      </c>
      <c r="E38" s="335">
        <v>2</v>
      </c>
      <c r="F38" s="335">
        <v>3032.8932112309999</v>
      </c>
    </row>
    <row r="39" spans="1:6">
      <c r="A39" s="1286" t="s">
        <v>30</v>
      </c>
      <c r="B39" s="1286" t="s">
        <v>31</v>
      </c>
      <c r="C39" s="335">
        <v>2557</v>
      </c>
      <c r="D39" s="335">
        <v>57412666.747248702</v>
      </c>
      <c r="E39" s="335">
        <v>3066</v>
      </c>
      <c r="F39" s="335">
        <v>13969410.581319701</v>
      </c>
    </row>
    <row r="40" spans="1:6">
      <c r="A40" s="1286" t="s">
        <v>30</v>
      </c>
      <c r="B40" s="1286" t="s">
        <v>29</v>
      </c>
      <c r="C40" s="335">
        <v>0</v>
      </c>
      <c r="D40" s="335">
        <v>0</v>
      </c>
      <c r="E40" s="335">
        <v>0</v>
      </c>
      <c r="F40" s="335">
        <v>0</v>
      </c>
    </row>
    <row r="41" spans="1:6">
      <c r="A41" s="1286" t="s">
        <v>32</v>
      </c>
      <c r="B41" s="1286" t="s">
        <v>33</v>
      </c>
      <c r="C41" s="335">
        <v>11</v>
      </c>
      <c r="D41" s="335">
        <v>352768.626754353</v>
      </c>
      <c r="E41" s="335">
        <v>43</v>
      </c>
      <c r="F41" s="335">
        <v>204698.338439065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504521.95742820401</v>
      </c>
      <c r="E48" s="335">
        <v>22</v>
      </c>
      <c r="F48" s="335">
        <v>211688.31892982201</v>
      </c>
    </row>
    <row r="49" spans="1:6">
      <c r="A49" s="1286" t="s">
        <v>32</v>
      </c>
      <c r="B49" s="1286" t="s">
        <v>40</v>
      </c>
      <c r="C49" s="335">
        <v>0</v>
      </c>
      <c r="D49" s="335">
        <v>0</v>
      </c>
      <c r="E49" s="335">
        <v>0</v>
      </c>
      <c r="F49" s="335">
        <v>0</v>
      </c>
    </row>
    <row r="50" spans="1:6">
      <c r="A50" s="1286" t="s">
        <v>32</v>
      </c>
      <c r="B50" s="1286" t="s">
        <v>41</v>
      </c>
      <c r="C50" s="335">
        <v>6</v>
      </c>
      <c r="D50" s="335">
        <v>1065553.4348053201</v>
      </c>
      <c r="E50" s="335">
        <v>7</v>
      </c>
      <c r="F50" s="335">
        <v>661564.13595320995</v>
      </c>
    </row>
    <row r="51" spans="1:6">
      <c r="A51" s="1286" t="s">
        <v>42</v>
      </c>
      <c r="B51" s="1286" t="s">
        <v>43</v>
      </c>
      <c r="C51" s="335">
        <v>0</v>
      </c>
      <c r="D51" s="335">
        <v>0</v>
      </c>
      <c r="E51" s="335">
        <v>8</v>
      </c>
      <c r="F51" s="335">
        <v>260006.39483880601</v>
      </c>
    </row>
    <row r="52" spans="1:6">
      <c r="A52" s="1286" t="s">
        <v>42</v>
      </c>
      <c r="B52" s="1286" t="s">
        <v>29</v>
      </c>
      <c r="C52" s="335">
        <v>3</v>
      </c>
      <c r="D52" s="335">
        <v>76634.023928634604</v>
      </c>
      <c r="E52" s="335">
        <v>5</v>
      </c>
      <c r="F52" s="335">
        <v>65526.668491605102</v>
      </c>
    </row>
    <row r="53" spans="1:6">
      <c r="A53" s="1286" t="s">
        <v>44</v>
      </c>
      <c r="B53" s="1286" t="s">
        <v>45</v>
      </c>
      <c r="C53" s="335">
        <v>59</v>
      </c>
      <c r="D53" s="335">
        <v>1835070.538283</v>
      </c>
      <c r="E53" s="335">
        <v>73</v>
      </c>
      <c r="F53" s="335">
        <v>467310.07266055897</v>
      </c>
    </row>
    <row r="54" spans="1:6">
      <c r="A54" s="1286" t="s">
        <v>46</v>
      </c>
      <c r="B54" s="1286" t="s">
        <v>47</v>
      </c>
      <c r="C54" s="335">
        <v>0</v>
      </c>
      <c r="D54" s="335">
        <v>0</v>
      </c>
      <c r="E54" s="335">
        <v>1</v>
      </c>
      <c r="F54" s="335">
        <v>603948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201746.42560429699</v>
      </c>
      <c r="E57" s="335">
        <v>13</v>
      </c>
      <c r="F57" s="335">
        <v>73037.702955086104</v>
      </c>
    </row>
    <row r="58" spans="1:6">
      <c r="A58" s="1286" t="s">
        <v>49</v>
      </c>
      <c r="B58" s="1286" t="s">
        <v>51</v>
      </c>
      <c r="C58" s="335">
        <v>22</v>
      </c>
      <c r="D58" s="335">
        <v>1446236.5796266501</v>
      </c>
      <c r="E58" s="335">
        <v>23</v>
      </c>
      <c r="F58" s="335">
        <v>302794.37843808701</v>
      </c>
    </row>
    <row r="59" spans="1:6">
      <c r="A59" s="1286" t="s">
        <v>49</v>
      </c>
      <c r="B59" s="1286" t="s">
        <v>52</v>
      </c>
      <c r="C59" s="335">
        <v>21</v>
      </c>
      <c r="D59" s="335">
        <v>569810.55540363002</v>
      </c>
      <c r="E59" s="335">
        <v>44</v>
      </c>
      <c r="F59" s="335">
        <v>1020369.95884297</v>
      </c>
    </row>
    <row r="60" spans="1:6">
      <c r="A60" s="1286" t="s">
        <v>49</v>
      </c>
      <c r="B60" s="1286" t="s">
        <v>53</v>
      </c>
      <c r="C60" s="335">
        <v>11</v>
      </c>
      <c r="D60" s="335">
        <v>616141.39129872306</v>
      </c>
      <c r="E60" s="335">
        <v>12</v>
      </c>
      <c r="F60" s="335">
        <v>279971.16244783101</v>
      </c>
    </row>
    <row r="61" spans="1:6">
      <c r="A61" s="1286" t="s">
        <v>49</v>
      </c>
      <c r="B61" s="1286" t="s">
        <v>54</v>
      </c>
      <c r="C61" s="335">
        <v>109</v>
      </c>
      <c r="D61" s="335">
        <v>5242983.3520295499</v>
      </c>
      <c r="E61" s="335">
        <v>195</v>
      </c>
      <c r="F61" s="335">
        <v>2494961.0951071498</v>
      </c>
    </row>
    <row r="62" spans="1:6">
      <c r="A62" s="1286" t="s">
        <v>49</v>
      </c>
      <c r="B62" s="1286" t="s">
        <v>55</v>
      </c>
      <c r="C62" s="335">
        <v>0</v>
      </c>
      <c r="D62" s="335">
        <v>0</v>
      </c>
      <c r="E62" s="335">
        <v>0</v>
      </c>
      <c r="F62" s="335">
        <v>0</v>
      </c>
    </row>
    <row r="63" spans="1:6">
      <c r="A63" s="1286" t="s">
        <v>49</v>
      </c>
      <c r="B63" s="1286" t="s">
        <v>29</v>
      </c>
      <c r="C63" s="335">
        <v>89</v>
      </c>
      <c r="D63" s="335">
        <v>4267933.3591409205</v>
      </c>
      <c r="E63" s="335">
        <v>92</v>
      </c>
      <c r="F63" s="335">
        <v>2710902.4875262701</v>
      </c>
    </row>
    <row r="64" spans="1:6">
      <c r="A64" s="1286" t="s">
        <v>56</v>
      </c>
      <c r="B64" s="1286" t="s">
        <v>57</v>
      </c>
      <c r="C64" s="335">
        <v>0</v>
      </c>
      <c r="D64" s="335">
        <v>0</v>
      </c>
      <c r="E64" s="335">
        <v>0</v>
      </c>
      <c r="F64" s="335">
        <v>0</v>
      </c>
    </row>
    <row r="65" spans="1:6">
      <c r="A65" s="1286" t="s">
        <v>56</v>
      </c>
      <c r="B65" s="1286" t="s">
        <v>29</v>
      </c>
      <c r="C65" s="335">
        <v>0</v>
      </c>
      <c r="D65" s="335">
        <v>0</v>
      </c>
      <c r="E65" s="335">
        <v>1</v>
      </c>
      <c r="F65" s="335">
        <v>2250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17086971</v>
      </c>
      <c r="E73" s="335">
        <v>12526522.273578998</v>
      </c>
    </row>
    <row r="74" spans="1:6">
      <c r="A74" s="1286" t="s">
        <v>64</v>
      </c>
      <c r="B74" s="1286" t="s">
        <v>772</v>
      </c>
      <c r="C74" s="1297" t="s">
        <v>766</v>
      </c>
      <c r="D74" s="335">
        <v>512045.71094339946</v>
      </c>
      <c r="E74" s="335">
        <v>396840.64119546337</v>
      </c>
    </row>
    <row r="75" spans="1:6">
      <c r="A75" s="1286" t="s">
        <v>65</v>
      </c>
      <c r="B75" s="1286" t="s">
        <v>771</v>
      </c>
      <c r="C75" s="1297" t="s">
        <v>767</v>
      </c>
      <c r="D75" s="335">
        <v>4431591</v>
      </c>
      <c r="E75" s="335">
        <v>3176505.2942970293</v>
      </c>
    </row>
    <row r="76" spans="1:6">
      <c r="A76" s="1286" t="s">
        <v>65</v>
      </c>
      <c r="B76" s="1286" t="s">
        <v>772</v>
      </c>
      <c r="C76" s="1297" t="s">
        <v>768</v>
      </c>
      <c r="D76" s="335">
        <v>6515.5</v>
      </c>
      <c r="E76" s="335">
        <v>5156.2500353388086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267392.57811320102</v>
      </c>
      <c r="C83" s="335">
        <v>251707.72099841459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849.39454985094073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2061</v>
      </c>
    </row>
    <row r="98" spans="1:6">
      <c r="A98" s="1286" t="s">
        <v>72</v>
      </c>
      <c r="B98" s="335">
        <v>1</v>
      </c>
    </row>
    <row r="99" spans="1:6">
      <c r="A99" s="1286" t="s">
        <v>73</v>
      </c>
      <c r="B99" s="335">
        <v>4</v>
      </c>
    </row>
    <row r="100" spans="1:6">
      <c r="A100" s="1286" t="s">
        <v>74</v>
      </c>
      <c r="B100" s="335">
        <v>226</v>
      </c>
    </row>
    <row r="101" spans="1:6">
      <c r="A101" s="1286" t="s">
        <v>75</v>
      </c>
      <c r="B101" s="335">
        <v>12</v>
      </c>
    </row>
    <row r="102" spans="1:6">
      <c r="A102" s="1286" t="s">
        <v>76</v>
      </c>
      <c r="B102" s="335">
        <v>31</v>
      </c>
    </row>
    <row r="103" spans="1:6">
      <c r="A103" s="1286" t="s">
        <v>77</v>
      </c>
      <c r="B103" s="335">
        <v>25</v>
      </c>
    </row>
    <row r="104" spans="1:6">
      <c r="A104" s="1286" t="s">
        <v>78</v>
      </c>
      <c r="B104" s="335">
        <v>568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24219.686596962478</v>
      </c>
      <c r="C3" s="44" t="s">
        <v>170</v>
      </c>
      <c r="D3" s="44"/>
      <c r="E3" s="157"/>
      <c r="F3" s="44"/>
      <c r="G3" s="44"/>
      <c r="H3" s="44"/>
      <c r="I3" s="44"/>
      <c r="J3" s="44"/>
      <c r="K3" s="97"/>
    </row>
    <row r="4" spans="1:11">
      <c r="A4" s="365" t="s">
        <v>171</v>
      </c>
      <c r="B4" s="50">
        <f>IF(ISERROR('SEAP template'!B78),0,'SEAP template'!B78)</f>
        <v>853.36273166912258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10.373294117647058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0.21364152866438901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14.818991596638654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68.025974025974023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0.21784313725490195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603.94799999999998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603.94799999999998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0.21364152866438901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129.02837395380041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13969.4105813197</v>
      </c>
      <c r="C5" s="18">
        <f>IF(ISERROR('Eigen informatie GS &amp; warmtenet'!B57),0,'Eigen informatie GS &amp; warmtenet'!B57)</f>
        <v>0</v>
      </c>
      <c r="D5" s="31">
        <f>(SUM(HH_hh_gas_kWh,HH_rest_gas_kWh)/1000)*0.902</f>
        <v>51786.225406018333</v>
      </c>
      <c r="E5" s="18">
        <f>B46*B57</f>
        <v>170.24508074101786</v>
      </c>
      <c r="F5" s="18">
        <f>B51*B62</f>
        <v>2400.3699296198683</v>
      </c>
      <c r="G5" s="19"/>
      <c r="H5" s="18"/>
      <c r="I5" s="18"/>
      <c r="J5" s="18">
        <f>B50*B61+C50*C61</f>
        <v>0</v>
      </c>
      <c r="K5" s="18"/>
      <c r="L5" s="18"/>
      <c r="M5" s="18"/>
      <c r="N5" s="18">
        <f>B48*B59+C48*C59</f>
        <v>1658.6343717111067</v>
      </c>
      <c r="O5" s="18">
        <f>B69*B70*B71</f>
        <v>48.463333333333338</v>
      </c>
      <c r="P5" s="18">
        <f>B77*B78*B79/1000-B77*B78*B79/1000/B80</f>
        <v>57.2</v>
      </c>
    </row>
    <row r="6" spans="1:16">
      <c r="A6" s="17" t="s">
        <v>639</v>
      </c>
      <c r="B6" s="780">
        <f>kWh_PV_kleiner_dan_10kW</f>
        <v>849.39454985094073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14818.80513117064</v>
      </c>
      <c r="C8" s="22">
        <f>C5</f>
        <v>0</v>
      </c>
      <c r="D8" s="22">
        <f>D5</f>
        <v>51786.225406018333</v>
      </c>
      <c r="E8" s="22">
        <f>E5</f>
        <v>170.24508074101786</v>
      </c>
      <c r="F8" s="22">
        <f>F5</f>
        <v>2400.3699296198683</v>
      </c>
      <c r="G8" s="22"/>
      <c r="H8" s="22"/>
      <c r="I8" s="22"/>
      <c r="J8" s="22">
        <f>J5</f>
        <v>0</v>
      </c>
      <c r="K8" s="22"/>
      <c r="L8" s="22">
        <f>L5</f>
        <v>0</v>
      </c>
      <c r="M8" s="22">
        <f>M5</f>
        <v>0</v>
      </c>
      <c r="N8" s="22">
        <f>N5</f>
        <v>1658.6343717111067</v>
      </c>
      <c r="O8" s="22">
        <f>O5</f>
        <v>48.463333333333338</v>
      </c>
      <c r="P8" s="22">
        <f>P5</f>
        <v>57.2</v>
      </c>
    </row>
    <row r="9" spans="1:16">
      <c r="B9" s="20"/>
      <c r="C9" s="20"/>
      <c r="D9" s="262"/>
      <c r="E9" s="20"/>
      <c r="F9" s="20"/>
      <c r="G9" s="20"/>
      <c r="H9" s="20"/>
      <c r="I9" s="20"/>
      <c r="J9" s="20"/>
      <c r="K9" s="20"/>
      <c r="L9" s="20"/>
      <c r="M9" s="20"/>
      <c r="N9" s="20"/>
      <c r="O9" s="20"/>
      <c r="P9" s="20"/>
    </row>
    <row r="10" spans="1:16">
      <c r="A10" s="25" t="s">
        <v>214</v>
      </c>
      <c r="B10" s="26">
        <f ca="1">'EF ele_warmte'!B12</f>
        <v>0.21364152866438901</v>
      </c>
      <c r="C10" s="26">
        <f ca="1">'EF ele_warmte'!B22</f>
        <v>0.21784313725490195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3165.9121812029875</v>
      </c>
      <c r="C12" s="24">
        <f ca="1">C10*C8</f>
        <v>0</v>
      </c>
      <c r="D12" s="24">
        <f>D8*D10</f>
        <v>10460.817532015704</v>
      </c>
      <c r="E12" s="24">
        <f>E10*E8</f>
        <v>38.645633328211055</v>
      </c>
      <c r="F12" s="24">
        <f>F10*F8</f>
        <v>640.89877120850485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2061</v>
      </c>
      <c r="C18" s="169" t="s">
        <v>111</v>
      </c>
      <c r="D18" s="231"/>
      <c r="E18" s="16"/>
    </row>
    <row r="19" spans="1:7">
      <c r="A19" s="174" t="s">
        <v>72</v>
      </c>
      <c r="B19" s="38">
        <f>aantalw2001_ander</f>
        <v>1</v>
      </c>
      <c r="C19" s="169" t="s">
        <v>111</v>
      </c>
      <c r="D19" s="232"/>
      <c r="E19" s="16"/>
    </row>
    <row r="20" spans="1:7">
      <c r="A20" s="174" t="s">
        <v>73</v>
      </c>
      <c r="B20" s="38">
        <f>aantalw2001_propaan</f>
        <v>4</v>
      </c>
      <c r="C20" s="170">
        <f>IF(ISERROR(B20/SUM($B$20,$B$21,$B$22)*100),0,B20/SUM($B$20,$B$21,$B$22)*100)</f>
        <v>1.6528925619834711</v>
      </c>
      <c r="D20" s="232"/>
      <c r="E20" s="16"/>
    </row>
    <row r="21" spans="1:7">
      <c r="A21" s="174" t="s">
        <v>74</v>
      </c>
      <c r="B21" s="38">
        <f>aantalw2001_elektriciteit</f>
        <v>226</v>
      </c>
      <c r="C21" s="170">
        <f>IF(ISERROR(B21/SUM($B$20,$B$21,$B$22)*100),0,B21/SUM($B$20,$B$21,$B$22)*100)</f>
        <v>93.388429752066116</v>
      </c>
      <c r="D21" s="232"/>
      <c r="E21" s="16"/>
    </row>
    <row r="22" spans="1:7">
      <c r="A22" s="174" t="s">
        <v>75</v>
      </c>
      <c r="B22" s="38">
        <f>aantalw2001_hout</f>
        <v>12</v>
      </c>
      <c r="C22" s="170">
        <f>IF(ISERROR(B22/SUM($B$20,$B$21,$B$22)*100),0,B22/SUM($B$20,$B$21,$B$22)*100)</f>
        <v>4.9586776859504136</v>
      </c>
      <c r="D22" s="232"/>
      <c r="E22" s="16"/>
    </row>
    <row r="23" spans="1:7">
      <c r="A23" s="174" t="s">
        <v>76</v>
      </c>
      <c r="B23" s="38">
        <f>aantalw2001_niet_gespec</f>
        <v>31</v>
      </c>
      <c r="C23" s="169" t="s">
        <v>111</v>
      </c>
      <c r="D23" s="231"/>
      <c r="E23" s="16"/>
    </row>
    <row r="24" spans="1:7">
      <c r="A24" s="174" t="s">
        <v>77</v>
      </c>
      <c r="B24" s="38">
        <f>aantalw2001_steenkool</f>
        <v>25</v>
      </c>
      <c r="C24" s="169" t="s">
        <v>111</v>
      </c>
      <c r="D24" s="232"/>
      <c r="E24" s="16"/>
    </row>
    <row r="25" spans="1:7">
      <c r="A25" s="174" t="s">
        <v>78</v>
      </c>
      <c r="B25" s="38">
        <f>aantalw2001_stookolie</f>
        <v>568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3149</v>
      </c>
      <c r="C28" s="37"/>
      <c r="D28" s="231"/>
    </row>
    <row r="29" spans="1:7" s="16" customFormat="1">
      <c r="A29" s="233" t="s">
        <v>666</v>
      </c>
      <c r="B29" s="38">
        <f>SUM(HH_hh_gas_aantal,HH_rest_gas_aantal)</f>
        <v>2557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2557</v>
      </c>
      <c r="C32" s="170">
        <f>IF(ISERROR(B32/SUM($B$32,$B$34,$B$35,$B$36,$B$38,$B$39)*100),0,B32/SUM($B$32,$B$34,$B$35,$B$36,$B$38,$B$39)*100)</f>
        <v>81.277813095994915</v>
      </c>
      <c r="D32" s="236"/>
      <c r="G32" s="16"/>
    </row>
    <row r="33" spans="1:7">
      <c r="A33" s="174" t="s">
        <v>72</v>
      </c>
      <c r="B33" s="35" t="s">
        <v>111</v>
      </c>
      <c r="C33" s="170"/>
      <c r="D33" s="236"/>
      <c r="G33" s="16"/>
    </row>
    <row r="34" spans="1:7">
      <c r="A34" s="174" t="s">
        <v>73</v>
      </c>
      <c r="B34" s="34">
        <f>IF((($B$28-$B$32-$B$39-$B$77-$B$38)*C20/100)&lt;0,0,($B$28-$B$32-$B$39-$B$77-$B$38)*C20/100)</f>
        <v>7.7256198347107441</v>
      </c>
      <c r="C34" s="170">
        <f>IF(ISERROR(B34/SUM($B$32,$B$34,$B$35,$B$36,$B$38,$B$39)*100),0,B34/SUM($B$32,$B$34,$B$35,$B$36,$B$38,$B$39)*100)</f>
        <v>0.24556960695202618</v>
      </c>
      <c r="D34" s="236"/>
      <c r="G34" s="16"/>
    </row>
    <row r="35" spans="1:7">
      <c r="A35" s="174" t="s">
        <v>74</v>
      </c>
      <c r="B35" s="34">
        <f>IF((($B$28-$B$32-$B$39-$B$77-$B$38)*C21/100)&lt;0,0,($B$28-$B$32-$B$39-$B$77-$B$38)*C21/100)</f>
        <v>436.49752066115701</v>
      </c>
      <c r="C35" s="170">
        <f>IF(ISERROR(B35/SUM($B$32,$B$34,$B$35,$B$36,$B$38,$B$39)*100),0,B35/SUM($B$32,$B$34,$B$35,$B$36,$B$38,$B$39)*100)</f>
        <v>13.874682792789478</v>
      </c>
      <c r="D35" s="236"/>
      <c r="G35" s="16"/>
    </row>
    <row r="36" spans="1:7">
      <c r="A36" s="174" t="s">
        <v>75</v>
      </c>
      <c r="B36" s="34">
        <f>IF((($B$28-$B$32-$B$39-$B$77-$B$38)*C22/100)&lt;0,0,($B$28-$B$32-$B$39-$B$77-$B$38)*C22/100)</f>
        <v>23.176859504132235</v>
      </c>
      <c r="C36" s="170">
        <f>IF(ISERROR(B36/SUM($B$32,$B$34,$B$35,$B$36,$B$38,$B$39)*100),0,B36/SUM($B$32,$B$34,$B$35,$B$36,$B$38,$B$39)*100)</f>
        <v>0.73670882085607869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121.59999999999997</v>
      </c>
      <c r="C39" s="170">
        <f>IF(ISERROR(B39/SUM($B$32,$B$34,$B$35,$B$36,$B$38,$B$39)*100),0,B39/SUM($B$32,$B$34,$B$35,$B$36,$B$38,$B$39)*100)</f>
        <v>3.8652256834075005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2557</v>
      </c>
      <c r="C44" s="35" t="s">
        <v>111</v>
      </c>
      <c r="D44" s="177"/>
    </row>
    <row r="45" spans="1:7">
      <c r="A45" s="174" t="s">
        <v>72</v>
      </c>
      <c r="B45" s="34" t="str">
        <f t="shared" si="0"/>
        <v>-</v>
      </c>
      <c r="C45" s="35" t="s">
        <v>111</v>
      </c>
      <c r="D45" s="177"/>
    </row>
    <row r="46" spans="1:7">
      <c r="A46" s="174" t="s">
        <v>73</v>
      </c>
      <c r="B46" s="34">
        <f t="shared" si="0"/>
        <v>7.7256198347107441</v>
      </c>
      <c r="C46" s="35" t="s">
        <v>111</v>
      </c>
      <c r="D46" s="177"/>
    </row>
    <row r="47" spans="1:7">
      <c r="A47" s="174" t="s">
        <v>74</v>
      </c>
      <c r="B47" s="34">
        <f t="shared" si="0"/>
        <v>436.49752066115701</v>
      </c>
      <c r="C47" s="35" t="s">
        <v>111</v>
      </c>
      <c r="D47" s="177"/>
    </row>
    <row r="48" spans="1:7">
      <c r="A48" s="174" t="s">
        <v>75</v>
      </c>
      <c r="B48" s="34">
        <f t="shared" si="0"/>
        <v>23.176859504132235</v>
      </c>
      <c r="C48" s="34">
        <f>B48*10</f>
        <v>231.76859504132236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121.59999999999997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6882.0367853173948</v>
      </c>
      <c r="C5" s="18">
        <f>IF(ISERROR('Eigen informatie GS &amp; warmtenet'!B58),0,'Eigen informatie GS &amp; warmtenet'!B58)</f>
        <v>0</v>
      </c>
      <c r="D5" s="31">
        <f>SUM(D6:D12)</f>
        <v>11135.056200119601</v>
      </c>
      <c r="E5" s="18">
        <f>SUM(E6:E12)</f>
        <v>48.43874700966478</v>
      </c>
      <c r="F5" s="18">
        <f>SUM(F6:F12)</f>
        <v>1232.4622868550707</v>
      </c>
      <c r="G5" s="19"/>
      <c r="H5" s="18"/>
      <c r="I5" s="18"/>
      <c r="J5" s="18">
        <f>SUM(J6:J12)</f>
        <v>0</v>
      </c>
      <c r="K5" s="18"/>
      <c r="L5" s="18"/>
      <c r="M5" s="18"/>
      <c r="N5" s="18">
        <f>SUM(N6:N12)</f>
        <v>228.65365206736973</v>
      </c>
      <c r="O5" s="18">
        <f>B38*B39*B40</f>
        <v>0</v>
      </c>
      <c r="P5" s="18">
        <f>B46*B47*B48/1000-B46*B47*B48/1000/B49</f>
        <v>0</v>
      </c>
      <c r="R5" s="33"/>
    </row>
    <row r="6" spans="1:18">
      <c r="A6" s="33" t="s">
        <v>54</v>
      </c>
      <c r="B6" s="38">
        <f>B26</f>
        <v>2494.96109510715</v>
      </c>
      <c r="C6" s="34"/>
      <c r="D6" s="38">
        <f>IF(ISERROR(TER_kantoor_gas_kWh/1000),0,TER_kantoor_gas_kWh/1000)*0.902</f>
        <v>4729.1709835306538</v>
      </c>
      <c r="E6" s="34">
        <f>$C$26*'E Balans VL '!I12/100/3.6*1000000</f>
        <v>4.0947368254289538</v>
      </c>
      <c r="F6" s="34">
        <f>$C$26*('E Balans VL '!L12+'E Balans VL '!N12)/100/3.6*1000000</f>
        <v>294.0972098664181</v>
      </c>
      <c r="G6" s="35"/>
      <c r="H6" s="34"/>
      <c r="I6" s="34"/>
      <c r="J6" s="34">
        <f>$C$26*('E Balans VL '!D12+'E Balans VL '!E12)/100/3.6*1000000</f>
        <v>0</v>
      </c>
      <c r="K6" s="34"/>
      <c r="L6" s="34"/>
      <c r="M6" s="34"/>
      <c r="N6" s="34">
        <f>$C$26*'E Balans VL '!Y12/100/3.6*1000000</f>
        <v>0.50409507465838299</v>
      </c>
      <c r="O6" s="34"/>
      <c r="P6" s="34"/>
      <c r="R6" s="33"/>
    </row>
    <row r="7" spans="1:18">
      <c r="A7" s="33" t="s">
        <v>53</v>
      </c>
      <c r="B7" s="38">
        <f t="shared" ref="B7:B12" si="0">B27</f>
        <v>279.97116244783103</v>
      </c>
      <c r="C7" s="34"/>
      <c r="D7" s="38">
        <f>IF(ISERROR(TER_horeca_gas_kWh/1000),0,TER_horeca_gas_kWh/1000)*0.902</f>
        <v>555.75953495144825</v>
      </c>
      <c r="E7" s="34">
        <f>$C$27*'E Balans VL '!I9/100/3.6*1000000</f>
        <v>14.528477416357997</v>
      </c>
      <c r="F7" s="34">
        <f>$C$27*('E Balans VL '!L9+'E Balans VL '!N9)/100/3.6*1000000</f>
        <v>63.889622418677348</v>
      </c>
      <c r="G7" s="35"/>
      <c r="H7" s="34"/>
      <c r="I7" s="34"/>
      <c r="J7" s="34">
        <f>$C$27*('E Balans VL '!D9+'E Balans VL '!E9)/100/3.6*1000000</f>
        <v>0</v>
      </c>
      <c r="K7" s="34"/>
      <c r="L7" s="34"/>
      <c r="M7" s="34"/>
      <c r="N7" s="34">
        <f>$C$27*'E Balans VL '!Y9/100/3.6*1000000</f>
        <v>2.9564826452108263E-2</v>
      </c>
      <c r="O7" s="34"/>
      <c r="P7" s="34"/>
      <c r="R7" s="33"/>
    </row>
    <row r="8" spans="1:18">
      <c r="A8" s="6" t="s">
        <v>52</v>
      </c>
      <c r="B8" s="38">
        <f t="shared" si="0"/>
        <v>1020.3699588429699</v>
      </c>
      <c r="C8" s="34"/>
      <c r="D8" s="38">
        <f>IF(ISERROR(TER_handel_gas_kWh/1000),0,TER_handel_gas_kWh/1000)*0.902</f>
        <v>513.96912097407426</v>
      </c>
      <c r="E8" s="34">
        <f>$C$28*'E Balans VL '!I13/100/3.6*1000000</f>
        <v>5.4948176151720824</v>
      </c>
      <c r="F8" s="34">
        <f>$C$28*('E Balans VL '!L13+'E Balans VL '!N13)/100/3.6*1000000</f>
        <v>208.08375727219422</v>
      </c>
      <c r="G8" s="35"/>
      <c r="H8" s="34"/>
      <c r="I8" s="34"/>
      <c r="J8" s="34">
        <f>$C$28*('E Balans VL '!D13+'E Balans VL '!E13)/100/3.6*1000000</f>
        <v>0</v>
      </c>
      <c r="K8" s="34"/>
      <c r="L8" s="34"/>
      <c r="M8" s="34"/>
      <c r="N8" s="34">
        <f>$C$28*'E Balans VL '!Y13/100/3.6*1000000</f>
        <v>5.0737609633889589</v>
      </c>
      <c r="O8" s="34"/>
      <c r="P8" s="34"/>
      <c r="R8" s="33"/>
    </row>
    <row r="9" spans="1:18">
      <c r="A9" s="33" t="s">
        <v>51</v>
      </c>
      <c r="B9" s="38">
        <f t="shared" si="0"/>
        <v>302.79437843808699</v>
      </c>
      <c r="C9" s="34"/>
      <c r="D9" s="38">
        <f>IF(ISERROR(TER_gezond_gas_kWh/1000),0,TER_gezond_gas_kWh/1000)*0.902</f>
        <v>1304.5053948232385</v>
      </c>
      <c r="E9" s="34">
        <f>$C$29*'E Balans VL '!I10/100/3.6*1000000</f>
        <v>0.30007267239556507</v>
      </c>
      <c r="F9" s="34">
        <f>$C$29*('E Balans VL '!L10+'E Balans VL '!N10)/100/3.6*1000000</f>
        <v>105.06092160489081</v>
      </c>
      <c r="G9" s="35"/>
      <c r="H9" s="34"/>
      <c r="I9" s="34"/>
      <c r="J9" s="34">
        <f>$C$29*('E Balans VL '!D10+'E Balans VL '!E10)/100/3.6*1000000</f>
        <v>0</v>
      </c>
      <c r="K9" s="34"/>
      <c r="L9" s="34"/>
      <c r="M9" s="34"/>
      <c r="N9" s="34">
        <f>$C$29*'E Balans VL '!Y10/100/3.6*1000000</f>
        <v>2.6091529280497507</v>
      </c>
      <c r="O9" s="34"/>
      <c r="P9" s="34"/>
      <c r="R9" s="33"/>
    </row>
    <row r="10" spans="1:18">
      <c r="A10" s="33" t="s">
        <v>50</v>
      </c>
      <c r="B10" s="38">
        <f t="shared" si="0"/>
        <v>73.037702955086104</v>
      </c>
      <c r="C10" s="34"/>
      <c r="D10" s="38">
        <f>IF(ISERROR(TER_ander_gas_kWh/1000),0,TER_ander_gas_kWh/1000)*0.902</f>
        <v>181.9752758950759</v>
      </c>
      <c r="E10" s="34">
        <f>$C$30*'E Balans VL '!I14/100/3.6*1000000</f>
        <v>0.59752140615809168</v>
      </c>
      <c r="F10" s="34">
        <f>$C$30*('E Balans VL '!L14+'E Balans VL '!N14)/100/3.6*1000000</f>
        <v>21.35325085602841</v>
      </c>
      <c r="G10" s="35"/>
      <c r="H10" s="34"/>
      <c r="I10" s="34"/>
      <c r="J10" s="34">
        <f>$C$30*('E Balans VL '!D14+'E Balans VL '!E14)/100/3.6*1000000</f>
        <v>0</v>
      </c>
      <c r="K10" s="34"/>
      <c r="L10" s="34"/>
      <c r="M10" s="34"/>
      <c r="N10" s="34">
        <f>$C$30*'E Balans VL '!Y14/100/3.6*1000000</f>
        <v>42.133171248716742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2710.9024875262703</v>
      </c>
      <c r="C12" s="34"/>
      <c r="D12" s="38">
        <f>IF(ISERROR(TER_rest_gas_kWh/1000),0,TER_rest_gas_kWh/1000)*0.902</f>
        <v>3849.6758899451102</v>
      </c>
      <c r="E12" s="34">
        <f>$C$32*'E Balans VL '!I8/100/3.6*1000000</f>
        <v>23.423121074152093</v>
      </c>
      <c r="F12" s="34">
        <f>$C$32*('E Balans VL '!L8+'E Balans VL '!N8)/100/3.6*1000000</f>
        <v>539.9775248368619</v>
      </c>
      <c r="G12" s="35"/>
      <c r="H12" s="34"/>
      <c r="I12" s="34"/>
      <c r="J12" s="34">
        <f>$C$32*('E Balans VL '!D8+'E Balans VL '!E8)/100/3.6*1000000</f>
        <v>0</v>
      </c>
      <c r="K12" s="34"/>
      <c r="L12" s="34"/>
      <c r="M12" s="34"/>
      <c r="N12" s="34">
        <f>$C$32*'E Balans VL '!Y8/100/3.6*1000000</f>
        <v>178.30390702610379</v>
      </c>
      <c r="O12" s="34"/>
      <c r="P12" s="34"/>
      <c r="R12" s="33"/>
    </row>
    <row r="13" spans="1:18">
      <c r="A13" s="17" t="s">
        <v>502</v>
      </c>
      <c r="B13" s="250">
        <f ca="1">'lokale energieproductie'!N91+'lokale energieproductie'!N60</f>
        <v>43.649999999999991</v>
      </c>
      <c r="C13" s="250">
        <f ca="1">'lokale energieproductie'!O91+'lokale energieproductie'!O60</f>
        <v>62.357142857142847</v>
      </c>
      <c r="D13" s="312">
        <f ca="1">('lokale energieproductie'!P60+'lokale energieproductie'!P91)*(-1)</f>
        <v>-124.71428571428569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6925.6867853173944</v>
      </c>
      <c r="C16" s="22">
        <f t="shared" ca="1" si="1"/>
        <v>62.357142857142847</v>
      </c>
      <c r="D16" s="22">
        <f t="shared" ca="1" si="1"/>
        <v>11010.341914405315</v>
      </c>
      <c r="E16" s="22">
        <f t="shared" si="1"/>
        <v>48.43874700966478</v>
      </c>
      <c r="F16" s="22">
        <f t="shared" ca="1" si="1"/>
        <v>1232.4622868550707</v>
      </c>
      <c r="G16" s="22">
        <f t="shared" si="1"/>
        <v>0</v>
      </c>
      <c r="H16" s="22">
        <f t="shared" si="1"/>
        <v>0</v>
      </c>
      <c r="I16" s="22">
        <f t="shared" si="1"/>
        <v>0</v>
      </c>
      <c r="J16" s="22">
        <f t="shared" si="1"/>
        <v>0</v>
      </c>
      <c r="K16" s="22">
        <f t="shared" si="1"/>
        <v>0</v>
      </c>
      <c r="L16" s="22">
        <f t="shared" ca="1" si="1"/>
        <v>0</v>
      </c>
      <c r="M16" s="22">
        <f t="shared" si="1"/>
        <v>0</v>
      </c>
      <c r="N16" s="22">
        <f t="shared" ca="1" si="1"/>
        <v>228.65365206736973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0.21364152866438901</v>
      </c>
      <c r="C18" s="26">
        <f ca="1">'EF ele_warmte'!B22</f>
        <v>0.21784313725490195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1479.6143118659663</v>
      </c>
      <c r="C20" s="24">
        <f t="shared" ref="C20:P20" ca="1" si="2">C16*C18</f>
        <v>13.584075630252098</v>
      </c>
      <c r="D20" s="24">
        <f t="shared" ca="1" si="2"/>
        <v>2224.0890667098738</v>
      </c>
      <c r="E20" s="24">
        <f t="shared" si="2"/>
        <v>10.995595571193906</v>
      </c>
      <c r="F20" s="24">
        <f t="shared" ca="1" si="2"/>
        <v>329.0674305903039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2494.96109510715</v>
      </c>
      <c r="C26" s="40">
        <f>IF(ISERROR(B26*3.6/1000000/'E Balans VL '!Z12*100),0,B26*3.6/1000000/'E Balans VL '!Z12*100)</f>
        <v>5.3016134056972801E-2</v>
      </c>
      <c r="D26" s="240" t="s">
        <v>707</v>
      </c>
      <c r="F26" s="6"/>
    </row>
    <row r="27" spans="1:18">
      <c r="A27" s="234" t="s">
        <v>53</v>
      </c>
      <c r="B27" s="34">
        <f>IF(ISERROR(TER_horeca_ele_kWh/1000),0,TER_horeca_ele_kWh/1000)</f>
        <v>279.97116244783103</v>
      </c>
      <c r="C27" s="40">
        <f>IF(ISERROR(B27*3.6/1000000/'E Balans VL '!Z9*100),0,B27*3.6/1000000/'E Balans VL '!Z9*100)</f>
        <v>2.2035895492254608E-2</v>
      </c>
      <c r="D27" s="240" t="s">
        <v>707</v>
      </c>
      <c r="F27" s="6"/>
    </row>
    <row r="28" spans="1:18">
      <c r="A28" s="174" t="s">
        <v>52</v>
      </c>
      <c r="B28" s="34">
        <f>IF(ISERROR(TER_handel_ele_kWh/1000),0,TER_handel_ele_kWh/1000)</f>
        <v>1020.3699588429699</v>
      </c>
      <c r="C28" s="40">
        <f>IF(ISERROR(B28*3.6/1000000/'E Balans VL '!Z13*100),0,B28*3.6/1000000/'E Balans VL '!Z13*100)</f>
        <v>2.8581108627634466E-2</v>
      </c>
      <c r="D28" s="240" t="s">
        <v>707</v>
      </c>
      <c r="F28" s="6"/>
    </row>
    <row r="29" spans="1:18">
      <c r="A29" s="234" t="s">
        <v>51</v>
      </c>
      <c r="B29" s="34">
        <f>IF(ISERROR(TER_gezond_ele_kWh/1000),0,TER_gezond_ele_kWh/1000)</f>
        <v>302.79437843808699</v>
      </c>
      <c r="C29" s="40">
        <f>IF(ISERROR(B29*3.6/1000000/'E Balans VL '!Z10*100),0,B29*3.6/1000000/'E Balans VL '!Z10*100)</f>
        <v>3.8736557135477599E-2</v>
      </c>
      <c r="D29" s="240" t="s">
        <v>707</v>
      </c>
      <c r="F29" s="6"/>
    </row>
    <row r="30" spans="1:18">
      <c r="A30" s="234" t="s">
        <v>50</v>
      </c>
      <c r="B30" s="34">
        <f>IF(ISERROR(TER_ander_ele_kWh/1000),0,TER_ander_ele_kWh/1000)</f>
        <v>73.037702955086104</v>
      </c>
      <c r="C30" s="40">
        <f>IF(ISERROR(B30*3.6/1000000/'E Balans VL '!Z14*100),0,B30*3.6/1000000/'E Balans VL '!Z14*100)</f>
        <v>5.4626047546045171E-3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2710.9024875262703</v>
      </c>
      <c r="C32" s="40">
        <f>IF(ISERROR(B32*3.6/1000000/'E Balans VL '!Z8*100),0,B32*3.6/1000000/'E Balans VL '!Z8*100)</f>
        <v>2.2332230528272819E-2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1077.9507933220971</v>
      </c>
      <c r="C5" s="18">
        <f>IF(ISERROR('Eigen informatie GS &amp; warmtenet'!B59),0,'Eigen informatie GS &amp; warmtenet'!B59)</f>
        <v>0</v>
      </c>
      <c r="D5" s="31">
        <f>SUM(D6:D15)</f>
        <v>1734.4053051270653</v>
      </c>
      <c r="E5" s="18">
        <f>SUM(E6:E15)</f>
        <v>9.590259004849484</v>
      </c>
      <c r="F5" s="18">
        <f>SUM(F6:F15)</f>
        <v>278.00847373199537</v>
      </c>
      <c r="G5" s="19"/>
      <c r="H5" s="18"/>
      <c r="I5" s="18"/>
      <c r="J5" s="18">
        <f>SUM(J6:J15)</f>
        <v>1.0865016666011098</v>
      </c>
      <c r="K5" s="18"/>
      <c r="L5" s="18"/>
      <c r="M5" s="18"/>
      <c r="N5" s="18">
        <f>SUM(N6:N15)</f>
        <v>31.803479296562614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204.698338439065</v>
      </c>
      <c r="C9" s="34"/>
      <c r="D9" s="38">
        <f>IF( ISERROR(IND_andere_gas_kWh/1000),0,IND_andere_gas_kWh/1000)*0.902</f>
        <v>318.19730133242643</v>
      </c>
      <c r="E9" s="34">
        <f>C31*'E Balans VL '!I19/100/3.6*1000000</f>
        <v>1.1831869858143154</v>
      </c>
      <c r="F9" s="34">
        <f>C31*'E Balans VL '!L19/100/3.6*1000000+C31*'E Balans VL '!N19/100/3.6*1000000</f>
        <v>162.84737792255515</v>
      </c>
      <c r="G9" s="35"/>
      <c r="H9" s="34"/>
      <c r="I9" s="34"/>
      <c r="J9" s="41">
        <f>C31*'E Balans VL '!D19/100/3.6*1000000+C31*'E Balans VL '!E19/100/3.6*1000000</f>
        <v>1.9362189091592687E-2</v>
      </c>
      <c r="K9" s="34"/>
      <c r="L9" s="34"/>
      <c r="M9" s="34"/>
      <c r="N9" s="34">
        <f>C31*'E Balans VL '!Y19/100/3.6*1000000</f>
        <v>15.508996899608434</v>
      </c>
      <c r="O9" s="34"/>
      <c r="P9" s="34"/>
      <c r="R9" s="33"/>
    </row>
    <row r="10" spans="1:18">
      <c r="A10" s="6" t="s">
        <v>41</v>
      </c>
      <c r="B10" s="38">
        <f t="shared" si="0"/>
        <v>661.56413595320998</v>
      </c>
      <c r="C10" s="34"/>
      <c r="D10" s="38">
        <f>IF( ISERROR(IND_voed_gas_kWh/1000),0,IND_voed_gas_kWh/1000)*0.902</f>
        <v>961.1291981943989</v>
      </c>
      <c r="E10" s="34">
        <f>C32*'E Balans VL '!I20/100/3.6*1000000</f>
        <v>6.5049062083040932</v>
      </c>
      <c r="F10" s="34">
        <f>C32*'E Balans VL '!L20/100/3.6*1000000+C32*'E Balans VL '!N20/100/3.6*1000000</f>
        <v>73.475332459012805</v>
      </c>
      <c r="G10" s="35"/>
      <c r="H10" s="34"/>
      <c r="I10" s="34"/>
      <c r="J10" s="41">
        <f>C32*'E Balans VL '!D20/100/3.6*1000000+C32*'E Balans VL '!E20/100/3.6*1000000</f>
        <v>2.6075245918376526E-3</v>
      </c>
      <c r="K10" s="34"/>
      <c r="L10" s="34"/>
      <c r="M10" s="34"/>
      <c r="N10" s="34">
        <f>C32*'E Balans VL '!Y20/100/3.6*1000000</f>
        <v>9.7962086905876884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211.688318929822</v>
      </c>
      <c r="C15" s="34"/>
      <c r="D15" s="38">
        <f>IF( ISERROR(IND_rest_gas_kWh/1000),0,IND_rest_gas_kWh/1000)*0.902</f>
        <v>455.07880560024006</v>
      </c>
      <c r="E15" s="34">
        <f>C37*'E Balans VL '!I15/100/3.6*1000000</f>
        <v>1.9021658107310755</v>
      </c>
      <c r="F15" s="34">
        <f>C37*'E Balans VL '!L15/100/3.6*1000000+C37*'E Balans VL '!N15/100/3.6*1000000</f>
        <v>41.685763350427408</v>
      </c>
      <c r="G15" s="35"/>
      <c r="H15" s="34"/>
      <c r="I15" s="34"/>
      <c r="J15" s="41">
        <f>C37*'E Balans VL '!D15/100/3.6*1000000+C37*'E Balans VL '!E15/100/3.6*1000000</f>
        <v>1.0645319529176795</v>
      </c>
      <c r="K15" s="34"/>
      <c r="L15" s="34"/>
      <c r="M15" s="34"/>
      <c r="N15" s="34">
        <f>C37*'E Balans VL '!Y15/100/3.6*1000000</f>
        <v>6.4982737063664882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1077.9507933220971</v>
      </c>
      <c r="C18" s="22">
        <f>C5+C16</f>
        <v>0</v>
      </c>
      <c r="D18" s="22">
        <f>MAX((D5+D16),0)</f>
        <v>1734.4053051270653</v>
      </c>
      <c r="E18" s="22">
        <f>MAX((E5+E16),0)</f>
        <v>9.590259004849484</v>
      </c>
      <c r="F18" s="22">
        <f>MAX((F5+F16),0)</f>
        <v>278.00847373199537</v>
      </c>
      <c r="G18" s="22"/>
      <c r="H18" s="22"/>
      <c r="I18" s="22"/>
      <c r="J18" s="22">
        <f>MAX((J5+J16),0)</f>
        <v>1.0865016666011098</v>
      </c>
      <c r="K18" s="22"/>
      <c r="L18" s="22">
        <f>MAX((L5+L16),0)</f>
        <v>0</v>
      </c>
      <c r="M18" s="22"/>
      <c r="N18" s="22">
        <f>MAX((N5+N16),0)</f>
        <v>31.803479296562614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0.21364152866438901</v>
      </c>
      <c r="C20" s="26">
        <f ca="1">'EF ele_warmte'!B22</f>
        <v>0.21784313725490195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230.29505531032368</v>
      </c>
      <c r="C22" s="24">
        <f ca="1">C18*C20</f>
        <v>0</v>
      </c>
      <c r="D22" s="24">
        <f>D18*D20</f>
        <v>350.34987163566723</v>
      </c>
      <c r="E22" s="24">
        <f>E18*E20</f>
        <v>2.1769887941008328</v>
      </c>
      <c r="F22" s="24">
        <f>F18*F20</f>
        <v>74.228262486442773</v>
      </c>
      <c r="G22" s="24"/>
      <c r="H22" s="24"/>
      <c r="I22" s="24"/>
      <c r="J22" s="24">
        <f>J18*J20</f>
        <v>0.38462158997679285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204.698338439065</v>
      </c>
      <c r="C31" s="40">
        <f>IF(ISERROR(B31*3.6/1000000/'E Balans VL '!Z19*100),0,B31*3.6/1000000/'E Balans VL '!Z19*100)</f>
        <v>9.515888154229853E-3</v>
      </c>
      <c r="D31" s="240" t="s">
        <v>707</v>
      </c>
    </row>
    <row r="32" spans="1:18">
      <c r="A32" s="174" t="s">
        <v>41</v>
      </c>
      <c r="B32" s="38">
        <f>IF( ISERROR(IND_voed_ele_kWh/1000),0,IND_voed_ele_kWh/1000)</f>
        <v>661.56413595320998</v>
      </c>
      <c r="C32" s="40">
        <f>IF(ISERROR(B32*3.6/1000000/'E Balans VL '!Z20*100),0,B32*3.6/1000000/'E Balans VL '!Z20*100)</f>
        <v>2.338495612058962E-2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211.688318929822</v>
      </c>
      <c r="C37" s="40">
        <f>IF(ISERROR(B37*3.6/1000000/'E Balans VL '!Z15*100),0,B37*3.6/1000000/'E Balans VL '!Z15*100)</f>
        <v>1.5985595188537894E-3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325.5330633304111</v>
      </c>
      <c r="C5" s="18">
        <f>'Eigen informatie GS &amp; warmtenet'!B60</f>
        <v>0</v>
      </c>
      <c r="D5" s="31">
        <f>IF(ISERROR(SUM(LB_lb_gas_kWh,LB_rest_gas_kWh)/1000),0,SUM(LB_lb_gas_kWh,LB_rest_gas_kWh)/1000)*0.902</f>
        <v>69.123889583628412</v>
      </c>
      <c r="E5" s="18">
        <f>B17*'E Balans VL '!I25/3.6*1000000/100</f>
        <v>3.0667395708797285</v>
      </c>
      <c r="F5" s="18">
        <f>B17*('E Balans VL '!L25/3.6*1000000+'E Balans VL '!N25/3.6*1000000)/100</f>
        <v>1062.3224205828701</v>
      </c>
      <c r="G5" s="19"/>
      <c r="H5" s="18"/>
      <c r="I5" s="18"/>
      <c r="J5" s="18">
        <f>('E Balans VL '!D25+'E Balans VL '!E25)/3.6*1000000*landbouw!B17/100</f>
        <v>40.270023326487731</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325.5330633304111</v>
      </c>
      <c r="C8" s="22">
        <f>C5+C6</f>
        <v>5.6688311688311686</v>
      </c>
      <c r="D8" s="22">
        <f>MAX((D5+D6),0)</f>
        <v>69.123889583628412</v>
      </c>
      <c r="E8" s="22">
        <f>MAX((E5+E6),0)</f>
        <v>3.0667395708797285</v>
      </c>
      <c r="F8" s="22">
        <f>MAX((F5+F6),0)</f>
        <v>1062.3224205828701</v>
      </c>
      <c r="G8" s="22"/>
      <c r="H8" s="22"/>
      <c r="I8" s="22"/>
      <c r="J8" s="22">
        <f>MAX((J5+J6),0)</f>
        <v>40.270023326487731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0.21364152866438901</v>
      </c>
      <c r="C10" s="32">
        <f ca="1">'EF ele_warmte'!B22</f>
        <v>0.21784313725490195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69.547381280710383</v>
      </c>
      <c r="C12" s="24">
        <f ca="1">C8*C10</f>
        <v>1.2349159663865545</v>
      </c>
      <c r="D12" s="24">
        <f>D8*D10</f>
        <v>13.96302569589294</v>
      </c>
      <c r="E12" s="24">
        <f>E8*E10</f>
        <v>0.69614988258969834</v>
      </c>
      <c r="F12" s="24">
        <f>F8*F10</f>
        <v>283.64008629562636</v>
      </c>
      <c r="G12" s="24"/>
      <c r="H12" s="24"/>
      <c r="I12" s="24"/>
      <c r="J12" s="24">
        <f>J8*J10</f>
        <v>14.255588257576656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4.4071974922873083E-2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80.803038265220209</v>
      </c>
      <c r="C26" s="250">
        <f>B26*'GWP N2O_CH4'!B5</f>
        <v>1696.8638035696245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18.080885811724269</v>
      </c>
      <c r="C27" s="250">
        <f>B27*'GWP N2O_CH4'!B5</f>
        <v>379.69860204620966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0.77471683858189244</v>
      </c>
      <c r="C28" s="250">
        <f>B28*'GWP N2O_CH4'!B4</f>
        <v>240.16221996038666</v>
      </c>
      <c r="D28" s="51"/>
    </row>
    <row r="29" spans="1:4">
      <c r="A29" s="42" t="s">
        <v>277</v>
      </c>
      <c r="B29" s="250">
        <f>B34*'ha_N2O bodem landbouw'!B4</f>
        <v>0.81627399841278914</v>
      </c>
      <c r="C29" s="250">
        <f>B29*'GWP N2O_CH4'!B4</f>
        <v>253.04493950796464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2.2036828304816984E-4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1.6299041809630478E-6</v>
      </c>
      <c r="C5" s="447" t="s">
        <v>211</v>
      </c>
      <c r="D5" s="432">
        <f>SUM(D6:D11)</f>
        <v>4.6312376755640733E-6</v>
      </c>
      <c r="E5" s="432">
        <f>SUM(E6:E11)</f>
        <v>2.6731517160888429E-4</v>
      </c>
      <c r="F5" s="445" t="s">
        <v>211</v>
      </c>
      <c r="G5" s="432">
        <f>SUM(G6:G11)</f>
        <v>4.2848794584001239E-2</v>
      </c>
      <c r="H5" s="432">
        <f>SUM(H6:H11)</f>
        <v>1.0262073704876475E-2</v>
      </c>
      <c r="I5" s="447" t="s">
        <v>211</v>
      </c>
      <c r="J5" s="447" t="s">
        <v>211</v>
      </c>
      <c r="K5" s="447" t="s">
        <v>211</v>
      </c>
      <c r="L5" s="447" t="s">
        <v>211</v>
      </c>
      <c r="M5" s="432">
        <f>SUM(M6:M11)</f>
        <v>2.3774774535806004E-3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1.2942372948942569E-6</v>
      </c>
      <c r="C6" s="433"/>
      <c r="D6" s="433">
        <f>vkm_2011_GW_PW*SUMIFS(TableVerdeelsleutelVkm[CNG],TableVerdeelsleutelVkm[Voertuigtype],"Lichte voertuigen")*SUMIFS(TableECFTransport[EnergieConsumptieFactor (PJ per km)],TableECFTransport[Index],CONCATENATE($A6,"_CNG_CNG"))</f>
        <v>3.1605491488615219E-6</v>
      </c>
      <c r="E6" s="435">
        <f>vkm_2011_GW_PW*SUMIFS(TableVerdeelsleutelVkm[LPG],TableVerdeelsleutelVkm[Voertuigtype],"Lichte voertuigen")*SUMIFS(TableECFTransport[EnergieConsumptieFactor (PJ per km)],TableECFTransport[Index],CONCATENATE($A6,"_LPG_LPG"))</f>
        <v>1.8734102026575611E-4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2.7082348261083362E-2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7.097505417777184E-3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1.5306367938006601E-3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4.7607657119829979E-3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1.920783358131038E-6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2.1209063949824501E-4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3.3566688606879095E-7</v>
      </c>
      <c r="C8" s="433"/>
      <c r="D8" s="435">
        <f>vkm_2011_NGW_PW*SUMIFS(TableVerdeelsleutelVkm[CNG],TableVerdeelsleutelVkm[Voertuigtype],"Lichte voertuigen")*SUMIFS(TableECFTransport[EnergieConsumptieFactor (PJ per km)],TableECFTransport[Index],CONCATENATE($A8,"_CNG_CNG"))</f>
        <v>1.4706885267025512E-6</v>
      </c>
      <c r="E8" s="435">
        <f>vkm_2011_NGW_PW*SUMIFS(TableVerdeelsleutelVkm[LPG],TableVerdeelsleutelVkm[Voertuigtype],"Lichte voertuigen")*SUMIFS(TableECFTransport[EnergieConsumptieFactor (PJ per km)],TableECFTransport[Index],CONCATENATE($A8,"_LPG_LPG"))</f>
        <v>7.9974151343128165E-5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1.0921695847633056E-2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3.1626180005885304E-3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6.3100872545930609E-4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8.3984763301817953E-5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2.9503152629046978E-8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3.7412948223893058E-6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0.45275116137862437</v>
      </c>
      <c r="C14" s="22"/>
      <c r="D14" s="22">
        <f t="shared" ref="D14:M14" si="0">((D5)*10^9/3600)+D12</f>
        <v>1.2864549098789093</v>
      </c>
      <c r="E14" s="22">
        <f t="shared" si="0"/>
        <v>74.254214335801194</v>
      </c>
      <c r="F14" s="22"/>
      <c r="G14" s="22">
        <f t="shared" si="0"/>
        <v>11902.442940000343</v>
      </c>
      <c r="H14" s="22">
        <f t="shared" si="0"/>
        <v>2850.5760291323541</v>
      </c>
      <c r="I14" s="22"/>
      <c r="J14" s="22"/>
      <c r="K14" s="22"/>
      <c r="L14" s="22"/>
      <c r="M14" s="22">
        <f t="shared" si="0"/>
        <v>660.41040377238892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0.21364152866438901</v>
      </c>
      <c r="C16" s="57">
        <f ca="1">'EF ele_warmte'!B22</f>
        <v>0.21784313725490195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9.6726450221506791E-2</v>
      </c>
      <c r="C18" s="24"/>
      <c r="D18" s="24">
        <f t="shared" ref="D18:M18" si="1">D14*D16</f>
        <v>0.2598638917955397</v>
      </c>
      <c r="E18" s="24">
        <f t="shared" si="1"/>
        <v>16.855706654226871</v>
      </c>
      <c r="F18" s="24"/>
      <c r="G18" s="24">
        <f t="shared" si="1"/>
        <v>3177.9522649800915</v>
      </c>
      <c r="H18" s="24">
        <f t="shared" si="1"/>
        <v>709.7934312539561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3.5047862869418611E-3</v>
      </c>
      <c r="H50" s="323">
        <f t="shared" si="2"/>
        <v>0</v>
      </c>
      <c r="I50" s="323">
        <f t="shared" si="2"/>
        <v>0</v>
      </c>
      <c r="J50" s="323">
        <f t="shared" si="2"/>
        <v>0</v>
      </c>
      <c r="K50" s="323">
        <f t="shared" si="2"/>
        <v>0</v>
      </c>
      <c r="L50" s="323">
        <f t="shared" si="2"/>
        <v>0</v>
      </c>
      <c r="M50" s="323">
        <f t="shared" si="2"/>
        <v>1.5390094736623697E-4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3.5047862869418611E-3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1.5390094736623697E-4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973.55174637273922</v>
      </c>
      <c r="H54" s="22">
        <f t="shared" si="3"/>
        <v>0</v>
      </c>
      <c r="I54" s="22">
        <f t="shared" si="3"/>
        <v>0</v>
      </c>
      <c r="J54" s="22">
        <f t="shared" si="3"/>
        <v>0</v>
      </c>
      <c r="K54" s="22">
        <f t="shared" si="3"/>
        <v>0</v>
      </c>
      <c r="L54" s="22">
        <f t="shared" si="3"/>
        <v>0</v>
      </c>
      <c r="M54" s="22">
        <f t="shared" si="3"/>
        <v>42.750263157288046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0.21364152866438901</v>
      </c>
      <c r="C56" s="57">
        <f ca="1">'EF ele_warmte'!B22</f>
        <v>0.21784313725490195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259.9383162815214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7529.6347853173947</v>
      </c>
      <c r="D10" s="688">
        <f ca="1">tertiair!C16</f>
        <v>62.357142857142847</v>
      </c>
      <c r="E10" s="688">
        <f ca="1">tertiair!D16</f>
        <v>11010.341914405315</v>
      </c>
      <c r="F10" s="688">
        <f>tertiair!E16</f>
        <v>48.43874700966478</v>
      </c>
      <c r="G10" s="688">
        <f ca="1">tertiair!F16</f>
        <v>1232.4622868550707</v>
      </c>
      <c r="H10" s="688">
        <f>tertiair!G16</f>
        <v>0</v>
      </c>
      <c r="I10" s="688">
        <f>tertiair!H16</f>
        <v>0</v>
      </c>
      <c r="J10" s="688">
        <f>tertiair!I16</f>
        <v>0</v>
      </c>
      <c r="K10" s="688">
        <f>tertiair!J16</f>
        <v>0</v>
      </c>
      <c r="L10" s="688">
        <f>tertiair!K16</f>
        <v>0</v>
      </c>
      <c r="M10" s="688">
        <f ca="1">tertiair!L16</f>
        <v>0</v>
      </c>
      <c r="N10" s="688">
        <f>tertiair!M16</f>
        <v>0</v>
      </c>
      <c r="O10" s="688">
        <f ca="1">tertiair!N16</f>
        <v>228.65365206736973</v>
      </c>
      <c r="P10" s="688">
        <f>tertiair!O16</f>
        <v>0</v>
      </c>
      <c r="Q10" s="689">
        <f>tertiair!P16</f>
        <v>0</v>
      </c>
      <c r="R10" s="691">
        <f ca="1">SUM(C10:Q10)</f>
        <v>20111.888528511961</v>
      </c>
      <c r="S10" s="68"/>
    </row>
    <row r="11" spans="1:19" s="457" customFormat="1">
      <c r="A11" s="803" t="s">
        <v>225</v>
      </c>
      <c r="B11" s="808"/>
      <c r="C11" s="688">
        <f>huishoudens!B8</f>
        <v>14818.80513117064</v>
      </c>
      <c r="D11" s="688">
        <f>huishoudens!C8</f>
        <v>0</v>
      </c>
      <c r="E11" s="688">
        <f>huishoudens!D8</f>
        <v>51786.225406018333</v>
      </c>
      <c r="F11" s="688">
        <f>huishoudens!E8</f>
        <v>170.24508074101786</v>
      </c>
      <c r="G11" s="688">
        <f>huishoudens!F8</f>
        <v>2400.3699296198683</v>
      </c>
      <c r="H11" s="688">
        <f>huishoudens!G8</f>
        <v>0</v>
      </c>
      <c r="I11" s="688">
        <f>huishoudens!H8</f>
        <v>0</v>
      </c>
      <c r="J11" s="688">
        <f>huishoudens!I8</f>
        <v>0</v>
      </c>
      <c r="K11" s="688">
        <f>huishoudens!J8</f>
        <v>0</v>
      </c>
      <c r="L11" s="688">
        <f>huishoudens!K8</f>
        <v>0</v>
      </c>
      <c r="M11" s="688">
        <f>huishoudens!L8</f>
        <v>0</v>
      </c>
      <c r="N11" s="688">
        <f>huishoudens!M8</f>
        <v>0</v>
      </c>
      <c r="O11" s="688">
        <f>huishoudens!N8</f>
        <v>1658.6343717111067</v>
      </c>
      <c r="P11" s="688">
        <f>huishoudens!O8</f>
        <v>48.463333333333338</v>
      </c>
      <c r="Q11" s="689">
        <f>huishoudens!P8</f>
        <v>57.2</v>
      </c>
      <c r="R11" s="691">
        <f>SUM(C11:Q11)</f>
        <v>70939.943252594283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1077.9507933220971</v>
      </c>
      <c r="D13" s="688">
        <f>industrie!C18</f>
        <v>0</v>
      </c>
      <c r="E13" s="688">
        <f>industrie!D18</f>
        <v>1734.4053051270653</v>
      </c>
      <c r="F13" s="688">
        <f>industrie!E18</f>
        <v>9.590259004849484</v>
      </c>
      <c r="G13" s="688">
        <f>industrie!F18</f>
        <v>278.00847373199537</v>
      </c>
      <c r="H13" s="688">
        <f>industrie!G18</f>
        <v>0</v>
      </c>
      <c r="I13" s="688">
        <f>industrie!H18</f>
        <v>0</v>
      </c>
      <c r="J13" s="688">
        <f>industrie!I18</f>
        <v>0</v>
      </c>
      <c r="K13" s="688">
        <f>industrie!J18</f>
        <v>1.0865016666011098</v>
      </c>
      <c r="L13" s="688">
        <f>industrie!K18</f>
        <v>0</v>
      </c>
      <c r="M13" s="688">
        <f>industrie!L18</f>
        <v>0</v>
      </c>
      <c r="N13" s="688">
        <f>industrie!M18</f>
        <v>0</v>
      </c>
      <c r="O13" s="688">
        <f>industrie!N18</f>
        <v>31.803479296562614</v>
      </c>
      <c r="P13" s="688">
        <f>industrie!O18</f>
        <v>0</v>
      </c>
      <c r="Q13" s="689">
        <f>industrie!P18</f>
        <v>0</v>
      </c>
      <c r="R13" s="691">
        <f>SUM(C13:Q13)</f>
        <v>3132.844812149171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23426.39070981013</v>
      </c>
      <c r="D16" s="721">
        <f t="shared" ref="D16:R16" ca="1" si="0">SUM(D9:D15)</f>
        <v>62.357142857142847</v>
      </c>
      <c r="E16" s="721">
        <f t="shared" ca="1" si="0"/>
        <v>64530.972625550719</v>
      </c>
      <c r="F16" s="721">
        <f t="shared" si="0"/>
        <v>228.27408675553212</v>
      </c>
      <c r="G16" s="721">
        <f t="shared" ca="1" si="0"/>
        <v>3910.8406902069341</v>
      </c>
      <c r="H16" s="721">
        <f t="shared" si="0"/>
        <v>0</v>
      </c>
      <c r="I16" s="721">
        <f t="shared" si="0"/>
        <v>0</v>
      </c>
      <c r="J16" s="721">
        <f t="shared" si="0"/>
        <v>0</v>
      </c>
      <c r="K16" s="721">
        <f t="shared" si="0"/>
        <v>1.0865016666011098</v>
      </c>
      <c r="L16" s="721">
        <f t="shared" si="0"/>
        <v>0</v>
      </c>
      <c r="M16" s="721">
        <f t="shared" ca="1" si="0"/>
        <v>0</v>
      </c>
      <c r="N16" s="721">
        <f t="shared" si="0"/>
        <v>0</v>
      </c>
      <c r="O16" s="721">
        <f t="shared" ca="1" si="0"/>
        <v>1919.0915030750389</v>
      </c>
      <c r="P16" s="721">
        <f t="shared" si="0"/>
        <v>48.463333333333338</v>
      </c>
      <c r="Q16" s="721">
        <f t="shared" si="0"/>
        <v>57.2</v>
      </c>
      <c r="R16" s="721">
        <f t="shared" ca="1" si="0"/>
        <v>94184.676593255412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973.55174637273922</v>
      </c>
      <c r="I19" s="688">
        <f>transport!H54</f>
        <v>0</v>
      </c>
      <c r="J19" s="688">
        <f>transport!I54</f>
        <v>0</v>
      </c>
      <c r="K19" s="688">
        <f>transport!J54</f>
        <v>0</v>
      </c>
      <c r="L19" s="688">
        <f>transport!K54</f>
        <v>0</v>
      </c>
      <c r="M19" s="688">
        <f>transport!L54</f>
        <v>0</v>
      </c>
      <c r="N19" s="688">
        <f>transport!M54</f>
        <v>42.750263157288046</v>
      </c>
      <c r="O19" s="688">
        <f>transport!N54</f>
        <v>0</v>
      </c>
      <c r="P19" s="688">
        <f>transport!O54</f>
        <v>0</v>
      </c>
      <c r="Q19" s="689">
        <f>transport!P54</f>
        <v>0</v>
      </c>
      <c r="R19" s="691">
        <f>SUM(C19:Q19)</f>
        <v>1016.3020095300272</v>
      </c>
      <c r="S19" s="68"/>
    </row>
    <row r="20" spans="1:19" s="457" customFormat="1">
      <c r="A20" s="803" t="s">
        <v>307</v>
      </c>
      <c r="B20" s="808"/>
      <c r="C20" s="688">
        <f>transport!B14</f>
        <v>0.45275116137862437</v>
      </c>
      <c r="D20" s="688">
        <f>transport!C14</f>
        <v>0</v>
      </c>
      <c r="E20" s="688">
        <f>transport!D14</f>
        <v>1.2864549098789093</v>
      </c>
      <c r="F20" s="688">
        <f>transport!E14</f>
        <v>74.254214335801194</v>
      </c>
      <c r="G20" s="688">
        <f>transport!F14</f>
        <v>0</v>
      </c>
      <c r="H20" s="688">
        <f>transport!G14</f>
        <v>11902.442940000343</v>
      </c>
      <c r="I20" s="688">
        <f>transport!H14</f>
        <v>2850.5760291323541</v>
      </c>
      <c r="J20" s="688">
        <f>transport!I14</f>
        <v>0</v>
      </c>
      <c r="K20" s="688">
        <f>transport!J14</f>
        <v>0</v>
      </c>
      <c r="L20" s="688">
        <f>transport!K14</f>
        <v>0</v>
      </c>
      <c r="M20" s="688">
        <f>transport!L14</f>
        <v>0</v>
      </c>
      <c r="N20" s="688">
        <f>transport!M14</f>
        <v>660.41040377238892</v>
      </c>
      <c r="O20" s="688">
        <f>transport!N14</f>
        <v>0</v>
      </c>
      <c r="P20" s="688">
        <f>transport!O14</f>
        <v>0</v>
      </c>
      <c r="Q20" s="689">
        <f>transport!P14</f>
        <v>0</v>
      </c>
      <c r="R20" s="691">
        <f>SUM(C20:Q20)</f>
        <v>15489.422793312144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0.45275116137862437</v>
      </c>
      <c r="D22" s="806">
        <f t="shared" ref="D22:R22" si="1">SUM(D18:D21)</f>
        <v>0</v>
      </c>
      <c r="E22" s="806">
        <f t="shared" si="1"/>
        <v>1.2864549098789093</v>
      </c>
      <c r="F22" s="806">
        <f t="shared" si="1"/>
        <v>74.254214335801194</v>
      </c>
      <c r="G22" s="806">
        <f t="shared" si="1"/>
        <v>0</v>
      </c>
      <c r="H22" s="806">
        <f t="shared" si="1"/>
        <v>12875.994686373082</v>
      </c>
      <c r="I22" s="806">
        <f t="shared" si="1"/>
        <v>2850.5760291323541</v>
      </c>
      <c r="J22" s="806">
        <f t="shared" si="1"/>
        <v>0</v>
      </c>
      <c r="K22" s="806">
        <f t="shared" si="1"/>
        <v>0</v>
      </c>
      <c r="L22" s="806">
        <f t="shared" si="1"/>
        <v>0</v>
      </c>
      <c r="M22" s="806">
        <f t="shared" si="1"/>
        <v>0</v>
      </c>
      <c r="N22" s="806">
        <f t="shared" si="1"/>
        <v>703.16066692967695</v>
      </c>
      <c r="O22" s="806">
        <f t="shared" si="1"/>
        <v>0</v>
      </c>
      <c r="P22" s="806">
        <f t="shared" si="1"/>
        <v>0</v>
      </c>
      <c r="Q22" s="806">
        <f t="shared" si="1"/>
        <v>0</v>
      </c>
      <c r="R22" s="806">
        <f t="shared" si="1"/>
        <v>16505.724802842171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325.5330633304111</v>
      </c>
      <c r="D24" s="688">
        <f>+landbouw!C8</f>
        <v>5.6688311688311686</v>
      </c>
      <c r="E24" s="688">
        <f>+landbouw!D8</f>
        <v>69.123889583628412</v>
      </c>
      <c r="F24" s="688">
        <f>+landbouw!E8</f>
        <v>3.0667395708797285</v>
      </c>
      <c r="G24" s="688">
        <f>+landbouw!F8</f>
        <v>1062.3224205828701</v>
      </c>
      <c r="H24" s="688">
        <f>+landbouw!G8</f>
        <v>0</v>
      </c>
      <c r="I24" s="688">
        <f>+landbouw!H8</f>
        <v>0</v>
      </c>
      <c r="J24" s="688">
        <f>+landbouw!I8</f>
        <v>0</v>
      </c>
      <c r="K24" s="688">
        <f>+landbouw!J8</f>
        <v>40.270023326487731</v>
      </c>
      <c r="L24" s="688">
        <f>+landbouw!K8</f>
        <v>0</v>
      </c>
      <c r="M24" s="688">
        <f>+landbouw!L8</f>
        <v>0</v>
      </c>
      <c r="N24" s="688">
        <f>+landbouw!M8</f>
        <v>0</v>
      </c>
      <c r="O24" s="688">
        <f>+landbouw!N8</f>
        <v>0</v>
      </c>
      <c r="P24" s="688">
        <f>+landbouw!O8</f>
        <v>0</v>
      </c>
      <c r="Q24" s="689">
        <f>+landbouw!P8</f>
        <v>0</v>
      </c>
      <c r="R24" s="691">
        <f>SUM(C24:Q24)</f>
        <v>1505.9849675631083</v>
      </c>
      <c r="S24" s="68"/>
    </row>
    <row r="25" spans="1:19" s="457" customFormat="1" ht="15" thickBot="1">
      <c r="A25" s="825" t="s">
        <v>912</v>
      </c>
      <c r="B25" s="1001"/>
      <c r="C25" s="1002">
        <f>IF(Onbekend_ele_kWh="---",0,Onbekend_ele_kWh)/1000+IF(REST_rest_ele_kWh="---",0,REST_rest_ele_kWh)/1000</f>
        <v>467.310072660559</v>
      </c>
      <c r="D25" s="1002"/>
      <c r="E25" s="1002">
        <f>IF(onbekend_gas_kWh="---",0,onbekend_gas_kWh)/1000+IF(REST_rest_gas_kWh="---",0,REST_rest_gas_kWh)/1000</f>
        <v>1835.0705382829999</v>
      </c>
      <c r="F25" s="1002"/>
      <c r="G25" s="1002"/>
      <c r="H25" s="1002"/>
      <c r="I25" s="1002"/>
      <c r="J25" s="1002"/>
      <c r="K25" s="1002"/>
      <c r="L25" s="1002"/>
      <c r="M25" s="1002"/>
      <c r="N25" s="1002"/>
      <c r="O25" s="1002"/>
      <c r="P25" s="1002"/>
      <c r="Q25" s="1003"/>
      <c r="R25" s="691">
        <f>SUM(C25:Q25)</f>
        <v>2302.3806109435591</v>
      </c>
      <c r="S25" s="68"/>
    </row>
    <row r="26" spans="1:19" s="457" customFormat="1" ht="15.75" thickBot="1">
      <c r="A26" s="694" t="s">
        <v>913</v>
      </c>
      <c r="B26" s="811"/>
      <c r="C26" s="806">
        <f>SUM(C24:C25)</f>
        <v>792.84313599097004</v>
      </c>
      <c r="D26" s="806">
        <f t="shared" ref="D26:R26" si="2">SUM(D24:D25)</f>
        <v>5.6688311688311686</v>
      </c>
      <c r="E26" s="806">
        <f t="shared" si="2"/>
        <v>1904.1944278666283</v>
      </c>
      <c r="F26" s="806">
        <f t="shared" si="2"/>
        <v>3.0667395708797285</v>
      </c>
      <c r="G26" s="806">
        <f t="shared" si="2"/>
        <v>1062.3224205828701</v>
      </c>
      <c r="H26" s="806">
        <f t="shared" si="2"/>
        <v>0</v>
      </c>
      <c r="I26" s="806">
        <f t="shared" si="2"/>
        <v>0</v>
      </c>
      <c r="J26" s="806">
        <f t="shared" si="2"/>
        <v>0</v>
      </c>
      <c r="K26" s="806">
        <f t="shared" si="2"/>
        <v>40.270023326487731</v>
      </c>
      <c r="L26" s="806">
        <f t="shared" si="2"/>
        <v>0</v>
      </c>
      <c r="M26" s="806">
        <f t="shared" si="2"/>
        <v>0</v>
      </c>
      <c r="N26" s="806">
        <f t="shared" si="2"/>
        <v>0</v>
      </c>
      <c r="O26" s="806">
        <f t="shared" si="2"/>
        <v>0</v>
      </c>
      <c r="P26" s="806">
        <f t="shared" si="2"/>
        <v>0</v>
      </c>
      <c r="Q26" s="806">
        <f t="shared" si="2"/>
        <v>0</v>
      </c>
      <c r="R26" s="806">
        <f t="shared" si="2"/>
        <v>3808.3655785066676</v>
      </c>
      <c r="S26" s="68"/>
    </row>
    <row r="27" spans="1:19" s="457" customFormat="1" ht="17.25" thickTop="1" thickBot="1">
      <c r="A27" s="695" t="s">
        <v>116</v>
      </c>
      <c r="B27" s="798"/>
      <c r="C27" s="696">
        <f ca="1">C22+C16+C26</f>
        <v>24219.686596962478</v>
      </c>
      <c r="D27" s="696">
        <f t="shared" ref="D27:R27" ca="1" si="3">D22+D16+D26</f>
        <v>68.025974025974023</v>
      </c>
      <c r="E27" s="696">
        <f t="shared" ca="1" si="3"/>
        <v>66436.453508327235</v>
      </c>
      <c r="F27" s="696">
        <f t="shared" si="3"/>
        <v>305.59504066221308</v>
      </c>
      <c r="G27" s="696">
        <f t="shared" ca="1" si="3"/>
        <v>4973.1631107898047</v>
      </c>
      <c r="H27" s="696">
        <f t="shared" si="3"/>
        <v>12875.994686373082</v>
      </c>
      <c r="I27" s="696">
        <f t="shared" si="3"/>
        <v>2850.5760291323541</v>
      </c>
      <c r="J27" s="696">
        <f t="shared" si="3"/>
        <v>0</v>
      </c>
      <c r="K27" s="696">
        <f t="shared" si="3"/>
        <v>41.35652499308884</v>
      </c>
      <c r="L27" s="696">
        <f t="shared" si="3"/>
        <v>0</v>
      </c>
      <c r="M27" s="696">
        <f t="shared" ca="1" si="3"/>
        <v>0</v>
      </c>
      <c r="N27" s="696">
        <f t="shared" si="3"/>
        <v>703.16066692967695</v>
      </c>
      <c r="O27" s="696">
        <f t="shared" ca="1" si="3"/>
        <v>1919.0915030750389</v>
      </c>
      <c r="P27" s="696">
        <f t="shared" si="3"/>
        <v>48.463333333333338</v>
      </c>
      <c r="Q27" s="696">
        <f t="shared" si="3"/>
        <v>57.2</v>
      </c>
      <c r="R27" s="696">
        <f t="shared" ca="1" si="3"/>
        <v>114498.76697460425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1608.6426858197667</v>
      </c>
      <c r="D40" s="688">
        <f ca="1">tertiair!C20</f>
        <v>13.584075630252098</v>
      </c>
      <c r="E40" s="688">
        <f ca="1">tertiair!D20</f>
        <v>2224.0890667098738</v>
      </c>
      <c r="F40" s="688">
        <f>tertiair!E20</f>
        <v>10.995595571193906</v>
      </c>
      <c r="G40" s="688">
        <f ca="1">tertiair!F20</f>
        <v>329.0674305903039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4186.3788543213905</v>
      </c>
    </row>
    <row r="41" spans="1:18">
      <c r="A41" s="816" t="s">
        <v>225</v>
      </c>
      <c r="B41" s="823"/>
      <c r="C41" s="688">
        <f ca="1">huishoudens!B12</f>
        <v>3165.9121812029875</v>
      </c>
      <c r="D41" s="688">
        <f ca="1">huishoudens!C12</f>
        <v>0</v>
      </c>
      <c r="E41" s="688">
        <f>huishoudens!D12</f>
        <v>10460.817532015704</v>
      </c>
      <c r="F41" s="688">
        <f>huishoudens!E12</f>
        <v>38.645633328211055</v>
      </c>
      <c r="G41" s="688">
        <f>huishoudens!F12</f>
        <v>640.89877120850485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14306.274117755409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230.29505531032368</v>
      </c>
      <c r="D43" s="688">
        <f ca="1">industrie!C22</f>
        <v>0</v>
      </c>
      <c r="E43" s="688">
        <f>industrie!D22</f>
        <v>350.34987163566723</v>
      </c>
      <c r="F43" s="688">
        <f>industrie!E22</f>
        <v>2.1769887941008328</v>
      </c>
      <c r="G43" s="688">
        <f>industrie!F22</f>
        <v>74.228262486442773</v>
      </c>
      <c r="H43" s="688">
        <f>industrie!G22</f>
        <v>0</v>
      </c>
      <c r="I43" s="688">
        <f>industrie!H22</f>
        <v>0</v>
      </c>
      <c r="J43" s="688">
        <f>industrie!I22</f>
        <v>0</v>
      </c>
      <c r="K43" s="688">
        <f>industrie!J22</f>
        <v>0.38462158997679285</v>
      </c>
      <c r="L43" s="688">
        <f>industrie!K22</f>
        <v>0</v>
      </c>
      <c r="M43" s="688">
        <f>industrie!L22</f>
        <v>0</v>
      </c>
      <c r="N43" s="688">
        <f>industrie!M22</f>
        <v>0</v>
      </c>
      <c r="O43" s="688">
        <f>industrie!N22</f>
        <v>0</v>
      </c>
      <c r="P43" s="688">
        <f>industrie!O22</f>
        <v>0</v>
      </c>
      <c r="Q43" s="763">
        <f>industrie!P22</f>
        <v>0</v>
      </c>
      <c r="R43" s="843">
        <f t="shared" ca="1" si="4"/>
        <v>657.43479981651114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5004.8499223330782</v>
      </c>
      <c r="D46" s="721">
        <f t="shared" ref="D46:Q46" ca="1" si="5">SUM(D39:D45)</f>
        <v>13.584075630252098</v>
      </c>
      <c r="E46" s="721">
        <f t="shared" ca="1" si="5"/>
        <v>13035.256470361246</v>
      </c>
      <c r="F46" s="721">
        <f t="shared" si="5"/>
        <v>51.818217693505801</v>
      </c>
      <c r="G46" s="721">
        <f t="shared" ca="1" si="5"/>
        <v>1044.1944642852516</v>
      </c>
      <c r="H46" s="721">
        <f t="shared" si="5"/>
        <v>0</v>
      </c>
      <c r="I46" s="721">
        <f t="shared" si="5"/>
        <v>0</v>
      </c>
      <c r="J46" s="721">
        <f t="shared" si="5"/>
        <v>0</v>
      </c>
      <c r="K46" s="721">
        <f t="shared" si="5"/>
        <v>0.38462158997679285</v>
      </c>
      <c r="L46" s="721">
        <f t="shared" si="5"/>
        <v>0</v>
      </c>
      <c r="M46" s="721">
        <f t="shared" ca="1" si="5"/>
        <v>0</v>
      </c>
      <c r="N46" s="721">
        <f t="shared" si="5"/>
        <v>0</v>
      </c>
      <c r="O46" s="721">
        <f t="shared" ca="1" si="5"/>
        <v>0</v>
      </c>
      <c r="P46" s="721">
        <f t="shared" si="5"/>
        <v>0</v>
      </c>
      <c r="Q46" s="721">
        <f t="shared" si="5"/>
        <v>0</v>
      </c>
      <c r="R46" s="721">
        <f ca="1">SUM(R39:R45)</f>
        <v>19150.087771893312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259.9383162815214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259.9383162815214</v>
      </c>
    </row>
    <row r="50" spans="1:18">
      <c r="A50" s="819" t="s">
        <v>307</v>
      </c>
      <c r="B50" s="829"/>
      <c r="C50" s="1008">
        <f ca="1">transport!B18</f>
        <v>9.6726450221506791E-2</v>
      </c>
      <c r="D50" s="1008">
        <f>transport!C18</f>
        <v>0</v>
      </c>
      <c r="E50" s="1008">
        <f>transport!D18</f>
        <v>0.2598638917955397</v>
      </c>
      <c r="F50" s="1008">
        <f>transport!E18</f>
        <v>16.855706654226871</v>
      </c>
      <c r="G50" s="1008">
        <f>transport!F18</f>
        <v>0</v>
      </c>
      <c r="H50" s="1008">
        <f>transport!G18</f>
        <v>3177.9522649800915</v>
      </c>
      <c r="I50" s="1008">
        <f>transport!H18</f>
        <v>709.7934312539561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3904.9579932302913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9.6726450221506791E-2</v>
      </c>
      <c r="D52" s="721">
        <f t="shared" ref="D52:Q52" ca="1" si="6">SUM(D48:D51)</f>
        <v>0</v>
      </c>
      <c r="E52" s="721">
        <f t="shared" si="6"/>
        <v>0.2598638917955397</v>
      </c>
      <c r="F52" s="721">
        <f t="shared" si="6"/>
        <v>16.855706654226871</v>
      </c>
      <c r="G52" s="721">
        <f t="shared" si="6"/>
        <v>0</v>
      </c>
      <c r="H52" s="721">
        <f t="shared" si="6"/>
        <v>3437.8905812616131</v>
      </c>
      <c r="I52" s="721">
        <f t="shared" si="6"/>
        <v>709.7934312539561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4164.8963095118124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69.547381280710383</v>
      </c>
      <c r="D54" s="1008">
        <f ca="1">+landbouw!C12</f>
        <v>1.2349159663865545</v>
      </c>
      <c r="E54" s="1008">
        <f>+landbouw!D12</f>
        <v>13.96302569589294</v>
      </c>
      <c r="F54" s="1008">
        <f>+landbouw!E12</f>
        <v>0.69614988258969834</v>
      </c>
      <c r="G54" s="1008">
        <f>+landbouw!F12</f>
        <v>283.64008629562636</v>
      </c>
      <c r="H54" s="1008">
        <f>+landbouw!G12</f>
        <v>0</v>
      </c>
      <c r="I54" s="1008">
        <f>+landbouw!H12</f>
        <v>0</v>
      </c>
      <c r="J54" s="1008">
        <f>+landbouw!I12</f>
        <v>0</v>
      </c>
      <c r="K54" s="1008">
        <f>+landbouw!J12</f>
        <v>14.255588257576656</v>
      </c>
      <c r="L54" s="1008">
        <f>+landbouw!K12</f>
        <v>0</v>
      </c>
      <c r="M54" s="1008">
        <f>+landbouw!L12</f>
        <v>0</v>
      </c>
      <c r="N54" s="1008">
        <f>+landbouw!M12</f>
        <v>0</v>
      </c>
      <c r="O54" s="1008">
        <f>+landbouw!N12</f>
        <v>0</v>
      </c>
      <c r="P54" s="1008">
        <f>+landbouw!O12</f>
        <v>0</v>
      </c>
      <c r="Q54" s="1009">
        <f>+landbouw!P12</f>
        <v>0</v>
      </c>
      <c r="R54" s="720">
        <f ca="1">SUM(C54:Q54)</f>
        <v>383.33714737878262</v>
      </c>
    </row>
    <row r="55" spans="1:18" ht="15" thickBot="1">
      <c r="A55" s="819" t="s">
        <v>912</v>
      </c>
      <c r="B55" s="829"/>
      <c r="C55" s="1008">
        <f ca="1">C25*'EF ele_warmte'!B12</f>
        <v>99.836838283468524</v>
      </c>
      <c r="D55" s="1008"/>
      <c r="E55" s="1008">
        <f>E25*EF_CO2_aardgas</f>
        <v>370.68424873316599</v>
      </c>
      <c r="F55" s="1008"/>
      <c r="G55" s="1008"/>
      <c r="H55" s="1008"/>
      <c r="I55" s="1008"/>
      <c r="J55" s="1008"/>
      <c r="K55" s="1008"/>
      <c r="L55" s="1008"/>
      <c r="M55" s="1008"/>
      <c r="N55" s="1008"/>
      <c r="O55" s="1008"/>
      <c r="P55" s="1008"/>
      <c r="Q55" s="1009"/>
      <c r="R55" s="720">
        <f ca="1">SUM(C55:Q55)</f>
        <v>470.52108701663451</v>
      </c>
    </row>
    <row r="56" spans="1:18" ht="15.75" thickBot="1">
      <c r="A56" s="817" t="s">
        <v>913</v>
      </c>
      <c r="B56" s="830"/>
      <c r="C56" s="721">
        <f ca="1">SUM(C54:C55)</f>
        <v>169.38421956417892</v>
      </c>
      <c r="D56" s="721">
        <f t="shared" ref="D56:Q56" ca="1" si="7">SUM(D54:D55)</f>
        <v>1.2349159663865545</v>
      </c>
      <c r="E56" s="721">
        <f t="shared" si="7"/>
        <v>384.64727442905894</v>
      </c>
      <c r="F56" s="721">
        <f t="shared" si="7"/>
        <v>0.69614988258969834</v>
      </c>
      <c r="G56" s="721">
        <f t="shared" si="7"/>
        <v>283.64008629562636</v>
      </c>
      <c r="H56" s="721">
        <f t="shared" si="7"/>
        <v>0</v>
      </c>
      <c r="I56" s="721">
        <f t="shared" si="7"/>
        <v>0</v>
      </c>
      <c r="J56" s="721">
        <f t="shared" si="7"/>
        <v>0</v>
      </c>
      <c r="K56" s="721">
        <f t="shared" si="7"/>
        <v>14.255588257576656</v>
      </c>
      <c r="L56" s="721">
        <f t="shared" si="7"/>
        <v>0</v>
      </c>
      <c r="M56" s="721">
        <f t="shared" si="7"/>
        <v>0</v>
      </c>
      <c r="N56" s="721">
        <f t="shared" si="7"/>
        <v>0</v>
      </c>
      <c r="O56" s="721">
        <f t="shared" si="7"/>
        <v>0</v>
      </c>
      <c r="P56" s="721">
        <f t="shared" si="7"/>
        <v>0</v>
      </c>
      <c r="Q56" s="722">
        <f t="shared" si="7"/>
        <v>0</v>
      </c>
      <c r="R56" s="723">
        <f ca="1">SUM(R54:R55)</f>
        <v>853.85823439541718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5174.3308683474788</v>
      </c>
      <c r="D61" s="729">
        <f t="shared" ref="D61:Q61" ca="1" si="8">D46+D52+D56</f>
        <v>14.818991596638652</v>
      </c>
      <c r="E61" s="729">
        <f t="shared" ca="1" si="8"/>
        <v>13420.1636086821</v>
      </c>
      <c r="F61" s="729">
        <f t="shared" si="8"/>
        <v>69.370074230322373</v>
      </c>
      <c r="G61" s="729">
        <f t="shared" ca="1" si="8"/>
        <v>1327.8345505808779</v>
      </c>
      <c r="H61" s="729">
        <f t="shared" si="8"/>
        <v>3437.8905812616131</v>
      </c>
      <c r="I61" s="729">
        <f t="shared" si="8"/>
        <v>709.7934312539561</v>
      </c>
      <c r="J61" s="729">
        <f t="shared" si="8"/>
        <v>0</v>
      </c>
      <c r="K61" s="729">
        <f t="shared" si="8"/>
        <v>14.64020984755345</v>
      </c>
      <c r="L61" s="729">
        <f t="shared" si="8"/>
        <v>0</v>
      </c>
      <c r="M61" s="729">
        <f t="shared" ca="1" si="8"/>
        <v>0</v>
      </c>
      <c r="N61" s="729">
        <f t="shared" si="8"/>
        <v>0</v>
      </c>
      <c r="O61" s="729">
        <f t="shared" ca="1" si="8"/>
        <v>0</v>
      </c>
      <c r="P61" s="729">
        <f t="shared" si="8"/>
        <v>0</v>
      </c>
      <c r="Q61" s="729">
        <f t="shared" si="8"/>
        <v>0</v>
      </c>
      <c r="R61" s="729">
        <f ca="1">R46+R52+R56</f>
        <v>24168.842315800543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0.21364152866438907</v>
      </c>
      <c r="D63" s="773">
        <f t="shared" ca="1" si="9"/>
        <v>0.21784313725490193</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849.39454985094073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3.9681818181818174</v>
      </c>
      <c r="C76" s="739">
        <f>'lokale energieproductie'!B8*IFERROR(SUM(D76:H76)/SUM(D76:O76),0)</f>
        <v>43.649999999999991</v>
      </c>
      <c r="D76" s="1020">
        <f>'lokale energieproductie'!C8</f>
        <v>51.35294117647058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4.6684491978609621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10.373294117647058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853.36273166912258</v>
      </c>
      <c r="C78" s="744">
        <f>SUM(C72:C77)</f>
        <v>43.649999999999991</v>
      </c>
      <c r="D78" s="745">
        <f t="shared" ref="D78:H78" si="10">SUM(D76:D77)</f>
        <v>51.35294117647058</v>
      </c>
      <c r="E78" s="745">
        <f t="shared" si="10"/>
        <v>0</v>
      </c>
      <c r="F78" s="745">
        <f t="shared" si="10"/>
        <v>0</v>
      </c>
      <c r="G78" s="745">
        <f t="shared" si="10"/>
        <v>0</v>
      </c>
      <c r="H78" s="745">
        <f t="shared" si="10"/>
        <v>0</v>
      </c>
      <c r="I78" s="745">
        <f>SUM(I76:I77)</f>
        <v>0</v>
      </c>
      <c r="J78" s="745">
        <f>SUM(J76:J77)</f>
        <v>4.6684491978609621</v>
      </c>
      <c r="K78" s="745">
        <f t="shared" ref="K78:L78" si="11">SUM(K76:K77)</f>
        <v>0</v>
      </c>
      <c r="L78" s="745">
        <f t="shared" si="11"/>
        <v>0</v>
      </c>
      <c r="M78" s="745">
        <f>SUM(M76:M77)</f>
        <v>0</v>
      </c>
      <c r="N78" s="745">
        <f>SUM(N76:N77)</f>
        <v>0</v>
      </c>
      <c r="O78" s="854">
        <f>SUM(O76:O77)</f>
        <v>0</v>
      </c>
      <c r="P78" s="746">
        <v>0</v>
      </c>
      <c r="Q78" s="746">
        <f>SUM(Q76:Q77)</f>
        <v>10.373294117647058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5.6688311688311694</v>
      </c>
      <c r="C87" s="755">
        <f>'lokale energieproductie'!B17*IFERROR(SUM(D87:H87)/SUM(D87:O87),0)</f>
        <v>62.357142857142861</v>
      </c>
      <c r="D87" s="766">
        <f>'lokale energieproductie'!C17</f>
        <v>73.361344537815114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6.669213139801375</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14.818991596638654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5.6688311688311694</v>
      </c>
      <c r="C90" s="744">
        <f>SUM(C87:C89)</f>
        <v>62.357142857142861</v>
      </c>
      <c r="D90" s="744">
        <f t="shared" ref="D90:H90" si="12">SUM(D87:D89)</f>
        <v>73.361344537815114</v>
      </c>
      <c r="E90" s="744">
        <f t="shared" si="12"/>
        <v>0</v>
      </c>
      <c r="F90" s="744">
        <f t="shared" si="12"/>
        <v>0</v>
      </c>
      <c r="G90" s="744">
        <f t="shared" si="12"/>
        <v>0</v>
      </c>
      <c r="H90" s="744">
        <f t="shared" si="12"/>
        <v>0</v>
      </c>
      <c r="I90" s="744">
        <f>SUM(I87:I89)</f>
        <v>0</v>
      </c>
      <c r="J90" s="744">
        <f>SUM(J87:J89)</f>
        <v>6.669213139801375</v>
      </c>
      <c r="K90" s="744">
        <f t="shared" ref="K90:L90" si="13">SUM(K87:K89)</f>
        <v>0</v>
      </c>
      <c r="L90" s="744">
        <f t="shared" si="13"/>
        <v>0</v>
      </c>
      <c r="M90" s="744">
        <f>SUM(M87:M89)</f>
        <v>0</v>
      </c>
      <c r="N90" s="744">
        <f>SUM(N87:N89)</f>
        <v>0</v>
      </c>
      <c r="O90" s="744">
        <f>SUM(O87:O89)</f>
        <v>0</v>
      </c>
      <c r="P90" s="744">
        <v>0</v>
      </c>
      <c r="Q90" s="744">
        <f>SUM(Q87:Q89)</f>
        <v>14.818991596638654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849.39454985094073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47.61818181818181</v>
      </c>
      <c r="C8" s="558">
        <f>B101</f>
        <v>51.35294117647058</v>
      </c>
      <c r="D8" s="991"/>
      <c r="E8" s="991">
        <f>E101</f>
        <v>0</v>
      </c>
      <c r="F8" s="992"/>
      <c r="G8" s="559"/>
      <c r="H8" s="991">
        <f>I101</f>
        <v>0</v>
      </c>
      <c r="I8" s="991">
        <f>G101+F101</f>
        <v>0</v>
      </c>
      <c r="J8" s="991">
        <f>H101+D101+C101</f>
        <v>4.6684491978609621</v>
      </c>
      <c r="K8" s="991"/>
      <c r="L8" s="991"/>
      <c r="M8" s="991"/>
      <c r="N8" s="560"/>
      <c r="O8" s="561">
        <f>C8*$C$12+D8*$D$12+E8*$E$12+F8*$F$12+G8*$G$12+H8*$H$12+I8*$I$12+J8*$J$12</f>
        <v>10.373294117647058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897.01273166912256</v>
      </c>
      <c r="C10" s="570">
        <f t="shared" ref="C10:L10" si="0">SUM(C8:C9)</f>
        <v>51.35294117647058</v>
      </c>
      <c r="D10" s="570">
        <f t="shared" si="0"/>
        <v>0</v>
      </c>
      <c r="E10" s="570">
        <f t="shared" si="0"/>
        <v>0</v>
      </c>
      <c r="F10" s="570">
        <f t="shared" si="0"/>
        <v>0</v>
      </c>
      <c r="G10" s="570">
        <f t="shared" si="0"/>
        <v>0</v>
      </c>
      <c r="H10" s="570">
        <f t="shared" si="0"/>
        <v>0</v>
      </c>
      <c r="I10" s="570">
        <f t="shared" si="0"/>
        <v>0</v>
      </c>
      <c r="J10" s="570">
        <f t="shared" si="0"/>
        <v>4.6684491978609621</v>
      </c>
      <c r="K10" s="570">
        <f t="shared" si="0"/>
        <v>0</v>
      </c>
      <c r="L10" s="570">
        <f t="shared" si="0"/>
        <v>0</v>
      </c>
      <c r="M10" s="995"/>
      <c r="N10" s="995"/>
      <c r="O10" s="571">
        <f>SUM(O4:O9)</f>
        <v>10.373294117647058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68.025974025974023</v>
      </c>
      <c r="C17" s="582">
        <f>B102</f>
        <v>73.361344537815114</v>
      </c>
      <c r="D17" s="583"/>
      <c r="E17" s="583">
        <f>E102</f>
        <v>0</v>
      </c>
      <c r="F17" s="584"/>
      <c r="G17" s="585"/>
      <c r="H17" s="582">
        <f>I102</f>
        <v>0</v>
      </c>
      <c r="I17" s="583">
        <f>G102+F102</f>
        <v>0</v>
      </c>
      <c r="J17" s="583">
        <f>H102+D102+C102</f>
        <v>6.669213139801375</v>
      </c>
      <c r="K17" s="583"/>
      <c r="L17" s="583"/>
      <c r="M17" s="583"/>
      <c r="N17" s="998"/>
      <c r="O17" s="586">
        <f>C17*$C$22+E17*$E$22+H17*$H$22+I17*$I$22+J17*$J$22+D17*$D$22+F17*$F$22+G17*$G$22+K17*$K$22+L17*$L$22</f>
        <v>14.818991596638654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68.025974025974023</v>
      </c>
      <c r="C20" s="569">
        <f>SUM(C17:C19)</f>
        <v>73.361344537815114</v>
      </c>
      <c r="D20" s="569">
        <f t="shared" ref="D20:L20" si="1">SUM(D17:D19)</f>
        <v>0</v>
      </c>
      <c r="E20" s="569">
        <f t="shared" si="1"/>
        <v>0</v>
      </c>
      <c r="F20" s="569">
        <f t="shared" si="1"/>
        <v>0</v>
      </c>
      <c r="G20" s="569">
        <f t="shared" si="1"/>
        <v>0</v>
      </c>
      <c r="H20" s="569">
        <f t="shared" si="1"/>
        <v>0</v>
      </c>
      <c r="I20" s="569">
        <f t="shared" si="1"/>
        <v>0</v>
      </c>
      <c r="J20" s="569">
        <f t="shared" si="1"/>
        <v>6.669213139801375</v>
      </c>
      <c r="K20" s="569">
        <f t="shared" si="1"/>
        <v>0</v>
      </c>
      <c r="L20" s="569">
        <f t="shared" si="1"/>
        <v>0</v>
      </c>
      <c r="M20" s="569"/>
      <c r="N20" s="569"/>
      <c r="O20" s="590">
        <f>SUM(O17:O19)</f>
        <v>14.818991596638654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11021</v>
      </c>
      <c r="C28" s="789">
        <v>2540</v>
      </c>
      <c r="D28" s="642" t="s">
        <v>946</v>
      </c>
      <c r="E28" s="641" t="s">
        <v>947</v>
      </c>
      <c r="F28" s="641" t="s">
        <v>948</v>
      </c>
      <c r="G28" s="641" t="s">
        <v>949</v>
      </c>
      <c r="H28" s="641" t="s">
        <v>950</v>
      </c>
      <c r="I28" s="641" t="s">
        <v>951</v>
      </c>
      <c r="J28" s="788">
        <v>40545</v>
      </c>
      <c r="K28" s="788">
        <v>40634</v>
      </c>
      <c r="L28" s="641" t="s">
        <v>952</v>
      </c>
      <c r="M28" s="641">
        <v>9.6999999999999993</v>
      </c>
      <c r="N28" s="641">
        <v>43.649999999999991</v>
      </c>
      <c r="O28" s="641">
        <v>62.357142857142847</v>
      </c>
      <c r="P28" s="641">
        <v>124.71428571428569</v>
      </c>
      <c r="Q28" s="641">
        <v>0</v>
      </c>
      <c r="R28" s="641">
        <v>0</v>
      </c>
      <c r="S28" s="641">
        <v>0</v>
      </c>
      <c r="T28" s="641">
        <v>0</v>
      </c>
      <c r="U28" s="641">
        <v>0</v>
      </c>
      <c r="V28" s="641">
        <v>0</v>
      </c>
      <c r="W28" s="641"/>
      <c r="X28" s="641">
        <v>1600</v>
      </c>
      <c r="Y28" s="641" t="s">
        <v>50</v>
      </c>
      <c r="Z28" s="643" t="s">
        <v>156</v>
      </c>
    </row>
    <row r="29" spans="1:26" s="595" customFormat="1" ht="25.5">
      <c r="A29" s="594"/>
      <c r="B29" s="789">
        <v>11021</v>
      </c>
      <c r="C29" s="789">
        <v>2540</v>
      </c>
      <c r="D29" s="642" t="s">
        <v>946</v>
      </c>
      <c r="E29" s="641" t="s">
        <v>947</v>
      </c>
      <c r="F29" s="641" t="s">
        <v>953</v>
      </c>
      <c r="G29" s="641" t="s">
        <v>949</v>
      </c>
      <c r="H29" s="641" t="s">
        <v>950</v>
      </c>
      <c r="I29" s="641" t="s">
        <v>954</v>
      </c>
      <c r="J29" s="788">
        <v>41071</v>
      </c>
      <c r="K29" s="788">
        <v>41214</v>
      </c>
      <c r="L29" s="641" t="s">
        <v>952</v>
      </c>
      <c r="M29" s="641">
        <v>9.6999999999999993</v>
      </c>
      <c r="N29" s="641">
        <v>3.9681818181818178</v>
      </c>
      <c r="O29" s="641">
        <v>5.6688311688311686</v>
      </c>
      <c r="P29" s="641">
        <v>0</v>
      </c>
      <c r="Q29" s="641">
        <v>11.337662337662337</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47.61818181818181</v>
      </c>
      <c r="O58" s="599">
        <f t="shared" ref="O58:W58" si="2">SUM(O28:O57)</f>
        <v>68.025974025974023</v>
      </c>
      <c r="P58" s="599">
        <f t="shared" si="2"/>
        <v>124.71428571428569</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9.6999999999999993</v>
      </c>
      <c r="N60" s="599">
        <f ca="1">SUMIF($Z$28:AD57,"tertiair",N28:N57)</f>
        <v>43.649999999999991</v>
      </c>
      <c r="O60" s="599">
        <f ca="1">SUMIF($Z$28:AE57,"tertiair",O28:O57)</f>
        <v>62.357142857142847</v>
      </c>
      <c r="P60" s="599">
        <f ca="1">SUMIF($Z$28:AF57,"tertiair",P28:P57)</f>
        <v>124.71428571428569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51.35294117647058</v>
      </c>
      <c r="C101" s="633">
        <f t="shared" si="9"/>
        <v>4.6684491978609621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73.361344537815114</v>
      </c>
      <c r="C102" s="636">
        <f t="shared" si="10"/>
        <v>6.669213139801375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14818.80513117064</v>
      </c>
      <c r="C4" s="461">
        <f>huishoudens!C8</f>
        <v>0</v>
      </c>
      <c r="D4" s="461">
        <f>huishoudens!D8</f>
        <v>51786.225406018333</v>
      </c>
      <c r="E4" s="461">
        <f>huishoudens!E8</f>
        <v>170.24508074101786</v>
      </c>
      <c r="F4" s="461">
        <f>huishoudens!F8</f>
        <v>2400.3699296198683</v>
      </c>
      <c r="G4" s="461">
        <f>huishoudens!G8</f>
        <v>0</v>
      </c>
      <c r="H4" s="461">
        <f>huishoudens!H8</f>
        <v>0</v>
      </c>
      <c r="I4" s="461">
        <f>huishoudens!I8</f>
        <v>0</v>
      </c>
      <c r="J4" s="461">
        <f>huishoudens!J8</f>
        <v>0</v>
      </c>
      <c r="K4" s="461">
        <f>huishoudens!K8</f>
        <v>0</v>
      </c>
      <c r="L4" s="461">
        <f>huishoudens!L8</f>
        <v>0</v>
      </c>
      <c r="M4" s="461">
        <f>huishoudens!M8</f>
        <v>0</v>
      </c>
      <c r="N4" s="461">
        <f>huishoudens!N8</f>
        <v>1658.6343717111067</v>
      </c>
      <c r="O4" s="461">
        <f>huishoudens!O8</f>
        <v>48.463333333333338</v>
      </c>
      <c r="P4" s="462">
        <f>huishoudens!P8</f>
        <v>57.2</v>
      </c>
      <c r="Q4" s="463">
        <f>SUM(B4:P4)</f>
        <v>70939.943252594283</v>
      </c>
    </row>
    <row r="5" spans="1:17">
      <c r="A5" s="460" t="s">
        <v>156</v>
      </c>
      <c r="B5" s="461">
        <f ca="1">tertiair!B16</f>
        <v>6925.6867853173944</v>
      </c>
      <c r="C5" s="461">
        <f ca="1">tertiair!C16</f>
        <v>62.357142857142847</v>
      </c>
      <c r="D5" s="461">
        <f ca="1">tertiair!D16</f>
        <v>11010.341914405315</v>
      </c>
      <c r="E5" s="461">
        <f>tertiair!E16</f>
        <v>48.43874700966478</v>
      </c>
      <c r="F5" s="461">
        <f ca="1">tertiair!F16</f>
        <v>1232.4622868550707</v>
      </c>
      <c r="G5" s="461">
        <f>tertiair!G16</f>
        <v>0</v>
      </c>
      <c r="H5" s="461">
        <f>tertiair!H16</f>
        <v>0</v>
      </c>
      <c r="I5" s="461">
        <f>tertiair!I16</f>
        <v>0</v>
      </c>
      <c r="J5" s="461">
        <f>tertiair!J16</f>
        <v>0</v>
      </c>
      <c r="K5" s="461">
        <f>tertiair!K16</f>
        <v>0</v>
      </c>
      <c r="L5" s="461">
        <f ca="1">tertiair!L16</f>
        <v>0</v>
      </c>
      <c r="M5" s="461">
        <f>tertiair!M16</f>
        <v>0</v>
      </c>
      <c r="N5" s="461">
        <f ca="1">tertiair!N16</f>
        <v>228.65365206736973</v>
      </c>
      <c r="O5" s="461">
        <f>tertiair!O16</f>
        <v>0</v>
      </c>
      <c r="P5" s="462">
        <f>tertiair!P16</f>
        <v>0</v>
      </c>
      <c r="Q5" s="460">
        <f t="shared" ref="Q5:Q14" ca="1" si="0">SUM(B5:P5)</f>
        <v>19507.940528511961</v>
      </c>
    </row>
    <row r="6" spans="1:17">
      <c r="A6" s="460" t="s">
        <v>194</v>
      </c>
      <c r="B6" s="461">
        <f>'openbare verlichting'!B8</f>
        <v>603.94799999999998</v>
      </c>
      <c r="C6" s="461"/>
      <c r="D6" s="461"/>
      <c r="E6" s="461"/>
      <c r="F6" s="461"/>
      <c r="G6" s="461"/>
      <c r="H6" s="461"/>
      <c r="I6" s="461"/>
      <c r="J6" s="461"/>
      <c r="K6" s="461"/>
      <c r="L6" s="461"/>
      <c r="M6" s="461"/>
      <c r="N6" s="461"/>
      <c r="O6" s="461"/>
      <c r="P6" s="462"/>
      <c r="Q6" s="460">
        <f t="shared" si="0"/>
        <v>603.94799999999998</v>
      </c>
    </row>
    <row r="7" spans="1:17">
      <c r="A7" s="460" t="s">
        <v>112</v>
      </c>
      <c r="B7" s="461">
        <f>landbouw!B8</f>
        <v>325.5330633304111</v>
      </c>
      <c r="C7" s="461">
        <f>landbouw!C8</f>
        <v>5.6688311688311686</v>
      </c>
      <c r="D7" s="461">
        <f>landbouw!D8</f>
        <v>69.123889583628412</v>
      </c>
      <c r="E7" s="461">
        <f>landbouw!E8</f>
        <v>3.0667395708797285</v>
      </c>
      <c r="F7" s="461">
        <f>landbouw!F8</f>
        <v>1062.3224205828701</v>
      </c>
      <c r="G7" s="461">
        <f>landbouw!G8</f>
        <v>0</v>
      </c>
      <c r="H7" s="461">
        <f>landbouw!H8</f>
        <v>0</v>
      </c>
      <c r="I7" s="461">
        <f>landbouw!I8</f>
        <v>0</v>
      </c>
      <c r="J7" s="461">
        <f>landbouw!J8</f>
        <v>40.270023326487731</v>
      </c>
      <c r="K7" s="461">
        <f>landbouw!K8</f>
        <v>0</v>
      </c>
      <c r="L7" s="461">
        <f>landbouw!L8</f>
        <v>0</v>
      </c>
      <c r="M7" s="461">
        <f>landbouw!M8</f>
        <v>0</v>
      </c>
      <c r="N7" s="461">
        <f>landbouw!N8</f>
        <v>0</v>
      </c>
      <c r="O7" s="461">
        <f>landbouw!O8</f>
        <v>0</v>
      </c>
      <c r="P7" s="462">
        <f>landbouw!P8</f>
        <v>0</v>
      </c>
      <c r="Q7" s="460">
        <f t="shared" si="0"/>
        <v>1505.9849675631083</v>
      </c>
    </row>
    <row r="8" spans="1:17">
      <c r="A8" s="460" t="s">
        <v>685</v>
      </c>
      <c r="B8" s="461">
        <f>industrie!B18</f>
        <v>1077.9507933220971</v>
      </c>
      <c r="C8" s="461">
        <f>industrie!C18</f>
        <v>0</v>
      </c>
      <c r="D8" s="461">
        <f>industrie!D18</f>
        <v>1734.4053051270653</v>
      </c>
      <c r="E8" s="461">
        <f>industrie!E18</f>
        <v>9.590259004849484</v>
      </c>
      <c r="F8" s="461">
        <f>industrie!F18</f>
        <v>278.00847373199537</v>
      </c>
      <c r="G8" s="461">
        <f>industrie!G18</f>
        <v>0</v>
      </c>
      <c r="H8" s="461">
        <f>industrie!H18</f>
        <v>0</v>
      </c>
      <c r="I8" s="461">
        <f>industrie!I18</f>
        <v>0</v>
      </c>
      <c r="J8" s="461">
        <f>industrie!J18</f>
        <v>1.0865016666011098</v>
      </c>
      <c r="K8" s="461">
        <f>industrie!K18</f>
        <v>0</v>
      </c>
      <c r="L8" s="461">
        <f>industrie!L18</f>
        <v>0</v>
      </c>
      <c r="M8" s="461">
        <f>industrie!M18</f>
        <v>0</v>
      </c>
      <c r="N8" s="461">
        <f>industrie!N18</f>
        <v>31.803479296562614</v>
      </c>
      <c r="O8" s="461">
        <f>industrie!O18</f>
        <v>0</v>
      </c>
      <c r="P8" s="462">
        <f>industrie!P18</f>
        <v>0</v>
      </c>
      <c r="Q8" s="460">
        <f t="shared" si="0"/>
        <v>3132.844812149171</v>
      </c>
    </row>
    <row r="9" spans="1:17" s="466" customFormat="1">
      <c r="A9" s="464" t="s">
        <v>579</v>
      </c>
      <c r="B9" s="465">
        <f>transport!B14</f>
        <v>0.45275116137862437</v>
      </c>
      <c r="C9" s="465">
        <f>transport!C14</f>
        <v>0</v>
      </c>
      <c r="D9" s="465">
        <f>transport!D14</f>
        <v>1.2864549098789093</v>
      </c>
      <c r="E9" s="465">
        <f>transport!E14</f>
        <v>74.254214335801194</v>
      </c>
      <c r="F9" s="465">
        <f>transport!F14</f>
        <v>0</v>
      </c>
      <c r="G9" s="465">
        <f>transport!G14</f>
        <v>11902.442940000343</v>
      </c>
      <c r="H9" s="465">
        <f>transport!H14</f>
        <v>2850.5760291323541</v>
      </c>
      <c r="I9" s="465">
        <f>transport!I14</f>
        <v>0</v>
      </c>
      <c r="J9" s="465">
        <f>transport!J14</f>
        <v>0</v>
      </c>
      <c r="K9" s="465">
        <f>transport!K14</f>
        <v>0</v>
      </c>
      <c r="L9" s="465">
        <f>transport!L14</f>
        <v>0</v>
      </c>
      <c r="M9" s="465">
        <f>transport!M14</f>
        <v>660.41040377238892</v>
      </c>
      <c r="N9" s="465">
        <f>transport!N14</f>
        <v>0</v>
      </c>
      <c r="O9" s="465">
        <f>transport!O14</f>
        <v>0</v>
      </c>
      <c r="P9" s="465">
        <f>transport!P14</f>
        <v>0</v>
      </c>
      <c r="Q9" s="464">
        <f>SUM(B9:P9)</f>
        <v>15489.422793312144</v>
      </c>
    </row>
    <row r="10" spans="1:17">
      <c r="A10" s="460" t="s">
        <v>569</v>
      </c>
      <c r="B10" s="461">
        <f>transport!B54</f>
        <v>0</v>
      </c>
      <c r="C10" s="461">
        <f>transport!C54</f>
        <v>0</v>
      </c>
      <c r="D10" s="461">
        <f>transport!D54</f>
        <v>0</v>
      </c>
      <c r="E10" s="461">
        <f>transport!E54</f>
        <v>0</v>
      </c>
      <c r="F10" s="461">
        <f>transport!F54</f>
        <v>0</v>
      </c>
      <c r="G10" s="461">
        <f>transport!G54</f>
        <v>973.55174637273922</v>
      </c>
      <c r="H10" s="461">
        <f>transport!H54</f>
        <v>0</v>
      </c>
      <c r="I10" s="461">
        <f>transport!I54</f>
        <v>0</v>
      </c>
      <c r="J10" s="461">
        <f>transport!J54</f>
        <v>0</v>
      </c>
      <c r="K10" s="461">
        <f>transport!K54</f>
        <v>0</v>
      </c>
      <c r="L10" s="461">
        <f>transport!L54</f>
        <v>0</v>
      </c>
      <c r="M10" s="461">
        <f>transport!M54</f>
        <v>42.750263157288046</v>
      </c>
      <c r="N10" s="461">
        <f>transport!N54</f>
        <v>0</v>
      </c>
      <c r="O10" s="461">
        <f>transport!O54</f>
        <v>0</v>
      </c>
      <c r="P10" s="462">
        <f>transport!P54</f>
        <v>0</v>
      </c>
      <c r="Q10" s="460">
        <f t="shared" si="0"/>
        <v>1016.3020095300272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467.310072660559</v>
      </c>
      <c r="C14" s="468"/>
      <c r="D14" s="468">
        <f>'SEAP template'!E25</f>
        <v>1835.0705382829999</v>
      </c>
      <c r="E14" s="468"/>
      <c r="F14" s="468"/>
      <c r="G14" s="468"/>
      <c r="H14" s="468"/>
      <c r="I14" s="468"/>
      <c r="J14" s="468"/>
      <c r="K14" s="468"/>
      <c r="L14" s="468"/>
      <c r="M14" s="468"/>
      <c r="N14" s="468"/>
      <c r="O14" s="468"/>
      <c r="P14" s="469"/>
      <c r="Q14" s="460">
        <f t="shared" si="0"/>
        <v>2302.3806109435591</v>
      </c>
    </row>
    <row r="15" spans="1:17" s="473" customFormat="1">
      <c r="A15" s="470" t="s">
        <v>573</v>
      </c>
      <c r="B15" s="471">
        <f ca="1">SUM(B4:B14)</f>
        <v>24219.686596962478</v>
      </c>
      <c r="C15" s="471">
        <f t="shared" ref="C15:Q15" ca="1" si="1">SUM(C4:C14)</f>
        <v>68.025974025974023</v>
      </c>
      <c r="D15" s="471">
        <f t="shared" ca="1" si="1"/>
        <v>66436.453508327235</v>
      </c>
      <c r="E15" s="471">
        <f t="shared" si="1"/>
        <v>305.59504066221302</v>
      </c>
      <c r="F15" s="471">
        <f t="shared" ca="1" si="1"/>
        <v>4973.1631107898047</v>
      </c>
      <c r="G15" s="471">
        <f t="shared" si="1"/>
        <v>12875.994686373082</v>
      </c>
      <c r="H15" s="471">
        <f t="shared" si="1"/>
        <v>2850.5760291323541</v>
      </c>
      <c r="I15" s="471">
        <f t="shared" si="1"/>
        <v>0</v>
      </c>
      <c r="J15" s="471">
        <f t="shared" si="1"/>
        <v>41.35652499308884</v>
      </c>
      <c r="K15" s="471">
        <f t="shared" si="1"/>
        <v>0</v>
      </c>
      <c r="L15" s="471">
        <f t="shared" ca="1" si="1"/>
        <v>0</v>
      </c>
      <c r="M15" s="471">
        <f t="shared" si="1"/>
        <v>703.16066692967695</v>
      </c>
      <c r="N15" s="471">
        <f t="shared" ca="1" si="1"/>
        <v>1919.0915030750389</v>
      </c>
      <c r="O15" s="471">
        <f t="shared" si="1"/>
        <v>48.463333333333338</v>
      </c>
      <c r="P15" s="471">
        <f t="shared" si="1"/>
        <v>57.2</v>
      </c>
      <c r="Q15" s="471">
        <f t="shared" ca="1" si="1"/>
        <v>114498.76697460425</v>
      </c>
    </row>
    <row r="17" spans="1:17">
      <c r="A17" s="474" t="s">
        <v>574</v>
      </c>
      <c r="B17" s="778">
        <f ca="1">huishoudens!B10</f>
        <v>0.21364152866438901</v>
      </c>
      <c r="C17" s="778">
        <f ca="1">huishoudens!C10</f>
        <v>0.21784313725490195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3165.9121812029875</v>
      </c>
      <c r="C22" s="461">
        <f t="shared" ref="C22:C32" ca="1" si="3">C4*$C$17</f>
        <v>0</v>
      </c>
      <c r="D22" s="461">
        <f t="shared" ref="D22:D32" si="4">D4*$D$17</f>
        <v>10460.817532015704</v>
      </c>
      <c r="E22" s="461">
        <f t="shared" ref="E22:E32" si="5">E4*$E$17</f>
        <v>38.645633328211055</v>
      </c>
      <c r="F22" s="461">
        <f t="shared" ref="F22:F32" si="6">F4*$F$17</f>
        <v>640.89877120850485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14306.274117755409</v>
      </c>
    </row>
    <row r="23" spans="1:17">
      <c r="A23" s="460" t="s">
        <v>156</v>
      </c>
      <c r="B23" s="461">
        <f t="shared" ca="1" si="2"/>
        <v>1479.6143118659663</v>
      </c>
      <c r="C23" s="461">
        <f t="shared" ca="1" si="3"/>
        <v>13.584075630252098</v>
      </c>
      <c r="D23" s="461">
        <f t="shared" ca="1" si="4"/>
        <v>2224.0890667098738</v>
      </c>
      <c r="E23" s="461">
        <f t="shared" si="5"/>
        <v>10.995595571193906</v>
      </c>
      <c r="F23" s="461">
        <f t="shared" ca="1" si="6"/>
        <v>329.0674305903039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4057.3504803675901</v>
      </c>
    </row>
    <row r="24" spans="1:17">
      <c r="A24" s="460" t="s">
        <v>194</v>
      </c>
      <c r="B24" s="461">
        <f t="shared" ca="1" si="2"/>
        <v>129.02837395380041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129.02837395380041</v>
      </c>
    </row>
    <row r="25" spans="1:17">
      <c r="A25" s="460" t="s">
        <v>112</v>
      </c>
      <c r="B25" s="461">
        <f t="shared" ca="1" si="2"/>
        <v>69.547381280710383</v>
      </c>
      <c r="C25" s="461">
        <f t="shared" ca="1" si="3"/>
        <v>1.2349159663865545</v>
      </c>
      <c r="D25" s="461">
        <f t="shared" si="4"/>
        <v>13.96302569589294</v>
      </c>
      <c r="E25" s="461">
        <f t="shared" si="5"/>
        <v>0.69614988258969834</v>
      </c>
      <c r="F25" s="461">
        <f t="shared" si="6"/>
        <v>283.64008629562636</v>
      </c>
      <c r="G25" s="461">
        <f t="shared" si="7"/>
        <v>0</v>
      </c>
      <c r="H25" s="461">
        <f t="shared" si="8"/>
        <v>0</v>
      </c>
      <c r="I25" s="461">
        <f t="shared" si="9"/>
        <v>0</v>
      </c>
      <c r="J25" s="461">
        <f t="shared" si="10"/>
        <v>14.255588257576656</v>
      </c>
      <c r="K25" s="461">
        <f t="shared" si="11"/>
        <v>0</v>
      </c>
      <c r="L25" s="461">
        <f t="shared" si="12"/>
        <v>0</v>
      </c>
      <c r="M25" s="461">
        <f t="shared" si="13"/>
        <v>0</v>
      </c>
      <c r="N25" s="461">
        <f t="shared" si="14"/>
        <v>0</v>
      </c>
      <c r="O25" s="461">
        <f t="shared" si="15"/>
        <v>0</v>
      </c>
      <c r="P25" s="462">
        <f t="shared" si="16"/>
        <v>0</v>
      </c>
      <c r="Q25" s="460">
        <f t="shared" ca="1" si="17"/>
        <v>383.33714737878262</v>
      </c>
    </row>
    <row r="26" spans="1:17">
      <c r="A26" s="460" t="s">
        <v>685</v>
      </c>
      <c r="B26" s="461">
        <f t="shared" ca="1" si="2"/>
        <v>230.29505531032368</v>
      </c>
      <c r="C26" s="461">
        <f t="shared" ca="1" si="3"/>
        <v>0</v>
      </c>
      <c r="D26" s="461">
        <f t="shared" si="4"/>
        <v>350.34987163566723</v>
      </c>
      <c r="E26" s="461">
        <f t="shared" si="5"/>
        <v>2.1769887941008328</v>
      </c>
      <c r="F26" s="461">
        <f t="shared" si="6"/>
        <v>74.228262486442773</v>
      </c>
      <c r="G26" s="461">
        <f t="shared" si="7"/>
        <v>0</v>
      </c>
      <c r="H26" s="461">
        <f t="shared" si="8"/>
        <v>0</v>
      </c>
      <c r="I26" s="461">
        <f t="shared" si="9"/>
        <v>0</v>
      </c>
      <c r="J26" s="461">
        <f t="shared" si="10"/>
        <v>0.38462158997679285</v>
      </c>
      <c r="K26" s="461">
        <f t="shared" si="11"/>
        <v>0</v>
      </c>
      <c r="L26" s="461">
        <f t="shared" si="12"/>
        <v>0</v>
      </c>
      <c r="M26" s="461">
        <f t="shared" si="13"/>
        <v>0</v>
      </c>
      <c r="N26" s="461">
        <f t="shared" si="14"/>
        <v>0</v>
      </c>
      <c r="O26" s="461">
        <f t="shared" si="15"/>
        <v>0</v>
      </c>
      <c r="P26" s="462">
        <f t="shared" si="16"/>
        <v>0</v>
      </c>
      <c r="Q26" s="460">
        <f t="shared" ca="1" si="17"/>
        <v>657.43479981651114</v>
      </c>
    </row>
    <row r="27" spans="1:17" s="466" customFormat="1">
      <c r="A27" s="464" t="s">
        <v>579</v>
      </c>
      <c r="B27" s="772">
        <f t="shared" ca="1" si="2"/>
        <v>9.6726450221506791E-2</v>
      </c>
      <c r="C27" s="465">
        <f t="shared" ca="1" si="3"/>
        <v>0</v>
      </c>
      <c r="D27" s="465">
        <f t="shared" si="4"/>
        <v>0.2598638917955397</v>
      </c>
      <c r="E27" s="465">
        <f t="shared" si="5"/>
        <v>16.855706654226871</v>
      </c>
      <c r="F27" s="465">
        <f t="shared" si="6"/>
        <v>0</v>
      </c>
      <c r="G27" s="465">
        <f t="shared" si="7"/>
        <v>3177.9522649800915</v>
      </c>
      <c r="H27" s="465">
        <f t="shared" si="8"/>
        <v>709.7934312539561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3904.9579932302913</v>
      </c>
    </row>
    <row r="28" spans="1:17">
      <c r="A28" s="460" t="s">
        <v>569</v>
      </c>
      <c r="B28" s="461">
        <f t="shared" ca="1" si="2"/>
        <v>0</v>
      </c>
      <c r="C28" s="461">
        <f t="shared" ca="1" si="3"/>
        <v>0</v>
      </c>
      <c r="D28" s="461">
        <f t="shared" si="4"/>
        <v>0</v>
      </c>
      <c r="E28" s="461">
        <f t="shared" si="5"/>
        <v>0</v>
      </c>
      <c r="F28" s="461">
        <f t="shared" si="6"/>
        <v>0</v>
      </c>
      <c r="G28" s="461">
        <f t="shared" si="7"/>
        <v>259.9383162815214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259.9383162815214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99.836838283468524</v>
      </c>
      <c r="C32" s="461">
        <f t="shared" ca="1" si="3"/>
        <v>0</v>
      </c>
      <c r="D32" s="461">
        <f t="shared" si="4"/>
        <v>370.68424873316599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470.52108701663451</v>
      </c>
    </row>
    <row r="33" spans="1:17" s="473" customFormat="1">
      <c r="A33" s="470" t="s">
        <v>573</v>
      </c>
      <c r="B33" s="471">
        <f ca="1">SUM(B22:B32)</f>
        <v>5174.3308683474788</v>
      </c>
      <c r="C33" s="471">
        <f t="shared" ref="C33:Q33" ca="1" si="18">SUM(C22:C32)</f>
        <v>14.818991596638652</v>
      </c>
      <c r="D33" s="471">
        <f t="shared" ca="1" si="18"/>
        <v>13420.163608682102</v>
      </c>
      <c r="E33" s="471">
        <f t="shared" si="18"/>
        <v>69.370074230322359</v>
      </c>
      <c r="F33" s="471">
        <f t="shared" ca="1" si="18"/>
        <v>1327.8345505808779</v>
      </c>
      <c r="G33" s="471">
        <f t="shared" si="18"/>
        <v>3437.8905812616131</v>
      </c>
      <c r="H33" s="471">
        <f t="shared" si="18"/>
        <v>709.7934312539561</v>
      </c>
      <c r="I33" s="471">
        <f t="shared" si="18"/>
        <v>0</v>
      </c>
      <c r="J33" s="471">
        <f t="shared" si="18"/>
        <v>14.64020984755345</v>
      </c>
      <c r="K33" s="471">
        <f t="shared" si="18"/>
        <v>0</v>
      </c>
      <c r="L33" s="471">
        <f t="shared" ca="1" si="18"/>
        <v>0</v>
      </c>
      <c r="M33" s="471">
        <f t="shared" si="18"/>
        <v>0</v>
      </c>
      <c r="N33" s="471">
        <f t="shared" ca="1" si="18"/>
        <v>0</v>
      </c>
      <c r="O33" s="471">
        <f t="shared" si="18"/>
        <v>0</v>
      </c>
      <c r="P33" s="471">
        <f t="shared" si="18"/>
        <v>0</v>
      </c>
      <c r="Q33" s="471">
        <f t="shared" ca="1" si="18"/>
        <v>24168.842315800535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849.39454985094073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3.9681818181818174</v>
      </c>
      <c r="C8" s="1037">
        <f>'SEAP template'!C76</f>
        <v>43.649999999999991</v>
      </c>
      <c r="D8" s="1037">
        <f>'SEAP template'!D76</f>
        <v>51.35294117647058</v>
      </c>
      <c r="E8" s="1037">
        <f>'SEAP template'!E76</f>
        <v>0</v>
      </c>
      <c r="F8" s="1037">
        <f>'SEAP template'!F76</f>
        <v>0</v>
      </c>
      <c r="G8" s="1037">
        <f>'SEAP template'!G76</f>
        <v>0</v>
      </c>
      <c r="H8" s="1037">
        <f>'SEAP template'!H76</f>
        <v>0</v>
      </c>
      <c r="I8" s="1037">
        <f>'SEAP template'!I76</f>
        <v>0</v>
      </c>
      <c r="J8" s="1037">
        <f>'SEAP template'!J76</f>
        <v>4.6684491978609621</v>
      </c>
      <c r="K8" s="1037">
        <f>'SEAP template'!K76</f>
        <v>0</v>
      </c>
      <c r="L8" s="1037">
        <f>'SEAP template'!L76</f>
        <v>0</v>
      </c>
      <c r="M8" s="1037">
        <f>'SEAP template'!M76</f>
        <v>0</v>
      </c>
      <c r="N8" s="1037">
        <f>'SEAP template'!N76</f>
        <v>0</v>
      </c>
      <c r="O8" s="1037">
        <f>'SEAP template'!O76</f>
        <v>0</v>
      </c>
      <c r="P8" s="1038">
        <f>'SEAP template'!Q76</f>
        <v>10.373294117647058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853.36273166912258</v>
      </c>
      <c r="C10" s="1041">
        <f>SUM(C4:C9)</f>
        <v>43.649999999999991</v>
      </c>
      <c r="D10" s="1041">
        <f t="shared" ref="D10:H10" si="0">SUM(D8:D9)</f>
        <v>51.35294117647058</v>
      </c>
      <c r="E10" s="1041">
        <f t="shared" si="0"/>
        <v>0</v>
      </c>
      <c r="F10" s="1041">
        <f t="shared" si="0"/>
        <v>0</v>
      </c>
      <c r="G10" s="1041">
        <f t="shared" si="0"/>
        <v>0</v>
      </c>
      <c r="H10" s="1041">
        <f t="shared" si="0"/>
        <v>0</v>
      </c>
      <c r="I10" s="1041">
        <f>SUM(I8:I9)</f>
        <v>0</v>
      </c>
      <c r="J10" s="1041">
        <f>SUM(J8:J9)</f>
        <v>4.6684491978609621</v>
      </c>
      <c r="K10" s="1041">
        <f t="shared" ref="K10:L10" si="1">SUM(K8:K9)</f>
        <v>0</v>
      </c>
      <c r="L10" s="1041">
        <f t="shared" si="1"/>
        <v>0</v>
      </c>
      <c r="M10" s="1041">
        <f>SUM(M8:M9)</f>
        <v>0</v>
      </c>
      <c r="N10" s="1041">
        <f>SUM(N8:N9)</f>
        <v>0</v>
      </c>
      <c r="O10" s="1041">
        <f>SUM(O8:O9)</f>
        <v>0</v>
      </c>
      <c r="P10" s="1041">
        <f>SUM(P8:P9)</f>
        <v>10.373294117647058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0.21364152866438901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5.6688311688311694</v>
      </c>
      <c r="C17" s="1044">
        <f>'SEAP template'!C87</f>
        <v>62.357142857142861</v>
      </c>
      <c r="D17" s="1038">
        <f>'SEAP template'!D87</f>
        <v>73.361344537815114</v>
      </c>
      <c r="E17" s="1038">
        <f>'SEAP template'!E87</f>
        <v>0</v>
      </c>
      <c r="F17" s="1038">
        <f>'SEAP template'!F87</f>
        <v>0</v>
      </c>
      <c r="G17" s="1038">
        <f>'SEAP template'!G87</f>
        <v>0</v>
      </c>
      <c r="H17" s="1038">
        <f>'SEAP template'!H87</f>
        <v>0</v>
      </c>
      <c r="I17" s="1038">
        <f>'SEAP template'!I87</f>
        <v>0</v>
      </c>
      <c r="J17" s="1038">
        <f>'SEAP template'!J87</f>
        <v>6.669213139801375</v>
      </c>
      <c r="K17" s="1038">
        <f>'SEAP template'!K87</f>
        <v>0</v>
      </c>
      <c r="L17" s="1038">
        <f>'SEAP template'!L87</f>
        <v>0</v>
      </c>
      <c r="M17" s="1038">
        <f>'SEAP template'!M87</f>
        <v>0</v>
      </c>
      <c r="N17" s="1038">
        <f>'SEAP template'!N87</f>
        <v>0</v>
      </c>
      <c r="O17" s="1038">
        <f>'SEAP template'!O87</f>
        <v>0</v>
      </c>
      <c r="P17" s="1038">
        <f>'SEAP template'!Q87</f>
        <v>14.818991596638654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5.6688311688311694</v>
      </c>
      <c r="C20" s="1041">
        <f>SUM(C17:C19)</f>
        <v>62.357142857142861</v>
      </c>
      <c r="D20" s="1041">
        <f t="shared" ref="D20:H20" si="2">SUM(D17:D19)</f>
        <v>73.361344537815114</v>
      </c>
      <c r="E20" s="1041">
        <f t="shared" si="2"/>
        <v>0</v>
      </c>
      <c r="F20" s="1041">
        <f t="shared" si="2"/>
        <v>0</v>
      </c>
      <c r="G20" s="1041">
        <f t="shared" si="2"/>
        <v>0</v>
      </c>
      <c r="H20" s="1041">
        <f t="shared" si="2"/>
        <v>0</v>
      </c>
      <c r="I20" s="1041">
        <f>SUM(I17:I19)</f>
        <v>0</v>
      </c>
      <c r="J20" s="1041">
        <f>SUM(J17:J19)</f>
        <v>6.669213139801375</v>
      </c>
      <c r="K20" s="1041">
        <f t="shared" ref="K20:L20" si="3">SUM(K17:K19)</f>
        <v>0</v>
      </c>
      <c r="L20" s="1041">
        <f t="shared" si="3"/>
        <v>0</v>
      </c>
      <c r="M20" s="1041">
        <f>SUM(M17:M19)</f>
        <v>0</v>
      </c>
      <c r="N20" s="1041">
        <f>SUM(N17:N19)</f>
        <v>0</v>
      </c>
      <c r="O20" s="1041">
        <f>SUM(O17:O19)</f>
        <v>0</v>
      </c>
      <c r="P20" s="1041">
        <f>SUM(P17:P19)</f>
        <v>14.818991596638654</v>
      </c>
    </row>
    <row r="22" spans="1:16">
      <c r="A22" s="474" t="s">
        <v>933</v>
      </c>
      <c r="B22" s="778" t="s">
        <v>927</v>
      </c>
      <c r="C22" s="778">
        <f ca="1">'EF ele_warmte'!B22</f>
        <v>0.21784313725490195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0.21364152866438901</v>
      </c>
      <c r="C17" s="510">
        <f ca="1">'EF ele_warmte'!B22</f>
        <v>0.21784313725490195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2019-06-29T16:10:50Z</dcterms:modified>
</cp:coreProperties>
</file>