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xml"/>
  <Override PartName="/xl/tables/table2.xml" ContentType="application/vnd.openxmlformats-officedocument.spreadsheetml.table+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drawings/drawing7.xml" ContentType="application/vnd.openxmlformats-officedocument.drawing+xml"/>
  <Override PartName="/xl/tables/table1.xml" ContentType="application/vnd.openxmlformats-officedocument.spreadsheetml.table+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jpeg" ContentType="image/jpeg"/>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5" yWindow="-15" windowWidth="30750" windowHeight="6075"/>
  </bookViews>
  <sheets>
    <sheet name="LEGENDE" sheetId="31" r:id="rId1"/>
    <sheet name="OUTPUT--&gt;" sheetId="53" r:id="rId2"/>
    <sheet name="SEAP template" sheetId="14" r:id="rId3"/>
    <sheet name="Inventaris 2012" sheetId="48" r:id="rId4"/>
    <sheet name="betrouwbaarheid inventaris" sheetId="55" r:id="rId5"/>
    <sheet name="Lokale energieproductie 2012" sheetId="56" r:id="rId6"/>
    <sheet name="betrouwbaarheid productie" sheetId="57" r:id="rId7"/>
    <sheet name="INPUT--&gt;" sheetId="35" r:id="rId8"/>
    <sheet name="Eigen gebouwen" sheetId="19" r:id="rId9"/>
    <sheet name="Eigen openbare verlichting" sheetId="49" r:id="rId10"/>
    <sheet name="Eigen vloot" sheetId="20" r:id="rId11"/>
    <sheet name="Eigen informatie GS &amp; warmtenet" sheetId="43" r:id="rId12"/>
    <sheet name="Conversiefactoren" sheetId="50" r:id="rId13"/>
    <sheet name="DATA--&gt;" sheetId="36" r:id="rId14"/>
    <sheet name="data" sheetId="4" r:id="rId15"/>
    <sheet name="EF N2O_CH4 landbouw" sheetId="7" r:id="rId16"/>
    <sheet name="ha_N2O bodem landbouw" sheetId="21" r:id="rId17"/>
    <sheet name="GWP N2O_CH4" sheetId="47" r:id="rId18"/>
    <sheet name="EF brandstof" sheetId="11" r:id="rId19"/>
    <sheet name="EF ele_warmte" sheetId="6" r:id="rId20"/>
    <sheet name="ECF transport " sheetId="23" r:id="rId21"/>
    <sheet name="E Balans VL " sheetId="5" r:id="rId22"/>
    <sheet name="BEREKENINGEN PER SECTOR --&gt;" sheetId="45" r:id="rId23"/>
    <sheet name="openbare verlichting" sheetId="9" r:id="rId24"/>
    <sheet name="huishoudens" sheetId="13" r:id="rId25"/>
    <sheet name="tertiair" sheetId="15" r:id="rId26"/>
    <sheet name="industrie" sheetId="16" r:id="rId27"/>
    <sheet name="landbouw" sheetId="17" r:id="rId28"/>
    <sheet name="transport" sheetId="22" r:id="rId29"/>
    <sheet name="lokale energieproductie" sheetId="18" r:id="rId30"/>
    <sheet name="BRONNEN --&gt;" sheetId="44" r:id="rId31"/>
    <sheet name="versiebeheer" sheetId="51" r:id="rId32"/>
  </sheets>
  <definedNames>
    <definedName name="_Toc352313866" localSheetId="15">'EF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2020">data!$C$9</definedName>
    <definedName name="aantalHuishoudens2011">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CF_PW_SW_CNG_CNG">'ECF transport '!#REF!</definedName>
    <definedName name="ECF_PW_SW_Diesel_Diesel">'ECF transport '!#REF!</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data!$B$8</definedName>
    <definedName name="vkm_2011_bus">data!$B$83</definedName>
    <definedName name="vkm_2011_GW_LV">data!#REF!</definedName>
    <definedName name="vkm_2011_GW_PW">data!$D$73</definedName>
    <definedName name="vkm_2011_GW_ZV">data!$D$74</definedName>
    <definedName name="vkm_2011_NGW_LV">data!#REF!</definedName>
    <definedName name="vkm_2011_NGW_PW">data!$D$75</definedName>
    <definedName name="vkm_2011_NGW_ZV">data!$D$76</definedName>
    <definedName name="vkm_2011_SW_LV">data!#REF!</definedName>
    <definedName name="vkm_2011_SW_PW">data!$D$77</definedName>
    <definedName name="vkm_2011_SW_ZV">data!$D$78</definedName>
    <definedName name="vkm_2011_tram">data!$B$84</definedName>
    <definedName name="vkm_2020_bus">data!$C$83</definedName>
    <definedName name="vkm_2020_GW_LV">data!#REF!</definedName>
    <definedName name="vkm_2020_GW_PW">data!$E$73</definedName>
    <definedName name="vkm_2020_GW_ZV">data!$E$74</definedName>
    <definedName name="vkm_2020_NGW_LV">data!#REF!</definedName>
    <definedName name="vkm_2020_NGW_PW">data!$E$75</definedName>
    <definedName name="vkm_2020_NGW_ZV">data!$E$76</definedName>
    <definedName name="vkm_2020_SW_LV">data!#REF!</definedName>
    <definedName name="vkm_2020_SW_PW">data!$E$77</definedName>
    <definedName name="vkm_2020_SW_ZV">data!$E$78</definedName>
    <definedName name="vkm_2020_tram">data!$C$84</definedName>
    <definedName name="WP_HH_bestaande_bouw">data!$B$132</definedName>
    <definedName name="WP_NHH_bestaande_bouw">data!$B$131</definedName>
    <definedName name="ZB_HH_bestaande_bouw">data!$B$129</definedName>
    <definedName name="ZB_NHH_bestaande_bouw">data!$B$130</definedName>
  </definedNames>
  <calcPr calcId="125725" calcMode="manual"/>
</workbook>
</file>

<file path=xl/calcChain.xml><?xml version="1.0" encoding="utf-8"?>
<calcChain xmlns="http://schemas.openxmlformats.org/spreadsheetml/2006/main">
  <c r="P7" i="56"/>
  <c r="P6"/>
  <c r="P5"/>
  <c r="P4"/>
  <c r="K22" i="18" l="1"/>
  <c r="J22"/>
  <c r="I22"/>
  <c r="H22"/>
  <c r="K12"/>
  <c r="J12"/>
  <c r="I12"/>
  <c r="H12"/>
  <c r="L19"/>
  <c r="K19"/>
  <c r="J19"/>
  <c r="I19"/>
  <c r="H19"/>
  <c r="G19"/>
  <c r="G20" s="1"/>
  <c r="F19"/>
  <c r="E19"/>
  <c r="D19"/>
  <c r="C19"/>
  <c r="B19"/>
  <c r="N18"/>
  <c r="M18"/>
  <c r="L18"/>
  <c r="L20" s="1"/>
  <c r="K18"/>
  <c r="J18"/>
  <c r="I18"/>
  <c r="H18"/>
  <c r="G18"/>
  <c r="F18"/>
  <c r="E18"/>
  <c r="D18"/>
  <c r="D20" s="1"/>
  <c r="C18"/>
  <c r="B18"/>
  <c r="L9"/>
  <c r="K9"/>
  <c r="K10" s="1"/>
  <c r="G9"/>
  <c r="F9"/>
  <c r="E9"/>
  <c r="D9"/>
  <c r="C9"/>
  <c r="W92"/>
  <c r="V92"/>
  <c r="U92"/>
  <c r="T92"/>
  <c r="S92"/>
  <c r="R92"/>
  <c r="Q92"/>
  <c r="P92"/>
  <c r="O92"/>
  <c r="N92"/>
  <c r="M92"/>
  <c r="W91"/>
  <c r="V91"/>
  <c r="U91"/>
  <c r="T91"/>
  <c r="S91"/>
  <c r="R91"/>
  <c r="Q91"/>
  <c r="P91"/>
  <c r="O91"/>
  <c r="N91"/>
  <c r="M91"/>
  <c r="W90"/>
  <c r="V90"/>
  <c r="U90"/>
  <c r="T90"/>
  <c r="S90"/>
  <c r="R90"/>
  <c r="Q90"/>
  <c r="P90"/>
  <c r="O90"/>
  <c r="N90"/>
  <c r="M90"/>
  <c r="W89"/>
  <c r="H9" s="1"/>
  <c r="V89"/>
  <c r="J9" s="1"/>
  <c r="U89"/>
  <c r="T89"/>
  <c r="I9" s="1"/>
  <c r="S89"/>
  <c r="R89"/>
  <c r="Q89"/>
  <c r="P89"/>
  <c r="O89"/>
  <c r="N89"/>
  <c r="B9" s="1"/>
  <c r="M89"/>
  <c r="W61"/>
  <c r="V61"/>
  <c r="U61"/>
  <c r="T61"/>
  <c r="S61"/>
  <c r="R61"/>
  <c r="Q61"/>
  <c r="P61"/>
  <c r="O61"/>
  <c r="N61"/>
  <c r="M61"/>
  <c r="W60"/>
  <c r="V60"/>
  <c r="U60"/>
  <c r="T60"/>
  <c r="S60"/>
  <c r="R60"/>
  <c r="Q60"/>
  <c r="P60"/>
  <c r="O60"/>
  <c r="N60"/>
  <c r="M60"/>
  <c r="W59"/>
  <c r="V59"/>
  <c r="U59"/>
  <c r="T59"/>
  <c r="S59"/>
  <c r="R59"/>
  <c r="Q59"/>
  <c r="P59"/>
  <c r="O59"/>
  <c r="N59"/>
  <c r="M59"/>
  <c r="W58"/>
  <c r="V58"/>
  <c r="U58"/>
  <c r="T58"/>
  <c r="S58"/>
  <c r="R58"/>
  <c r="Q58"/>
  <c r="P58"/>
  <c r="O58"/>
  <c r="N58"/>
  <c r="C98" s="1"/>
  <c r="M58"/>
  <c r="G22"/>
  <c r="F22"/>
  <c r="E22"/>
  <c r="D22"/>
  <c r="C22"/>
  <c r="K20"/>
  <c r="B17"/>
  <c r="B20" s="1"/>
  <c r="G12"/>
  <c r="F12"/>
  <c r="E12"/>
  <c r="D12"/>
  <c r="C12"/>
  <c r="L10"/>
  <c r="G10"/>
  <c r="F10"/>
  <c r="D10"/>
  <c r="B6"/>
  <c r="B5"/>
  <c r="B4"/>
  <c r="B8" l="1"/>
  <c r="O9"/>
  <c r="O19"/>
  <c r="B98"/>
  <c r="B10"/>
  <c r="F20"/>
  <c r="O18"/>
  <c r="I102"/>
  <c r="H17" s="1"/>
  <c r="H20" s="1"/>
  <c r="E102"/>
  <c r="E17" s="1"/>
  <c r="E20" s="1"/>
  <c r="G102"/>
  <c r="C102"/>
  <c r="H102"/>
  <c r="D102"/>
  <c r="F102"/>
  <c r="B102"/>
  <c r="C17" s="1"/>
  <c r="I101"/>
  <c r="H8" s="1"/>
  <c r="H10" s="1"/>
  <c r="E101"/>
  <c r="E8" s="1"/>
  <c r="E10" s="1"/>
  <c r="G101"/>
  <c r="C101"/>
  <c r="H101"/>
  <c r="D101"/>
  <c r="F101"/>
  <c r="B101"/>
  <c r="C8" s="1"/>
  <c r="N6" i="17"/>
  <c r="L6"/>
  <c r="F6"/>
  <c r="D6"/>
  <c r="C6"/>
  <c r="N16" i="16"/>
  <c r="L16"/>
  <c r="F16"/>
  <c r="D16"/>
  <c r="C16"/>
  <c r="B16"/>
  <c r="B13" i="15"/>
  <c r="C10" i="18" l="1"/>
  <c r="C20"/>
  <c r="I8"/>
  <c r="I10" s="1"/>
  <c r="I17"/>
  <c r="I20" s="1"/>
  <c r="J8"/>
  <c r="J10" s="1"/>
  <c r="J17"/>
  <c r="J20" s="1"/>
  <c r="B19" i="6"/>
  <c r="B18"/>
  <c r="B5"/>
  <c r="C29" i="14" s="1"/>
  <c r="B6" i="6"/>
  <c r="C64" i="14" s="1"/>
  <c r="P7" i="48"/>
  <c r="P25" s="1"/>
  <c r="O7"/>
  <c r="O25" s="1"/>
  <c r="M7"/>
  <c r="K7"/>
  <c r="I7"/>
  <c r="H7"/>
  <c r="G7"/>
  <c r="P10"/>
  <c r="P28" s="1"/>
  <c r="O10"/>
  <c r="N10"/>
  <c r="L10"/>
  <c r="K10"/>
  <c r="J10"/>
  <c r="I10"/>
  <c r="H10"/>
  <c r="F10"/>
  <c r="E10"/>
  <c r="D10"/>
  <c r="C10"/>
  <c r="P9"/>
  <c r="P27" s="1"/>
  <c r="O9"/>
  <c r="O27" s="1"/>
  <c r="N9"/>
  <c r="L9"/>
  <c r="K9"/>
  <c r="J9"/>
  <c r="I9"/>
  <c r="F9"/>
  <c r="C9"/>
  <c r="P13"/>
  <c r="P31" s="1"/>
  <c r="O13"/>
  <c r="O31" s="1"/>
  <c r="N13"/>
  <c r="L13"/>
  <c r="K13"/>
  <c r="J13"/>
  <c r="I13"/>
  <c r="F13"/>
  <c r="E13"/>
  <c r="D13"/>
  <c r="C13"/>
  <c r="B13"/>
  <c r="M8"/>
  <c r="K8"/>
  <c r="I8"/>
  <c r="H8"/>
  <c r="G8"/>
  <c r="B12"/>
  <c r="P17"/>
  <c r="P32" s="1"/>
  <c r="O17"/>
  <c r="O32" s="1"/>
  <c r="M4"/>
  <c r="L4"/>
  <c r="K4"/>
  <c r="I4"/>
  <c r="H4"/>
  <c r="G4"/>
  <c r="P11"/>
  <c r="O11"/>
  <c r="O29" s="1"/>
  <c r="N11"/>
  <c r="M11"/>
  <c r="L11"/>
  <c r="K11"/>
  <c r="J11"/>
  <c r="I11"/>
  <c r="H11"/>
  <c r="G11"/>
  <c r="F11"/>
  <c r="E11"/>
  <c r="D11"/>
  <c r="C11"/>
  <c r="B11"/>
  <c r="Q11" s="1"/>
  <c r="Q12"/>
  <c r="P29"/>
  <c r="O28"/>
  <c r="O89" i="14"/>
  <c r="O19" i="56" s="1"/>
  <c r="N89" i="14"/>
  <c r="N19" i="56" s="1"/>
  <c r="M89" i="14"/>
  <c r="M19" i="56" s="1"/>
  <c r="L89" i="14"/>
  <c r="L19" i="56" s="1"/>
  <c r="K89" i="14"/>
  <c r="K19" i="56" s="1"/>
  <c r="J89" i="14"/>
  <c r="J19" i="56" s="1"/>
  <c r="I89" i="14"/>
  <c r="I19" i="56" s="1"/>
  <c r="H89" i="14"/>
  <c r="H19" i="56" s="1"/>
  <c r="G89" i="14"/>
  <c r="G19" i="56" s="1"/>
  <c r="F89" i="14"/>
  <c r="F19" i="56" s="1"/>
  <c r="E89" i="14"/>
  <c r="E19" i="56" s="1"/>
  <c r="D89" i="14"/>
  <c r="D19" i="56" s="1"/>
  <c r="O88" i="14"/>
  <c r="N88"/>
  <c r="N18" i="56" s="1"/>
  <c r="M88" i="14"/>
  <c r="M18" i="56" s="1"/>
  <c r="L88" i="14"/>
  <c r="L18" i="56" s="1"/>
  <c r="K88" i="14"/>
  <c r="J88"/>
  <c r="J18" i="56" s="1"/>
  <c r="I88" i="14"/>
  <c r="I18" i="56" s="1"/>
  <c r="H88" i="14"/>
  <c r="H18" i="56" s="1"/>
  <c r="G88" i="14"/>
  <c r="F88"/>
  <c r="F18" i="56" s="1"/>
  <c r="E88" i="14"/>
  <c r="E18" i="56" s="1"/>
  <c r="D88" i="14"/>
  <c r="O87"/>
  <c r="O17" i="56" s="1"/>
  <c r="N87" i="14"/>
  <c r="N17" i="56" s="1"/>
  <c r="M87" i="14"/>
  <c r="M17" i="56" s="1"/>
  <c r="L87" i="14"/>
  <c r="K87"/>
  <c r="K17" i="56" s="1"/>
  <c r="I87" i="14"/>
  <c r="I17" i="56" s="1"/>
  <c r="H87" i="14"/>
  <c r="H17" i="56" s="1"/>
  <c r="G87" i="14"/>
  <c r="G17" i="56" s="1"/>
  <c r="F87" i="14"/>
  <c r="F17" i="56" s="1"/>
  <c r="F20" s="1"/>
  <c r="E87" i="14"/>
  <c r="E17" i="56" s="1"/>
  <c r="E20" s="1"/>
  <c r="D87" i="14"/>
  <c r="O77"/>
  <c r="N77"/>
  <c r="N9" i="56" s="1"/>
  <c r="M77" i="14"/>
  <c r="M9" i="56" s="1"/>
  <c r="L77" i="14"/>
  <c r="L9" i="56" s="1"/>
  <c r="K77" i="14"/>
  <c r="K9" i="56" s="1"/>
  <c r="J77" i="14"/>
  <c r="J9" i="56" s="1"/>
  <c r="I77" i="14"/>
  <c r="I9" i="56" s="1"/>
  <c r="H77" i="14"/>
  <c r="G77"/>
  <c r="G9" i="56" s="1"/>
  <c r="F77" i="14"/>
  <c r="F9" i="56" s="1"/>
  <c r="E77" i="14"/>
  <c r="E9" i="56" s="1"/>
  <c r="D77" i="14"/>
  <c r="O76"/>
  <c r="O8" i="56" s="1"/>
  <c r="N76" i="14"/>
  <c r="M76"/>
  <c r="L76"/>
  <c r="L8" i="56" s="1"/>
  <c r="K76" i="14"/>
  <c r="I76"/>
  <c r="I8" i="56" s="1"/>
  <c r="H76" i="14"/>
  <c r="H8" i="56" s="1"/>
  <c r="G76" i="14"/>
  <c r="G8" i="56" s="1"/>
  <c r="F76" i="14"/>
  <c r="F8" i="56" s="1"/>
  <c r="F10" s="1"/>
  <c r="E76" i="14"/>
  <c r="D76"/>
  <c r="D8" i="56" s="1"/>
  <c r="B75" i="14"/>
  <c r="B7" i="56" s="1"/>
  <c r="B74" i="14"/>
  <c r="B6" i="56" s="1"/>
  <c r="B73" i="14"/>
  <c r="B5" i="56" s="1"/>
  <c r="B72" i="14"/>
  <c r="B4" i="56" s="1"/>
  <c r="Q54" i="14"/>
  <c r="P54"/>
  <c r="L54"/>
  <c r="J54"/>
  <c r="I54"/>
  <c r="H54"/>
  <c r="Q24"/>
  <c r="P24"/>
  <c r="P26" s="1"/>
  <c r="N24"/>
  <c r="L24"/>
  <c r="J24"/>
  <c r="J26" s="1"/>
  <c r="I24"/>
  <c r="H24"/>
  <c r="Q50"/>
  <c r="P50"/>
  <c r="O50"/>
  <c r="M50"/>
  <c r="L50"/>
  <c r="K50"/>
  <c r="J50"/>
  <c r="G50"/>
  <c r="D50"/>
  <c r="Q49"/>
  <c r="Q52" s="1"/>
  <c r="P49"/>
  <c r="P52" s="1"/>
  <c r="Q20"/>
  <c r="P20"/>
  <c r="O20"/>
  <c r="M20"/>
  <c r="L20"/>
  <c r="K20"/>
  <c r="J20"/>
  <c r="G20"/>
  <c r="D20"/>
  <c r="Q19"/>
  <c r="P19"/>
  <c r="O19"/>
  <c r="M19"/>
  <c r="L19"/>
  <c r="L22" s="1"/>
  <c r="K19"/>
  <c r="K22" s="1"/>
  <c r="J19"/>
  <c r="I19"/>
  <c r="G19"/>
  <c r="F19"/>
  <c r="E19"/>
  <c r="D19"/>
  <c r="D22" s="1"/>
  <c r="Q48"/>
  <c r="P48"/>
  <c r="O48"/>
  <c r="M48"/>
  <c r="L48"/>
  <c r="K48"/>
  <c r="J48"/>
  <c r="G48"/>
  <c r="D48"/>
  <c r="Q18"/>
  <c r="Q22" s="1"/>
  <c r="P18"/>
  <c r="P22" s="1"/>
  <c r="O18"/>
  <c r="M18"/>
  <c r="M22" s="1"/>
  <c r="L18"/>
  <c r="K18"/>
  <c r="J18"/>
  <c r="J22" s="1"/>
  <c r="G18"/>
  <c r="F18"/>
  <c r="E18"/>
  <c r="D18"/>
  <c r="C18"/>
  <c r="L43"/>
  <c r="J43"/>
  <c r="I43"/>
  <c r="H43"/>
  <c r="N13"/>
  <c r="L13"/>
  <c r="J13"/>
  <c r="I13"/>
  <c r="H13"/>
  <c r="C12"/>
  <c r="L41"/>
  <c r="J41"/>
  <c r="I41"/>
  <c r="H41"/>
  <c r="N11"/>
  <c r="M11"/>
  <c r="L11"/>
  <c r="J11"/>
  <c r="I11"/>
  <c r="H11"/>
  <c r="I39"/>
  <c r="H39"/>
  <c r="Q9"/>
  <c r="P9"/>
  <c r="O9"/>
  <c r="N9"/>
  <c r="M9"/>
  <c r="L9"/>
  <c r="K9"/>
  <c r="J9"/>
  <c r="I9"/>
  <c r="H9"/>
  <c r="G9"/>
  <c r="F9"/>
  <c r="E9"/>
  <c r="D9"/>
  <c r="C9"/>
  <c r="R90"/>
  <c r="N90"/>
  <c r="H90"/>
  <c r="R78"/>
  <c r="G78"/>
  <c r="P56"/>
  <c r="L56"/>
  <c r="J56"/>
  <c r="H56"/>
  <c r="Q56"/>
  <c r="I56"/>
  <c r="R44"/>
  <c r="Q26"/>
  <c r="N26"/>
  <c r="I26"/>
  <c r="E25"/>
  <c r="D14" i="48" s="1"/>
  <c r="C25" i="14"/>
  <c r="B14" i="48" s="1"/>
  <c r="L26" i="14"/>
  <c r="H26"/>
  <c r="O22"/>
  <c r="G22"/>
  <c r="R12"/>
  <c r="F13" i="15"/>
  <c r="D13"/>
  <c r="C13"/>
  <c r="Q14" i="48" l="1"/>
  <c r="N78" i="14"/>
  <c r="N8" i="56"/>
  <c r="N10" s="1"/>
  <c r="M78" i="14"/>
  <c r="M8" i="56"/>
  <c r="M10" s="1"/>
  <c r="H78" i="14"/>
  <c r="H9" i="56"/>
  <c r="H10" s="1"/>
  <c r="Q87" i="14"/>
  <c r="P17" i="56" s="1"/>
  <c r="D17"/>
  <c r="K78" i="14"/>
  <c r="K8" i="56"/>
  <c r="K10" s="1"/>
  <c r="O78" i="14"/>
  <c r="O9" i="56"/>
  <c r="O10" s="1"/>
  <c r="L90" i="14"/>
  <c r="L17" i="56"/>
  <c r="L20" s="1"/>
  <c r="G90" i="14"/>
  <c r="G18" i="56"/>
  <c r="O90" i="14"/>
  <c r="O18" i="56"/>
  <c r="F90" i="14"/>
  <c r="M20" i="56"/>
  <c r="K20"/>
  <c r="L78" i="14"/>
  <c r="J76"/>
  <c r="N20" i="56"/>
  <c r="C76" i="14"/>
  <c r="C8" i="56" s="1"/>
  <c r="C10" s="1"/>
  <c r="E8"/>
  <c r="E10" s="1"/>
  <c r="C77" i="14"/>
  <c r="C9" i="56" s="1"/>
  <c r="D9"/>
  <c r="D10" s="1"/>
  <c r="Q88" i="14"/>
  <c r="P18" i="56" s="1"/>
  <c r="D18"/>
  <c r="K90" i="14"/>
  <c r="K18" i="56"/>
  <c r="Q89" i="14"/>
  <c r="P19" i="56" s="1"/>
  <c r="I10"/>
  <c r="I20"/>
  <c r="Q76" i="14"/>
  <c r="P8" i="56" s="1"/>
  <c r="L10"/>
  <c r="H20"/>
  <c r="F78" i="14"/>
  <c r="G10" i="56"/>
  <c r="C88" i="14"/>
  <c r="C18" i="56" s="1"/>
  <c r="G20"/>
  <c r="O20"/>
  <c r="D78" i="14"/>
  <c r="Q77"/>
  <c r="O17" i="18"/>
  <c r="O20" s="1"/>
  <c r="J87" i="14"/>
  <c r="B88"/>
  <c r="B18" i="56" s="1"/>
  <c r="C89" i="14"/>
  <c r="C19" i="56" s="1"/>
  <c r="B89" i="14"/>
  <c r="B19" i="56" s="1"/>
  <c r="B77" i="14"/>
  <c r="B9" i="56" s="1"/>
  <c r="O8" i="18"/>
  <c r="O10" s="1"/>
  <c r="N13" i="15"/>
  <c r="L13"/>
  <c r="O24" i="48"/>
  <c r="O30"/>
  <c r="P24"/>
  <c r="P30"/>
  <c r="R9" i="14"/>
  <c r="E78"/>
  <c r="C78"/>
  <c r="I78"/>
  <c r="E55"/>
  <c r="R25"/>
  <c r="E90"/>
  <c r="I90"/>
  <c r="M90"/>
  <c r="D90"/>
  <c r="J8" i="56" l="1"/>
  <c r="J10" s="1"/>
  <c r="J78" i="14"/>
  <c r="Q90"/>
  <c r="B17" i="6" s="1"/>
  <c r="P20" i="56"/>
  <c r="B76" i="14"/>
  <c r="D20" i="56"/>
  <c r="J90" i="14"/>
  <c r="J17" i="56"/>
  <c r="J20" s="1"/>
  <c r="Q78" i="14"/>
  <c r="B9" i="6" s="1"/>
  <c r="P9" i="56"/>
  <c r="P10" s="1"/>
  <c r="C87" i="14"/>
  <c r="C17" i="56" s="1"/>
  <c r="C20" s="1"/>
  <c r="C90" i="14"/>
  <c r="B87"/>
  <c r="B90" l="1"/>
  <c r="B17" i="56"/>
  <c r="B20" s="1"/>
  <c r="B8"/>
  <c r="B10" s="1"/>
  <c r="B78" i="14"/>
  <c r="B4" i="6" s="1"/>
  <c r="D5" i="17"/>
  <c r="H14" i="15" l="1"/>
  <c r="H16" s="1"/>
  <c r="G14"/>
  <c r="G16" s="1"/>
  <c r="I10" i="14" l="1"/>
  <c r="I16" s="1"/>
  <c r="H5" i="48"/>
  <c r="H10" i="14"/>
  <c r="H16" s="1"/>
  <c r="G5" i="48"/>
  <c r="A32" i="23"/>
  <c r="A33"/>
  <c r="G56" i="22" l="1"/>
  <c r="N25" l="1"/>
  <c r="N24"/>
  <c r="A6" i="23" l="1"/>
  <c r="A5"/>
  <c r="A3"/>
  <c r="A4"/>
  <c r="A7"/>
  <c r="A8"/>
  <c r="A9"/>
  <c r="A10"/>
  <c r="A11"/>
  <c r="A12"/>
  <c r="A13"/>
  <c r="A14"/>
  <c r="A15"/>
  <c r="A16"/>
  <c r="A17"/>
  <c r="A18"/>
  <c r="A19"/>
  <c r="A20"/>
  <c r="A21"/>
  <c r="A22"/>
  <c r="A23"/>
  <c r="A24"/>
  <c r="A25"/>
  <c r="A26"/>
  <c r="A27"/>
  <c r="A28"/>
  <c r="A29"/>
  <c r="A30"/>
  <c r="A31"/>
  <c r="A2"/>
  <c r="D11" i="22" l="1"/>
  <c r="D9"/>
  <c r="D7"/>
  <c r="D10"/>
  <c r="D8"/>
  <c r="E11"/>
  <c r="B10"/>
  <c r="E7"/>
  <c r="B6"/>
  <c r="B11"/>
  <c r="E10"/>
  <c r="B9"/>
  <c r="E8"/>
  <c r="B7"/>
  <c r="E6"/>
  <c r="D6"/>
  <c r="E9"/>
  <c r="B8"/>
  <c r="B52"/>
  <c r="M15" i="19" l="1"/>
  <c r="M14" i="15" s="1"/>
  <c r="M16" s="1"/>
  <c r="O15" i="19"/>
  <c r="P15"/>
  <c r="N10" i="14" l="1"/>
  <c r="N16" s="1"/>
  <c r="M5" i="48"/>
  <c r="E35" i="50"/>
  <c r="E34" s="1"/>
  <c r="E33"/>
  <c r="E32" s="1"/>
  <c r="E31"/>
  <c r="E30"/>
  <c r="E29"/>
  <c r="E28"/>
  <c r="E77" i="22" l="1"/>
  <c r="B28" i="17" l="1"/>
  <c r="B27"/>
  <c r="B26"/>
  <c r="B31" i="19" l="1"/>
  <c r="B24"/>
  <c r="V32" i="5" l="1"/>
  <c r="R32"/>
  <c r="F32"/>
  <c r="W32" s="1"/>
  <c r="AC32" s="1"/>
  <c r="V31"/>
  <c r="R31"/>
  <c r="F31"/>
  <c r="V30"/>
  <c r="R30"/>
  <c r="F30"/>
  <c r="V29"/>
  <c r="R29"/>
  <c r="F29"/>
  <c r="V28"/>
  <c r="R28"/>
  <c r="F28"/>
  <c r="V27"/>
  <c r="R27"/>
  <c r="F27"/>
  <c r="V24"/>
  <c r="R24"/>
  <c r="F24"/>
  <c r="V23"/>
  <c r="R23"/>
  <c r="F23"/>
  <c r="V22"/>
  <c r="R22"/>
  <c r="F22"/>
  <c r="V21"/>
  <c r="R21"/>
  <c r="F21"/>
  <c r="V20"/>
  <c r="R20"/>
  <c r="F20"/>
  <c r="V19"/>
  <c r="R19"/>
  <c r="F19"/>
  <c r="V18"/>
  <c r="R18"/>
  <c r="F18"/>
  <c r="V17"/>
  <c r="R17"/>
  <c r="F17"/>
  <c r="V16"/>
  <c r="R16"/>
  <c r="F16"/>
  <c r="AB15"/>
  <c r="AA15"/>
  <c r="Z15"/>
  <c r="Y15"/>
  <c r="X15"/>
  <c r="U15"/>
  <c r="T15"/>
  <c r="S15"/>
  <c r="Q15"/>
  <c r="P15"/>
  <c r="O15"/>
  <c r="N15"/>
  <c r="M15"/>
  <c r="L15"/>
  <c r="K15"/>
  <c r="J15"/>
  <c r="I15"/>
  <c r="H15"/>
  <c r="G15"/>
  <c r="E15"/>
  <c r="D15"/>
  <c r="C15"/>
  <c r="V14"/>
  <c r="R14"/>
  <c r="F14"/>
  <c r="V13"/>
  <c r="R13"/>
  <c r="F13"/>
  <c r="V12"/>
  <c r="R12"/>
  <c r="F12"/>
  <c r="V11"/>
  <c r="R11"/>
  <c r="F11"/>
  <c r="V10"/>
  <c r="R10"/>
  <c r="F10"/>
  <c r="V9"/>
  <c r="R9"/>
  <c r="F9"/>
  <c r="AB8"/>
  <c r="AA8"/>
  <c r="Z8"/>
  <c r="Y8"/>
  <c r="X8"/>
  <c r="U8"/>
  <c r="T8"/>
  <c r="S8"/>
  <c r="Q8"/>
  <c r="P8"/>
  <c r="O8"/>
  <c r="N8"/>
  <c r="M8"/>
  <c r="L8"/>
  <c r="K8"/>
  <c r="J8"/>
  <c r="I8"/>
  <c r="H8"/>
  <c r="G8"/>
  <c r="E8"/>
  <c r="D8"/>
  <c r="C8"/>
  <c r="V7"/>
  <c r="R7"/>
  <c r="F7"/>
  <c r="W12" l="1"/>
  <c r="AC12" s="1"/>
  <c r="W24"/>
  <c r="AC24" s="1"/>
  <c r="W29"/>
  <c r="AC29" s="1"/>
  <c r="W10"/>
  <c r="AC10" s="1"/>
  <c r="W17"/>
  <c r="AC17" s="1"/>
  <c r="W21"/>
  <c r="AC21" s="1"/>
  <c r="W18"/>
  <c r="AC18" s="1"/>
  <c r="W22"/>
  <c r="AC22" s="1"/>
  <c r="W28"/>
  <c r="AC28" s="1"/>
  <c r="W7"/>
  <c r="AC7" s="1"/>
  <c r="V8"/>
  <c r="W11"/>
  <c r="AC11" s="1"/>
  <c r="R15"/>
  <c r="W23"/>
  <c r="AC23" s="1"/>
  <c r="W30"/>
  <c r="AC30" s="1"/>
  <c r="W14"/>
  <c r="AC14" s="1"/>
  <c r="W19"/>
  <c r="AC19" s="1"/>
  <c r="W13"/>
  <c r="AC13" s="1"/>
  <c r="V15"/>
  <c r="W20"/>
  <c r="AC20" s="1"/>
  <c r="W31"/>
  <c r="AC31" s="1"/>
  <c r="W9"/>
  <c r="F8"/>
  <c r="R8"/>
  <c r="W16"/>
  <c r="W27"/>
  <c r="F15"/>
  <c r="AC16" l="1"/>
  <c r="AC15" s="1"/>
  <c r="W15"/>
  <c r="AC27"/>
  <c r="W8"/>
  <c r="AC9"/>
  <c r="AC8" s="1"/>
  <c r="B46" i="15" l="1"/>
  <c r="B69" i="13"/>
  <c r="B35" i="19" l="1"/>
  <c r="B26"/>
  <c r="B27" s="1"/>
  <c r="B6" i="13" l="1"/>
  <c r="B17" i="17" l="1"/>
  <c r="B34" l="1"/>
  <c r="B18" i="13" l="1"/>
  <c r="B19"/>
  <c r="B20"/>
  <c r="B21"/>
  <c r="B6" i="16" l="1"/>
  <c r="A78" i="22" l="1"/>
  <c r="C77"/>
  <c r="A77"/>
  <c r="A76"/>
  <c r="E75"/>
  <c r="D75"/>
  <c r="A75"/>
  <c r="E74"/>
  <c r="D74"/>
  <c r="A74"/>
  <c r="B64"/>
  <c r="N56"/>
  <c r="M56"/>
  <c r="L56"/>
  <c r="K56"/>
  <c r="J56"/>
  <c r="I56"/>
  <c r="H56"/>
  <c r="F56"/>
  <c r="E56"/>
  <c r="D56"/>
  <c r="B50"/>
  <c r="B54" s="1"/>
  <c r="P50"/>
  <c r="P54" s="1"/>
  <c r="O50"/>
  <c r="O54" s="1"/>
  <c r="N50"/>
  <c r="N54" s="1"/>
  <c r="L50"/>
  <c r="L54" s="1"/>
  <c r="K50"/>
  <c r="K54" s="1"/>
  <c r="J50"/>
  <c r="J54" s="1"/>
  <c r="I50"/>
  <c r="I54" s="1"/>
  <c r="H50"/>
  <c r="H54" s="1"/>
  <c r="F50"/>
  <c r="F54" s="1"/>
  <c r="E50"/>
  <c r="E54" s="1"/>
  <c r="D50"/>
  <c r="D54" s="1"/>
  <c r="C50"/>
  <c r="C54" s="1"/>
  <c r="C42"/>
  <c r="C35"/>
  <c r="N16"/>
  <c r="M16"/>
  <c r="L16"/>
  <c r="K16"/>
  <c r="J16"/>
  <c r="I16"/>
  <c r="H16"/>
  <c r="G16"/>
  <c r="F16"/>
  <c r="E16"/>
  <c r="D16"/>
  <c r="B29" i="17"/>
  <c r="C29" s="1"/>
  <c r="C28"/>
  <c r="C27"/>
  <c r="C26"/>
  <c r="J5"/>
  <c r="N10"/>
  <c r="M10"/>
  <c r="M12" s="1"/>
  <c r="N54" i="14" s="1"/>
  <c r="N56" s="1"/>
  <c r="L10" i="17"/>
  <c r="K10"/>
  <c r="J10"/>
  <c r="I10"/>
  <c r="H10"/>
  <c r="G10"/>
  <c r="F10"/>
  <c r="E10"/>
  <c r="D10"/>
  <c r="F5"/>
  <c r="C5"/>
  <c r="B5"/>
  <c r="B8" s="1"/>
  <c r="B51" i="16"/>
  <c r="P5" s="1"/>
  <c r="B45"/>
  <c r="B43"/>
  <c r="B37"/>
  <c r="C37" s="1"/>
  <c r="F15" s="1"/>
  <c r="B36"/>
  <c r="C36" s="1"/>
  <c r="J14" s="1"/>
  <c r="B35"/>
  <c r="B34"/>
  <c r="B12" s="1"/>
  <c r="B33"/>
  <c r="C33" s="1"/>
  <c r="F11" s="1"/>
  <c r="B32"/>
  <c r="C32" s="1"/>
  <c r="J10" s="1"/>
  <c r="B31"/>
  <c r="C31" s="1"/>
  <c r="F9" s="1"/>
  <c r="B30"/>
  <c r="C30" s="1"/>
  <c r="N8" s="1"/>
  <c r="B29"/>
  <c r="C29" s="1"/>
  <c r="N20"/>
  <c r="M20"/>
  <c r="M22" s="1"/>
  <c r="N43" i="14" s="1"/>
  <c r="L20" i="16"/>
  <c r="K20"/>
  <c r="J20"/>
  <c r="I20"/>
  <c r="H20"/>
  <c r="G20"/>
  <c r="F20"/>
  <c r="E20"/>
  <c r="D20"/>
  <c r="D15"/>
  <c r="D14"/>
  <c r="D13"/>
  <c r="D12"/>
  <c r="D11"/>
  <c r="D10"/>
  <c r="D9"/>
  <c r="D8"/>
  <c r="D7"/>
  <c r="D6"/>
  <c r="C5"/>
  <c r="B40" i="15"/>
  <c r="B38"/>
  <c r="B32"/>
  <c r="C32" s="1"/>
  <c r="N12" s="1"/>
  <c r="B31"/>
  <c r="C31" s="1"/>
  <c r="E11" s="1"/>
  <c r="B30"/>
  <c r="C30" s="1"/>
  <c r="E10" s="1"/>
  <c r="B29"/>
  <c r="C29" s="1"/>
  <c r="J9" s="1"/>
  <c r="B28"/>
  <c r="C28" s="1"/>
  <c r="N8" s="1"/>
  <c r="B27"/>
  <c r="C27" s="1"/>
  <c r="F7" s="1"/>
  <c r="B26"/>
  <c r="C26" s="1"/>
  <c r="E6" s="1"/>
  <c r="N18"/>
  <c r="M18"/>
  <c r="L18"/>
  <c r="K18"/>
  <c r="J18"/>
  <c r="I18"/>
  <c r="H18"/>
  <c r="G18"/>
  <c r="F18"/>
  <c r="E18"/>
  <c r="D18"/>
  <c r="D12"/>
  <c r="D11"/>
  <c r="D10"/>
  <c r="D9"/>
  <c r="D8"/>
  <c r="D7"/>
  <c r="D6"/>
  <c r="P5"/>
  <c r="P16" s="1"/>
  <c r="C5"/>
  <c r="B77" i="13"/>
  <c r="P5" s="1"/>
  <c r="P8" s="1"/>
  <c r="B71"/>
  <c r="B52"/>
  <c r="B49"/>
  <c r="B45"/>
  <c r="B29"/>
  <c r="B32" s="1"/>
  <c r="B44" s="1"/>
  <c r="B28"/>
  <c r="B26"/>
  <c r="B25"/>
  <c r="B24"/>
  <c r="B23"/>
  <c r="B22"/>
  <c r="N10"/>
  <c r="N17" i="48" s="1"/>
  <c r="M10" i="13"/>
  <c r="L10"/>
  <c r="L17" i="48" s="1"/>
  <c r="K10" i="13"/>
  <c r="K17" i="48" s="1"/>
  <c r="J10" i="13"/>
  <c r="J17" i="48" s="1"/>
  <c r="I10" i="13"/>
  <c r="I17" i="48" s="1"/>
  <c r="H10" i="13"/>
  <c r="H17" i="48" s="1"/>
  <c r="G10" i="13"/>
  <c r="G17" i="48" s="1"/>
  <c r="F10" i="13"/>
  <c r="F17" i="48" s="1"/>
  <c r="E10" i="13"/>
  <c r="E17" i="48" s="1"/>
  <c r="D10" i="13"/>
  <c r="D17" i="48" s="1"/>
  <c r="M8" i="13"/>
  <c r="L8"/>
  <c r="O5"/>
  <c r="O8" s="1"/>
  <c r="D5"/>
  <c r="D8" s="1"/>
  <c r="C5"/>
  <c r="C8" s="1"/>
  <c r="B5"/>
  <c r="B8" s="1"/>
  <c r="B5" i="9"/>
  <c r="E21" i="50"/>
  <c r="E20"/>
  <c r="E19"/>
  <c r="D18"/>
  <c r="E18" s="1"/>
  <c r="D17"/>
  <c r="E17" s="1"/>
  <c r="E16"/>
  <c r="E15"/>
  <c r="E14"/>
  <c r="E13"/>
  <c r="E12"/>
  <c r="E11"/>
  <c r="E10"/>
  <c r="E9"/>
  <c r="E8"/>
  <c r="E7"/>
  <c r="E6"/>
  <c r="E5"/>
  <c r="N29" i="20"/>
  <c r="M29"/>
  <c r="L29"/>
  <c r="K29"/>
  <c r="J29"/>
  <c r="I29"/>
  <c r="H29"/>
  <c r="G29"/>
  <c r="F29"/>
  <c r="E29"/>
  <c r="D29"/>
  <c r="H26"/>
  <c r="G26"/>
  <c r="E26"/>
  <c r="E27" s="1"/>
  <c r="D26"/>
  <c r="D27" s="1"/>
  <c r="B26"/>
  <c r="B27" s="1"/>
  <c r="N17" i="49"/>
  <c r="M17"/>
  <c r="L17"/>
  <c r="K17"/>
  <c r="J17"/>
  <c r="I17"/>
  <c r="F17"/>
  <c r="E17"/>
  <c r="D17"/>
  <c r="B15"/>
  <c r="B6" i="9" s="1"/>
  <c r="N17" i="19"/>
  <c r="M17"/>
  <c r="M19" s="1"/>
  <c r="N39" i="14" s="1"/>
  <c r="L17" i="19"/>
  <c r="K17"/>
  <c r="J17"/>
  <c r="J19" s="1"/>
  <c r="K39" i="14" s="1"/>
  <c r="I17" i="19"/>
  <c r="F17"/>
  <c r="E17"/>
  <c r="D17"/>
  <c r="P19"/>
  <c r="Q39" i="14" s="1"/>
  <c r="O19" i="19"/>
  <c r="P39" i="14" s="1"/>
  <c r="N15" i="19"/>
  <c r="N14" i="15" s="1"/>
  <c r="L15" i="19"/>
  <c r="L14" i="15" s="1"/>
  <c r="K15" i="19"/>
  <c r="K14" i="15" s="1"/>
  <c r="K16" s="1"/>
  <c r="J15" i="19"/>
  <c r="J14" i="15" s="1"/>
  <c r="I15" i="19"/>
  <c r="I14" i="15" s="1"/>
  <c r="I16" s="1"/>
  <c r="F15" i="19"/>
  <c r="F14" i="15" s="1"/>
  <c r="E15" i="19"/>
  <c r="E14" i="15" s="1"/>
  <c r="D15" i="19"/>
  <c r="C15"/>
  <c r="C14" i="15" s="1"/>
  <c r="B15" i="19"/>
  <c r="B14" i="15" s="1"/>
  <c r="A7" i="31"/>
  <c r="A6"/>
  <c r="G32" i="48" l="1"/>
  <c r="G25"/>
  <c r="G26"/>
  <c r="G24"/>
  <c r="G22"/>
  <c r="G29"/>
  <c r="G30"/>
  <c r="G23"/>
  <c r="F30"/>
  <c r="F24"/>
  <c r="F28"/>
  <c r="F32"/>
  <c r="F31"/>
  <c r="F27"/>
  <c r="F29"/>
  <c r="C19" i="14"/>
  <c r="B10" i="48"/>
  <c r="E32"/>
  <c r="E31"/>
  <c r="E28"/>
  <c r="E24"/>
  <c r="E29"/>
  <c r="E30"/>
  <c r="M12" i="13"/>
  <c r="N41" i="14" s="1"/>
  <c r="M17" i="48"/>
  <c r="L10" i="14"/>
  <c r="L16" s="1"/>
  <c r="L27" s="1"/>
  <c r="K5" i="48"/>
  <c r="D30"/>
  <c r="D31"/>
  <c r="D29"/>
  <c r="D28"/>
  <c r="D24"/>
  <c r="D32"/>
  <c r="L29"/>
  <c r="L31"/>
  <c r="L28"/>
  <c r="L32"/>
  <c r="L27"/>
  <c r="L22"/>
  <c r="L30"/>
  <c r="L24"/>
  <c r="P5"/>
  <c r="P23" s="1"/>
  <c r="Q10" i="14"/>
  <c r="K29" i="48"/>
  <c r="K28"/>
  <c r="K32"/>
  <c r="K27"/>
  <c r="K31"/>
  <c r="K25"/>
  <c r="K24"/>
  <c r="K26"/>
  <c r="K22"/>
  <c r="K30"/>
  <c r="D11" i="14"/>
  <c r="C4" i="48"/>
  <c r="C11" i="14"/>
  <c r="B4" i="48"/>
  <c r="N24"/>
  <c r="N32"/>
  <c r="N30"/>
  <c r="N31"/>
  <c r="N28"/>
  <c r="N29"/>
  <c r="N27"/>
  <c r="J10" i="14"/>
  <c r="J16" s="1"/>
  <c r="J27" s="1"/>
  <c r="I5" i="48"/>
  <c r="J32"/>
  <c r="J30"/>
  <c r="J24"/>
  <c r="J27"/>
  <c r="J31"/>
  <c r="J28"/>
  <c r="J29"/>
  <c r="P4"/>
  <c r="Q11" i="14"/>
  <c r="C24"/>
  <c r="C26" s="1"/>
  <c r="B7" i="48"/>
  <c r="O4"/>
  <c r="P11" i="14"/>
  <c r="I29" i="48"/>
  <c r="I26"/>
  <c r="I32"/>
  <c r="I31"/>
  <c r="I25"/>
  <c r="I24"/>
  <c r="I22"/>
  <c r="I27"/>
  <c r="I28"/>
  <c r="I30"/>
  <c r="E11" i="14"/>
  <c r="D4" i="48"/>
  <c r="D22" s="1"/>
  <c r="H29"/>
  <c r="H32"/>
  <c r="H25"/>
  <c r="H26"/>
  <c r="H24"/>
  <c r="H28"/>
  <c r="H22"/>
  <c r="H30"/>
  <c r="H23"/>
  <c r="B38" i="13"/>
  <c r="B50" s="1"/>
  <c r="D8" i="17"/>
  <c r="D12" s="1"/>
  <c r="E54" i="14" s="1"/>
  <c r="E56" s="1"/>
  <c r="K19" i="19"/>
  <c r="L39" i="14" s="1"/>
  <c r="C18" i="16"/>
  <c r="E8"/>
  <c r="J15"/>
  <c r="F11" i="15"/>
  <c r="D12" i="22"/>
  <c r="D31" i="20"/>
  <c r="E48" i="14" s="1"/>
  <c r="E12" i="22"/>
  <c r="N19" i="19"/>
  <c r="O39" i="14" s="1"/>
  <c r="B8" i="9"/>
  <c r="B6" i="48" s="1"/>
  <c r="Q6" s="1"/>
  <c r="P18" i="16"/>
  <c r="F8" i="17"/>
  <c r="F7" i="48" s="1"/>
  <c r="J8" i="17"/>
  <c r="I19" i="19"/>
  <c r="J39" i="14" s="1"/>
  <c r="B12" i="22"/>
  <c r="E31" i="20"/>
  <c r="F48" i="14" s="1"/>
  <c r="L18" i="16"/>
  <c r="N5" i="17"/>
  <c r="D14" i="15"/>
  <c r="F19" i="19"/>
  <c r="G39" i="14" s="1"/>
  <c r="L19" i="19"/>
  <c r="M39" i="14" s="1"/>
  <c r="E7" i="15"/>
  <c r="O5" i="16"/>
  <c r="L12" i="13"/>
  <c r="M41" i="14" s="1"/>
  <c r="J7" i="15"/>
  <c r="B13" i="16"/>
  <c r="C35"/>
  <c r="C16" i="15"/>
  <c r="L16"/>
  <c r="K20"/>
  <c r="L40" i="14" s="1"/>
  <c r="G9" i="22"/>
  <c r="G7"/>
  <c r="G6"/>
  <c r="G8"/>
  <c r="G10"/>
  <c r="G11"/>
  <c r="M11"/>
  <c r="H8"/>
  <c r="M10"/>
  <c r="H10"/>
  <c r="H9"/>
  <c r="H11"/>
  <c r="H6"/>
  <c r="M6"/>
  <c r="H7"/>
  <c r="M8"/>
  <c r="M7"/>
  <c r="M9"/>
  <c r="B67"/>
  <c r="H27" i="20"/>
  <c r="C78" i="22"/>
  <c r="G51" s="1"/>
  <c r="M27" i="20"/>
  <c r="J11" i="15"/>
  <c r="B7"/>
  <c r="N7"/>
  <c r="B11"/>
  <c r="N11"/>
  <c r="B11" i="16"/>
  <c r="L58" i="22"/>
  <c r="M49" i="14" s="1"/>
  <c r="M52" s="1"/>
  <c r="E58" i="22"/>
  <c r="F49" i="14" s="1"/>
  <c r="J58" i="22"/>
  <c r="K49" i="14" s="1"/>
  <c r="K52" s="1"/>
  <c r="O58" i="22"/>
  <c r="K58"/>
  <c r="L49" i="14" s="1"/>
  <c r="L52" s="1"/>
  <c r="P58" i="22"/>
  <c r="I58"/>
  <c r="J49" i="14" s="1"/>
  <c r="J52" s="1"/>
  <c r="N58" i="22"/>
  <c r="O49" i="14" s="1"/>
  <c r="O52" s="1"/>
  <c r="F58" i="22"/>
  <c r="G49" i="14" s="1"/>
  <c r="G52" s="1"/>
  <c r="G27" i="20"/>
  <c r="D58" i="22"/>
  <c r="E49" i="14" s="1"/>
  <c r="H58" i="22"/>
  <c r="I49" i="14" s="1"/>
  <c r="E12" i="15"/>
  <c r="O5"/>
  <c r="O16" s="1"/>
  <c r="M20"/>
  <c r="N40" i="14" s="1"/>
  <c r="N46" s="1"/>
  <c r="G20" i="15"/>
  <c r="H40" i="14" s="1"/>
  <c r="H46" s="1"/>
  <c r="H20" i="15"/>
  <c r="I40" i="14" s="1"/>
  <c r="I46" s="1"/>
  <c r="F8" i="16"/>
  <c r="J9"/>
  <c r="F6" i="15"/>
  <c r="F8"/>
  <c r="N10" i="16"/>
  <c r="E14"/>
  <c r="D5" i="15"/>
  <c r="B8"/>
  <c r="J8"/>
  <c r="F12"/>
  <c r="I20"/>
  <c r="J40" i="14" s="1"/>
  <c r="B9" i="16"/>
  <c r="N9"/>
  <c r="E8" i="15"/>
  <c r="B10"/>
  <c r="E9" i="16"/>
  <c r="B6" i="15"/>
  <c r="N9"/>
  <c r="J10"/>
  <c r="D5" i="16"/>
  <c r="F10"/>
  <c r="J11"/>
  <c r="B15"/>
  <c r="F14"/>
  <c r="J6" i="15"/>
  <c r="F10"/>
  <c r="B12"/>
  <c r="J12"/>
  <c r="B7" i="16"/>
  <c r="E10"/>
  <c r="N14"/>
  <c r="N11"/>
  <c r="N6" i="15"/>
  <c r="F9"/>
  <c r="N10"/>
  <c r="B8" i="16"/>
  <c r="J8"/>
  <c r="B10"/>
  <c r="E11"/>
  <c r="B14"/>
  <c r="E15"/>
  <c r="E7"/>
  <c r="J7"/>
  <c r="F7"/>
  <c r="N7"/>
  <c r="E9" i="15"/>
  <c r="N15" i="16"/>
  <c r="C34"/>
  <c r="B9" i="15"/>
  <c r="E19" i="19"/>
  <c r="F39" i="14" s="1"/>
  <c r="D19" i="19"/>
  <c r="E39" i="14" s="1"/>
  <c r="E5" i="22"/>
  <c r="D5"/>
  <c r="B5"/>
  <c r="B39" i="13"/>
  <c r="B51" s="1"/>
  <c r="F5" s="1"/>
  <c r="F8" s="1"/>
  <c r="P12"/>
  <c r="Q41" i="14" s="1"/>
  <c r="D12" i="13"/>
  <c r="E41" i="14" s="1"/>
  <c r="C22" i="13"/>
  <c r="C21"/>
  <c r="C20"/>
  <c r="O12"/>
  <c r="P41" i="14" s="1"/>
  <c r="E5" i="17"/>
  <c r="C8"/>
  <c r="P8" i="48" l="1"/>
  <c r="P26" s="1"/>
  <c r="Q13" i="14"/>
  <c r="H18"/>
  <c r="G13" i="48"/>
  <c r="N18" i="14"/>
  <c r="M13" i="48"/>
  <c r="M31" s="1"/>
  <c r="J12" i="17"/>
  <c r="K54" i="14" s="1"/>
  <c r="K56" s="1"/>
  <c r="J7" i="48"/>
  <c r="J25" s="1"/>
  <c r="K24" i="14"/>
  <c r="K26" s="1"/>
  <c r="O22" i="48"/>
  <c r="M22"/>
  <c r="M32"/>
  <c r="M25"/>
  <c r="M26"/>
  <c r="M24"/>
  <c r="M30"/>
  <c r="M29"/>
  <c r="M23"/>
  <c r="I33"/>
  <c r="J46" i="14"/>
  <c r="J61" s="1"/>
  <c r="O5" i="48"/>
  <c r="O23" s="1"/>
  <c r="P10" i="14"/>
  <c r="K23" i="48"/>
  <c r="K15"/>
  <c r="G11" i="14"/>
  <c r="F4" i="48"/>
  <c r="F22" s="1"/>
  <c r="I18" i="14"/>
  <c r="H13" i="48"/>
  <c r="H31" s="1"/>
  <c r="P15"/>
  <c r="P22"/>
  <c r="P33" s="1"/>
  <c r="I23"/>
  <c r="I15"/>
  <c r="L46" i="14"/>
  <c r="L61" s="1"/>
  <c r="L63" s="1"/>
  <c r="J63"/>
  <c r="Q16"/>
  <c r="Q27" s="1"/>
  <c r="K33" i="48"/>
  <c r="F12" i="17"/>
  <c r="G54" i="14" s="1"/>
  <c r="G56" s="1"/>
  <c r="L8" i="48"/>
  <c r="L26" s="1"/>
  <c r="M13" i="14"/>
  <c r="C8" i="48"/>
  <c r="D13" i="14"/>
  <c r="M10"/>
  <c r="L5" i="48"/>
  <c r="L23" s="1"/>
  <c r="C5"/>
  <c r="D10" i="14"/>
  <c r="D24"/>
  <c r="D26" s="1"/>
  <c r="C7" i="48"/>
  <c r="F25"/>
  <c r="E24" i="14"/>
  <c r="E26" s="1"/>
  <c r="D7" i="48"/>
  <c r="G24" i="14"/>
  <c r="G26" s="1"/>
  <c r="P22" i="16"/>
  <c r="Q43" i="14" s="1"/>
  <c r="L5" i="17"/>
  <c r="L8" s="1"/>
  <c r="D18" i="16"/>
  <c r="B14" i="22"/>
  <c r="H12"/>
  <c r="D16" i="15"/>
  <c r="B35" i="13"/>
  <c r="N8" i="17"/>
  <c r="G31" i="20"/>
  <c r="H48" i="14" s="1"/>
  <c r="G12" i="22"/>
  <c r="D14"/>
  <c r="M12"/>
  <c r="B36" i="13"/>
  <c r="B48" s="1"/>
  <c r="C48" s="1"/>
  <c r="N5" s="1"/>
  <c r="N8" s="1"/>
  <c r="L22" i="16"/>
  <c r="M43" i="14" s="1"/>
  <c r="E8" i="17"/>
  <c r="E14" i="22"/>
  <c r="B34" i="13"/>
  <c r="O18" i="16"/>
  <c r="M51" i="22"/>
  <c r="M50" s="1"/>
  <c r="M54" s="1"/>
  <c r="H31" i="20"/>
  <c r="I48" i="14" s="1"/>
  <c r="M31" i="20"/>
  <c r="N48" i="14" s="1"/>
  <c r="G50" i="22"/>
  <c r="G54" s="1"/>
  <c r="M5"/>
  <c r="G5"/>
  <c r="H5"/>
  <c r="E5" i="15"/>
  <c r="O20"/>
  <c r="P40" i="14" s="1"/>
  <c r="P20" i="15"/>
  <c r="Q40" i="14" s="1"/>
  <c r="Q46" s="1"/>
  <c r="Q61" s="1"/>
  <c r="Q63" s="1"/>
  <c r="J5" i="15"/>
  <c r="F5"/>
  <c r="F16" s="1"/>
  <c r="B5"/>
  <c r="B16" s="1"/>
  <c r="B5" i="16"/>
  <c r="B18" s="1"/>
  <c r="N5" i="15"/>
  <c r="N16" s="1"/>
  <c r="F12" i="13"/>
  <c r="G41" i="14" s="1"/>
  <c r="F13" i="16"/>
  <c r="E13"/>
  <c r="N13"/>
  <c r="J13"/>
  <c r="B47" i="13"/>
  <c r="N12" i="16"/>
  <c r="J12"/>
  <c r="F12"/>
  <c r="E12"/>
  <c r="B46" i="13"/>
  <c r="E5" s="1"/>
  <c r="E8" s="1"/>
  <c r="C50"/>
  <c r="J5" s="1"/>
  <c r="J8" s="1"/>
  <c r="E12" i="17"/>
  <c r="F54" i="14" s="1"/>
  <c r="F56" s="1"/>
  <c r="N4" i="48" l="1"/>
  <c r="N22" s="1"/>
  <c r="O11" i="14"/>
  <c r="D9" i="48"/>
  <c r="D27" s="1"/>
  <c r="E20" i="14"/>
  <c r="E22" s="1"/>
  <c r="G31" i="48"/>
  <c r="Q13"/>
  <c r="E12" i="13"/>
  <c r="F41" i="14" s="1"/>
  <c r="F11"/>
  <c r="E4" i="48"/>
  <c r="H19" i="14"/>
  <c r="R19" s="1"/>
  <c r="G10" i="48"/>
  <c r="K11" i="14"/>
  <c r="J4" i="48"/>
  <c r="F24" i="14"/>
  <c r="F26" s="1"/>
  <c r="E7" i="48"/>
  <c r="E25" s="1"/>
  <c r="P46" i="14"/>
  <c r="P61" s="1"/>
  <c r="D18" i="22"/>
  <c r="E50" i="14" s="1"/>
  <c r="E52" s="1"/>
  <c r="P16"/>
  <c r="P27" s="1"/>
  <c r="M14" i="22"/>
  <c r="N19" i="14"/>
  <c r="M10" i="48"/>
  <c r="M28" s="1"/>
  <c r="B9"/>
  <c r="C20" i="14"/>
  <c r="F20"/>
  <c r="F22" s="1"/>
  <c r="E9" i="48"/>
  <c r="E27" s="1"/>
  <c r="O8"/>
  <c r="O26" s="1"/>
  <c r="O33" s="1"/>
  <c r="P13" i="14"/>
  <c r="R18"/>
  <c r="H14" i="22"/>
  <c r="H18" s="1"/>
  <c r="I50" i="14" s="1"/>
  <c r="I52" s="1"/>
  <c r="I61" s="1"/>
  <c r="D16"/>
  <c r="D27" s="1"/>
  <c r="B20" i="6" s="1"/>
  <c r="B22" s="1"/>
  <c r="C22" i="56" s="1"/>
  <c r="M16" i="14"/>
  <c r="D22" i="16"/>
  <c r="E43" i="14" s="1"/>
  <c r="D8" i="48"/>
  <c r="D26" s="1"/>
  <c r="E13" i="14"/>
  <c r="C13"/>
  <c r="B8" i="48"/>
  <c r="O10" i="14"/>
  <c r="N5" i="48"/>
  <c r="N23" s="1"/>
  <c r="F5"/>
  <c r="G10" i="14"/>
  <c r="D20" i="15"/>
  <c r="E40" i="14" s="1"/>
  <c r="E46" s="1"/>
  <c r="E61" s="1"/>
  <c r="D5" i="48"/>
  <c r="D23" s="1"/>
  <c r="E10" i="14"/>
  <c r="B5" i="48"/>
  <c r="C10" i="14"/>
  <c r="M24"/>
  <c r="M26" s="1"/>
  <c r="M27" s="1"/>
  <c r="L7" i="48"/>
  <c r="C15"/>
  <c r="D25"/>
  <c r="O24" i="14"/>
  <c r="O26" s="1"/>
  <c r="N7" i="48"/>
  <c r="L12" i="17"/>
  <c r="M54" i="14" s="1"/>
  <c r="M56" s="1"/>
  <c r="E18" i="22"/>
  <c r="F50" i="14" s="1"/>
  <c r="F52" s="1"/>
  <c r="G14" i="22"/>
  <c r="J16" i="15"/>
  <c r="N12" i="17"/>
  <c r="O54" i="14" s="1"/>
  <c r="O56" s="1"/>
  <c r="E16" i="15"/>
  <c r="O22" i="16"/>
  <c r="P43" i="14" s="1"/>
  <c r="G18" i="22"/>
  <c r="H50" i="14" s="1"/>
  <c r="G58" i="22"/>
  <c r="H49" i="14" s="1"/>
  <c r="H52" s="1"/>
  <c r="H61" s="1"/>
  <c r="M58" i="22"/>
  <c r="N49" i="14" s="1"/>
  <c r="N20" i="15"/>
  <c r="O40" i="14" s="1"/>
  <c r="F20" i="15"/>
  <c r="G40" i="14" s="1"/>
  <c r="N5" i="16"/>
  <c r="E5"/>
  <c r="J5"/>
  <c r="C35" i="13"/>
  <c r="F5" i="16"/>
  <c r="C36" i="13"/>
  <c r="N12"/>
  <c r="O41" i="14" s="1"/>
  <c r="C38" i="13"/>
  <c r="C39"/>
  <c r="C32"/>
  <c r="C34"/>
  <c r="J12"/>
  <c r="K41" i="14" s="1"/>
  <c r="L20" i="15"/>
  <c r="M40" i="14" s="1"/>
  <c r="M46" s="1"/>
  <c r="H63" l="1"/>
  <c r="J22" i="48"/>
  <c r="M9"/>
  <c r="N20" i="14"/>
  <c r="N22" s="1"/>
  <c r="N27" s="1"/>
  <c r="H20"/>
  <c r="G9" i="48"/>
  <c r="K10" i="14"/>
  <c r="J5" i="48"/>
  <c r="J23" s="1"/>
  <c r="E22"/>
  <c r="Q4"/>
  <c r="M18" i="22"/>
  <c r="N50" i="14" s="1"/>
  <c r="N52" s="1"/>
  <c r="N61" s="1"/>
  <c r="H22"/>
  <c r="H27" s="1"/>
  <c r="P63"/>
  <c r="R11"/>
  <c r="I20"/>
  <c r="I22" s="1"/>
  <c r="I27" s="1"/>
  <c r="I63" s="1"/>
  <c r="H9" i="48"/>
  <c r="E5"/>
  <c r="E23" s="1"/>
  <c r="F10" i="14"/>
  <c r="C22"/>
  <c r="G28" i="48"/>
  <c r="Q10"/>
  <c r="Q9"/>
  <c r="O15"/>
  <c r="D15"/>
  <c r="E16" i="14"/>
  <c r="E27" s="1"/>
  <c r="E63" s="1"/>
  <c r="D33" i="48"/>
  <c r="M61" i="14"/>
  <c r="M63" s="1"/>
  <c r="F23" i="48"/>
  <c r="R10" i="14"/>
  <c r="C16"/>
  <c r="C27" s="1"/>
  <c r="B3" i="6" s="1"/>
  <c r="B12" s="1"/>
  <c r="Q7" i="48"/>
  <c r="B15"/>
  <c r="R24" i="14"/>
  <c r="R26" s="1"/>
  <c r="L25" i="48"/>
  <c r="L33" s="1"/>
  <c r="L15"/>
  <c r="N25"/>
  <c r="J20" i="15"/>
  <c r="K40" i="14" s="1"/>
  <c r="N18" i="16"/>
  <c r="J18"/>
  <c r="F18"/>
  <c r="E18"/>
  <c r="E20" i="15"/>
  <c r="F40" i="14" s="1"/>
  <c r="C10" i="17"/>
  <c r="C12" s="1"/>
  <c r="D54" i="14" s="1"/>
  <c r="D56" s="1"/>
  <c r="C16" i="22"/>
  <c r="C10" i="13"/>
  <c r="C17" i="48" s="1"/>
  <c r="C18" i="15"/>
  <c r="C20" s="1"/>
  <c r="D40" i="14" s="1"/>
  <c r="C20" i="16"/>
  <c r="C22" s="1"/>
  <c r="D43" i="14" s="1"/>
  <c r="C17" i="19"/>
  <c r="C19" s="1"/>
  <c r="D39" i="14" s="1"/>
  <c r="C29" i="20"/>
  <c r="C17" i="49"/>
  <c r="C56" i="22"/>
  <c r="C58" s="1"/>
  <c r="D49" i="14" s="1"/>
  <c r="D52" s="1"/>
  <c r="F22" i="16"/>
  <c r="G43" i="14" s="1"/>
  <c r="G46" s="1"/>
  <c r="G61" s="1"/>
  <c r="N63" l="1"/>
  <c r="H27" i="48"/>
  <c r="H33" s="1"/>
  <c r="H15"/>
  <c r="M27"/>
  <c r="M33" s="1"/>
  <c r="M15"/>
  <c r="K13" i="14"/>
  <c r="K16" s="1"/>
  <c r="K27" s="1"/>
  <c r="K63" s="1"/>
  <c r="J8" i="48"/>
  <c r="Q5"/>
  <c r="R20" i="14"/>
  <c r="R22" s="1"/>
  <c r="E8" i="48"/>
  <c r="F13" i="14"/>
  <c r="F16" s="1"/>
  <c r="F27" s="1"/>
  <c r="G27" i="48"/>
  <c r="G33" s="1"/>
  <c r="G15"/>
  <c r="C55" i="14"/>
  <c r="R55" s="1"/>
  <c r="C12" i="56"/>
  <c r="O13" i="14"/>
  <c r="O16" s="1"/>
  <c r="O27" s="1"/>
  <c r="N8" i="48"/>
  <c r="N22" i="16"/>
  <c r="O43" i="14" s="1"/>
  <c r="O46" s="1"/>
  <c r="O61" s="1"/>
  <c r="F8" i="48"/>
  <c r="G13" i="14"/>
  <c r="C32" i="48"/>
  <c r="C29"/>
  <c r="C22"/>
  <c r="C28"/>
  <c r="C30"/>
  <c r="C31"/>
  <c r="C23"/>
  <c r="C24"/>
  <c r="C27"/>
  <c r="C26"/>
  <c r="C25"/>
  <c r="E22" i="16"/>
  <c r="F43" i="14" s="1"/>
  <c r="F46" s="1"/>
  <c r="F61" s="1"/>
  <c r="J22" i="16"/>
  <c r="K43" i="14" s="1"/>
  <c r="K46" s="1"/>
  <c r="K61" s="1"/>
  <c r="C12" i="13"/>
  <c r="D41" i="14" s="1"/>
  <c r="D46" s="1"/>
  <c r="D61" s="1"/>
  <c r="D63" s="1"/>
  <c r="F63" l="1"/>
  <c r="J26" i="48"/>
  <c r="J33" s="1"/>
  <c r="J15"/>
  <c r="E26"/>
  <c r="E33" s="1"/>
  <c r="E15"/>
  <c r="O63" i="14"/>
  <c r="N26" i="48"/>
  <c r="N33" s="1"/>
  <c r="N15"/>
  <c r="G16" i="14"/>
  <c r="G27" s="1"/>
  <c r="G63" s="1"/>
  <c r="R13"/>
  <c r="R16" s="1"/>
  <c r="R27" s="1"/>
  <c r="F26" i="48"/>
  <c r="F33" s="1"/>
  <c r="Q8"/>
  <c r="Q15" s="1"/>
  <c r="F15"/>
  <c r="C33"/>
  <c r="B18" i="15"/>
  <c r="B20" s="1"/>
  <c r="B10" i="17"/>
  <c r="B12" s="1"/>
  <c r="C54" i="14" s="1"/>
  <c r="B17" i="49"/>
  <c r="B19" s="1"/>
  <c r="C42" i="14" s="1"/>
  <c r="R42" s="1"/>
  <c r="B10" i="13"/>
  <c r="B20" i="16"/>
  <c r="B22" s="1"/>
  <c r="C43" i="14" s="1"/>
  <c r="R43" s="1"/>
  <c r="B10" i="9"/>
  <c r="B12" s="1"/>
  <c r="B29" i="20"/>
  <c r="B31" s="1"/>
  <c r="C48" i="14" s="1"/>
  <c r="B56" i="22"/>
  <c r="B58" s="1"/>
  <c r="C49" i="14" s="1"/>
  <c r="R49" s="1"/>
  <c r="B16" i="22"/>
  <c r="B18" s="1"/>
  <c r="C50" i="14" s="1"/>
  <c r="R50" s="1"/>
  <c r="B17" i="19"/>
  <c r="B19" s="1"/>
  <c r="C39" i="14" s="1"/>
  <c r="R48" l="1"/>
  <c r="R52" s="1"/>
  <c r="C52"/>
  <c r="R54"/>
  <c r="R56" s="1"/>
  <c r="C56"/>
  <c r="R39"/>
  <c r="C40"/>
  <c r="R40" s="1"/>
  <c r="B12" i="13"/>
  <c r="C41" i="14" s="1"/>
  <c r="R41" s="1"/>
  <c r="B17" i="48"/>
  <c r="C46" i="14" l="1"/>
  <c r="C61" s="1"/>
  <c r="C63" s="1"/>
  <c r="B31" i="48"/>
  <c r="Q31" s="1"/>
  <c r="B29"/>
  <c r="Q29" s="1"/>
  <c r="B26"/>
  <c r="Q26" s="1"/>
  <c r="B25"/>
  <c r="Q25" s="1"/>
  <c r="B32"/>
  <c r="Q32" s="1"/>
  <c r="B27"/>
  <c r="Q27" s="1"/>
  <c r="B24"/>
  <c r="Q24" s="1"/>
  <c r="B30"/>
  <c r="Q30" s="1"/>
  <c r="B23"/>
  <c r="Q23" s="1"/>
  <c r="B22"/>
  <c r="B28"/>
  <c r="Q28" s="1"/>
  <c r="R46" i="14"/>
  <c r="R61" s="1"/>
  <c r="B33" i="48" l="1"/>
  <c r="Q22"/>
  <c r="Q33" s="1"/>
</calcChain>
</file>

<file path=xl/comments1.xml><?xml version="1.0" encoding="utf-8"?>
<comments xmlns="http://schemas.openxmlformats.org/spreadsheetml/2006/main">
  <authors>
    <author>Aernouts Kristien</author>
  </authors>
  <commentList>
    <comment ref="Z25" authorId="0">
      <text>
        <r>
          <rPr>
            <b/>
            <sz val="9"/>
            <color indexed="81"/>
            <rFont val="Tahoma"/>
            <family val="2"/>
          </rPr>
          <t>Aernouts Kristien:</t>
        </r>
        <r>
          <rPr>
            <sz val="9"/>
            <color indexed="81"/>
            <rFont val="Tahoma"/>
            <family val="2"/>
          </rPr>
          <t xml:space="preserve">
netto afname
</t>
        </r>
      </text>
    </comment>
    <comment ref="Z26" author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=&gt;onderste verbrandingswaarde</t>
        </r>
      </text>
    </comment>
    <comment ref="B38" authorId="2">
      <text>
        <r>
          <rPr>
            <b/>
            <sz val="9"/>
            <color indexed="81"/>
            <rFont val="Tahoma"/>
            <family val="2"/>
          </rPr>
          <t>Aernouts Kristien:</t>
        </r>
        <r>
          <rPr>
            <sz val="9"/>
            <color indexed="81"/>
            <rFont val="Tahoma"/>
            <family val="2"/>
          </rPr>
          <t xml:space="preserve">
10% van de aardgasstijging eraf</t>
        </r>
      </text>
    </comment>
    <comment ref="B39" authorId="2">
      <text>
        <r>
          <rPr>
            <b/>
            <sz val="9"/>
            <color indexed="81"/>
            <rFont val="Tahoma"/>
            <family val="2"/>
          </rPr>
          <t>Aernouts Kristien:</t>
        </r>
        <r>
          <rPr>
            <sz val="9"/>
            <color indexed="81"/>
            <rFont val="Tahoma"/>
            <family val="2"/>
          </rPr>
          <t xml:space="preserve">
90% van de aardgasstijging eraf</t>
        </r>
      </text>
    </comment>
    <comment ref="C48" authorId="2">
      <text>
        <r>
          <rPr>
            <b/>
            <sz val="9"/>
            <color indexed="81"/>
            <rFont val="Tahoma"/>
            <family val="2"/>
          </rPr>
          <t>Aernouts Kristien:</t>
        </r>
        <r>
          <rPr>
            <sz val="9"/>
            <color indexed="81"/>
            <rFont val="Tahoma"/>
            <family val="2"/>
          </rPr>
          <t xml:space="preserve">
10x zoveel als hoofdverw</t>
        </r>
      </text>
    </comment>
    <comment ref="C50" authorId="2">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2">
      <text>
        <r>
          <rPr>
            <b/>
            <sz val="9"/>
            <color indexed="81"/>
            <rFont val="Tahoma"/>
            <family val="2"/>
          </rPr>
          <t>Aernouts Kristien:</t>
        </r>
        <r>
          <rPr>
            <sz val="9"/>
            <color indexed="81"/>
            <rFont val="Tahoma"/>
            <family val="2"/>
          </rPr>
          <t xml:space="preserve">
lichte en zware stookolie</t>
        </r>
      </text>
    </comment>
    <comment ref="J3" authorId="1">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text>
        <r>
          <rPr>
            <b/>
            <sz val="9"/>
            <color indexed="81"/>
            <rFont val="Tahoma"/>
            <family val="2"/>
          </rPr>
          <t>meynaere:</t>
        </r>
        <r>
          <rPr>
            <sz val="9"/>
            <color indexed="81"/>
            <rFont val="Tahoma"/>
            <family val="2"/>
          </rPr>
          <t xml:space="preserve">
x0,902: bovenste verbrandingswaarde =&gt; onderste verbrandingswaarde</t>
        </r>
      </text>
    </comment>
    <comment ref="F3" authorId="1">
      <text>
        <r>
          <rPr>
            <b/>
            <sz val="9"/>
            <color indexed="81"/>
            <rFont val="Tahoma"/>
            <family val="2"/>
          </rPr>
          <t>meynaere:</t>
        </r>
        <r>
          <rPr>
            <sz val="9"/>
            <color indexed="81"/>
            <rFont val="Tahoma"/>
            <family val="2"/>
          </rPr>
          <t xml:space="preserve">
lichte en zware stookolie</t>
        </r>
      </text>
    </comment>
    <comment ref="G3" authorId="1">
      <text>
        <r>
          <rPr>
            <b/>
            <sz val="9"/>
            <color indexed="81"/>
            <rFont val="Tahoma"/>
            <family val="2"/>
          </rPr>
          <t>meynaere:</t>
        </r>
        <r>
          <rPr>
            <sz val="9"/>
            <color indexed="81"/>
            <rFont val="Tahoma"/>
            <family val="2"/>
          </rPr>
          <t xml:space="preserve">
cf. stookolie</t>
        </r>
      </text>
    </comment>
    <comment ref="J3" authorId="1">
      <text>
        <r>
          <rPr>
            <b/>
            <sz val="9"/>
            <color indexed="81"/>
            <rFont val="Tahoma"/>
            <family val="2"/>
          </rPr>
          <t>meynaere:</t>
        </r>
        <r>
          <rPr>
            <sz val="9"/>
            <color indexed="81"/>
            <rFont val="Tahoma"/>
            <family val="2"/>
          </rPr>
          <t xml:space="preserve">
kolen en cokes</t>
        </r>
      </text>
    </comment>
    <comment ref="L5" authorId="2">
      <text>
        <r>
          <rPr>
            <b/>
            <sz val="9"/>
            <color indexed="81"/>
            <rFont val="Tahoma"/>
            <family val="2"/>
          </rPr>
          <t>Aernouts Kristien:</t>
        </r>
        <r>
          <rPr>
            <sz val="9"/>
            <color indexed="81"/>
            <rFont val="Tahoma"/>
            <family val="2"/>
          </rPr>
          <t xml:space="preserve">
idem biomassa</t>
        </r>
      </text>
    </comment>
    <comment ref="N5" authorId="2">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text>
        <r>
          <rPr>
            <b/>
            <sz val="9"/>
            <color indexed="81"/>
            <rFont val="Tahoma"/>
            <family val="2"/>
          </rPr>
          <t>meynaere:</t>
        </r>
        <r>
          <rPr>
            <sz val="9"/>
            <color indexed="81"/>
            <rFont val="Tahoma"/>
            <family val="2"/>
          </rPr>
          <t xml:space="preserve">
incl. afvalverbranding met energierecuperatie</t>
        </r>
      </text>
    </comment>
    <comment ref="A19" author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<sst xmlns="http://schemas.openxmlformats.org/spreadsheetml/2006/main" count="2546" uniqueCount="979">
  <si>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</si>
  <si>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</si>
  <si>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</si>
  <si>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</si>
  <si>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</si>
  <si>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</si>
  <si>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</si>
  <si>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</si>
  <si>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</si>
  <si>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</si>
  <si>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</si>
  <si>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</si>
  <si>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</si>
  <si>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</si>
  <si>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</si>
  <si>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</si>
  <si>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</si>
  <si>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</si>
  <si>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</si>
  <si>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</si>
  <si>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Gas</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</si>
  <si>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</si>
  <si>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</si>
  <si>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</si>
  <si>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</si>
  <si>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</si>
  <si>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</si>
  <si>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</si>
  <si>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</si>
  <si>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</si>
  <si>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</si>
  <si>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</si>
  <si>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</si>
  <si>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</si>
  <si>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</si>
  <si>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</si>
  <si>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</si>
  <si>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</si>
  <si>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</si>
  <si>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</si>
  <si>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</si>
  <si>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</si>
  <si>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</si>
  <si>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</si>
  <si>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</si>
  <si>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</si>
  <si>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</si>
  <si>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</si>
  <si>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</si>
  <si>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</si>
  <si>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</si>
  <si>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</si>
  <si>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</si>
  <si>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</si>
  <si>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</si>
  <si>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</si>
  <si>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</si>
  <si>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</si>
  <si>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</si>
  <si>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</si>
  <si>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</si>
  <si>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</si>
  <si>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</si>
  <si>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</si>
  <si>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</si>
  <si>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</si>
  <si>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</si>
  <si>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</si>
  <si>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</si>
  <si>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</si>
  <si>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</si>
  <si>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</si>
  <si>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</si>
  <si>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</si>
  <si>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</si>
  <si>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</si>
  <si>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</si>
  <si>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</si>
  <si>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</si>
  <si>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</si>
  <si>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</si>
  <si>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</si>
  <si>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</si>
  <si>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</si>
  <si>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</si>
  <si>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</si>
  <si>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</si>
  <si>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</si>
  <si>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</si>
  <si>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</si>
  <si>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</si>
  <si>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</si>
  <si>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</si>
  <si>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</si>
  <si>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</si>
  <si>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</si>
  <si>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</si>
  <si>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</si>
  <si>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</si>
  <si>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</si>
  <si>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</si>
  <si>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</si>
  <si>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</si>
  <si>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</si>
  <si>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</si>
  <si>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</si>
  <si>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</si>
  <si>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</si>
  <si>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</si>
  <si>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</si>
  <si>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</si>
  <si>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</si>
  <si>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</si>
  <si>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</si>
  <si>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</si>
  <si>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</si>
  <si>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</si>
  <si>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</si>
  <si>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</si>
  <si>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</si>
  <si>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</si>
  <si>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</si>
  <si>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</si>
  <si>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</si>
  <si>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</si>
  <si>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</si>
  <si>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</si>
  <si>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</si>
  <si>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</si>
  <si>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</si>
  <si>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</si>
  <si>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</si>
  <si>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</si>
  <si>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</si>
  <si>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</si>
  <si>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</si>
  <si>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</si>
  <si>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</si>
  <si>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</si>
  <si>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</si>
  <si>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</si>
  <si>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</si>
  <si>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</si>
  <si>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</si>
  <si>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</si>
  <si>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</si>
  <si>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</si>
  <si>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</si>
  <si>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</si>
  <si>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</si>
  <si>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</si>
  <si>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</si>
  <si>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</si>
  <si>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</si>
  <si>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</si>
  <si>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</si>
  <si>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</si>
  <si>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</si>
  <si>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</si>
  <si>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</si>
  <si>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</si>
  <si>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</si>
  <si>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</si>
  <si>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</si>
  <si>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</si>
  <si>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</si>
  <si>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</si>
  <si>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</si>
  <si>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</si>
  <si>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</si>
  <si>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</si>
  <si>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</si>
  <si>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</si>
  <si>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</si>
  <si>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</si>
  <si>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</si>
  <si>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</si>
  <si>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</si>
  <si>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</si>
  <si>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</si>
  <si>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</si>
  <si>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</si>
  <si>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</si>
  <si>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</si>
  <si>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</si>
  <si>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</si>
  <si>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</si>
  <si>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</si>
  <si>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</si>
  <si>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</si>
  <si>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</si>
  <si>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</si>
  <si>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</si>
  <si>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</si>
  <si>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</si>
  <si>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</si>
  <si>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</si>
  <si>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</si>
  <si>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</si>
  <si>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</si>
  <si>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</si>
  <si>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</si>
  <si>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</si>
  <si>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</si>
  <si>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</si>
  <si>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</si>
  <si>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</si>
  <si>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</si>
  <si>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</si>
  <si>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</si>
  <si>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</si>
  <si>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</si>
  <si>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</si>
  <si>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</si>
  <si>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</si>
  <si>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</si>
  <si>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</si>
  <si>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</si>
  <si>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</si>
  <si>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</si>
  <si>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</si>
  <si>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</si>
  <si>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</si>
  <si>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</si>
  <si>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</si>
  <si>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</si>
  <si>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</si>
  <si>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</si>
  <si>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</si>
  <si>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</si>
  <si>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</si>
  <si>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</si>
  <si>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</si>
  <si>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</si>
  <si>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</si>
  <si>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</si>
  <si>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</si>
  <si>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</si>
  <si>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</si>
  <si>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</si>
  <si>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</si>
  <si>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</si>
  <si>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</si>
  <si>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</si>
  <si>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</si>
  <si>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</si>
  <si>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</si>
  <si>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</si>
  <si>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</si>
  <si>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</si>
  <si>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</si>
  <si>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</si>
  <si>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</si>
  <si>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</si>
  <si>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</si>
  <si>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</si>
  <si>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</si>
  <si>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</si>
  <si>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</si>
  <si>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</si>
  <si>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</si>
  <si>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</si>
  <si>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</si>
  <si>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</si>
  <si>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</si>
  <si>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</si>
  <si>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</si>
  <si>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</si>
  <si>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</si>
  <si>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</si>
  <si>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</si>
  <si>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</si>
  <si>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</si>
  <si>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</si>
  <si>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</si>
  <si>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</si>
  <si>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</si>
  <si>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</si>
  <si>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</si>
  <si>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</si>
  <si>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</si>
  <si>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</si>
  <si>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</si>
  <si>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</si>
  <si>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</si>
  <si>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</si>
  <si>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</si>
  <si>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</si>
  <si>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</si>
  <si>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</si>
  <si>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</si>
  <si>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</si>
  <si>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</si>
  <si>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</si>
  <si>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</si>
  <si>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</si>
  <si>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</si>
  <si>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</si>
  <si>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</si>
  <si>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</si>
  <si>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</si>
  <si>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</si>
  <si>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</si>
  <si>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</si>
  <si>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</si>
  <si>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</si>
  <si>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</si>
  <si>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</si>
  <si>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</si>
  <si>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</si>
  <si>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</si>
  <si>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</si>
  <si>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</si>
  <si>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</si>
  <si>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</si>
  <si>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</si>
  <si>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</si>
  <si>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</si>
  <si>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</si>
  <si>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</si>
  <si>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</si>
  <si>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</si>
  <si>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</si>
  <si>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</si>
  <si>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</si>
  <si>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</si>
  <si>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</si>
  <si>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</si>
  <si>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</si>
  <si>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</si>
  <si>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</si>
  <si>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</si>
  <si>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</si>
  <si>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</si>
  <si>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</si>
  <si>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</si>
  <si>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</si>
  <si>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</si>
  <si>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</si>
  <si>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</si>
  <si>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</si>
  <si>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</si>
  <si>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</si>
  <si>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</si>
  <si>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</si>
  <si>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</si>
  <si>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</si>
  <si>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</si>
  <si>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</si>
  <si>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</si>
  <si>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</si>
  <si>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</si>
  <si>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</si>
  <si>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</si>
  <si>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</si>
  <si>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</si>
  <si>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</si>
  <si>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</si>
  <si>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</si>
  <si>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SEAP Nulmeting</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</si>
  <si>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</si>
  <si>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</si>
  <si>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</si>
  <si>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</si>
  <si>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</si>
  <si>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</si>
  <si>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</si>
  <si>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</si>
  <si>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</si>
  <si>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</si>
  <si>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</si>
  <si>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</si>
  <si>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</si>
  <si>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</si>
  <si>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</si>
  <si>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</si>
  <si>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</si>
  <si>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</si>
  <si>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Energiebalans Vlaanderen (versie juni 2013)</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</si>
  <si>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</si>
  <si>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</si>
  <si>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</si>
  <si>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</si>
  <si>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</si>
  <si>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</si>
  <si>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</si>
  <si>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</si>
  <si>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</si>
  <si>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</si>
  <si>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</si>
  <si>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</si>
  <si>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</si>
  <si>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</si>
  <si>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</si>
  <si>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</si>
  <si>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</si>
  <si>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</si>
  <si>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</si>
  <si>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</si>
  <si>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</si>
  <si>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</si>
  <si>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</si>
  <si>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P. Willems, Lodewijckx J.</t>
  </si>
  <si>
    <t>november 2011</t>
  </si>
  <si>
    <t>SVR-projecties van de bevolking en de huishoudens voor Vlaamse steden en gemeenten, 2009-2030</t>
  </si>
  <si>
    <t>Eandis</t>
  </si>
  <si>
    <t>juni 2013</t>
  </si>
  <si>
    <t>Sander Van Herzeele</t>
  </si>
  <si>
    <t>09 / 263 64 57</t>
  </si>
  <si>
    <t>Sander.VanHerzeele@eandis.be</t>
  </si>
  <si>
    <t>Infrax</t>
  </si>
  <si>
    <t>toon.lenaerts@infrax.be</t>
  </si>
  <si>
    <t>Toon Lenaerts</t>
  </si>
  <si>
    <t>011 / 72 22 05</t>
  </si>
  <si>
    <t xml:space="preserve">Bron: </t>
  </si>
  <si>
    <t>VEA (juni 2013)</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</si>
  <si>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</si>
  <si>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</si>
  <si>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</si>
  <si>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</si>
  <si>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</si>
  <si>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</si>
  <si>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</si>
  <si>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</si>
  <si>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</si>
  <si>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</si>
  <si>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</si>
  <si>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</si>
  <si>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</si>
  <si>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</si>
  <si>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</si>
  <si>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</si>
  <si>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</si>
  <si>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</si>
  <si>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</si>
  <si>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</si>
  <si>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</si>
  <si>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</si>
  <si>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 xml:space="preserve">emissiefactoren niet-energiegerelateerde emissies CH4 en N2O voor 2011 uit rekenmodellen VMM </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</si>
  <si>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</si>
  <si>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</si>
  <si>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</si>
  <si>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</si>
  <si>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</si>
  <si>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</si>
  <si>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</si>
  <si>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</si>
  <si>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</si>
  <si>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</si>
  <si>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</si>
  <si>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</si>
  <si>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</si>
  <si>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</si>
  <si>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</si>
  <si>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</si>
  <si>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</si>
  <si>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</si>
  <si>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</si>
  <si>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</si>
  <si>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</si>
  <si>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</si>
  <si>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</si>
  <si>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</si>
  <si>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</si>
  <si>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</si>
  <si>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</si>
  <si>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</si>
  <si>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</si>
  <si>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</si>
  <si>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</si>
  <si>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</si>
  <si>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</si>
  <si>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</si>
  <si>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</si>
  <si>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</si>
  <si>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</si>
  <si>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</si>
  <si>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</si>
  <si>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</si>
  <si>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</si>
  <si>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</si>
  <si>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</si>
  <si>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</si>
  <si>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</si>
  <si>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</si>
  <si>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</si>
  <si>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</si>
  <si>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</si>
  <si>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</si>
  <si>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</si>
  <si>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</si>
  <si>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</si>
  <si>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</si>
  <si>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</si>
  <si>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</si>
  <si>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</si>
  <si>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</si>
  <si>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</si>
  <si>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</si>
  <si>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</si>
  <si>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</si>
  <si>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</si>
  <si>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</si>
  <si>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</si>
  <si>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</si>
  <si>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</si>
  <si>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</si>
  <si>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</si>
  <si>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</si>
  <si>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</si>
  <si>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</si>
  <si>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</si>
  <si>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</si>
  <si>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</si>
  <si>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</si>
  <si>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</si>
  <si>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</si>
  <si>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</si>
  <si>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</si>
  <si>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</si>
  <si>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</si>
  <si>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</si>
  <si>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</si>
  <si>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</si>
  <si>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</si>
  <si>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</si>
  <si>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</si>
  <si>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</si>
  <si>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</si>
  <si>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</si>
  <si>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</si>
  <si>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</si>
  <si>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</si>
  <si>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</si>
  <si>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</si>
  <si>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</si>
  <si>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</si>
  <si>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</si>
  <si>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</si>
  <si>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</si>
  <si>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</si>
  <si>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</si>
  <si>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</si>
  <si>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</si>
  <si>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</si>
  <si>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</si>
  <si>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</si>
  <si>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</si>
  <si>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</si>
  <si>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</si>
  <si>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</si>
  <si>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</si>
  <si>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</si>
  <si>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</si>
  <si>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</si>
  <si>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</si>
  <si>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</si>
  <si>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</si>
  <si>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</si>
  <si>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</si>
  <si>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</si>
  <si>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</si>
  <si>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</si>
  <si>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</si>
  <si>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</si>
  <si>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</si>
  <si>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</si>
  <si>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</si>
  <si>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</si>
  <si>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</si>
  <si>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</si>
  <si>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</si>
  <si>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</si>
  <si>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</si>
  <si>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</si>
  <si>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</si>
  <si>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</si>
  <si>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</si>
  <si>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</si>
  <si>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</si>
  <si>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</si>
  <si>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</si>
  <si>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</si>
  <si>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</si>
  <si>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</si>
  <si>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</si>
  <si>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</si>
  <si>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</si>
  <si>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</si>
  <si>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</si>
  <si>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</si>
  <si>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</si>
  <si>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</si>
  <si>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</si>
  <si>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</si>
  <si>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</si>
  <si>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</si>
  <si>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</si>
  <si>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</si>
  <si>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</si>
  <si>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</si>
  <si>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</si>
  <si>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</si>
  <si>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</si>
  <si>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</si>
  <si>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</si>
  <si>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</si>
  <si>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</si>
  <si>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</si>
  <si>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</si>
  <si>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</si>
  <si>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</si>
  <si>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</si>
  <si>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</si>
  <si>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</si>
  <si>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</si>
  <si>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</si>
  <si>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</si>
  <si>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</si>
  <si>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</si>
  <si>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</si>
  <si>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</si>
  <si>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</si>
  <si>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</si>
  <si>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</si>
  <si>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</si>
  <si>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</si>
  <si>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</si>
  <si>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</si>
  <si>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</si>
  <si>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</si>
  <si>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</si>
  <si>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</si>
  <si>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</si>
  <si>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</si>
  <si>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</si>
  <si>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</si>
  <si>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</si>
  <si>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</si>
  <si>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</si>
  <si>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</si>
  <si>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</si>
  <si>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Mestbank (februari 2014)</t>
  </si>
  <si>
    <t>verhouding ha cultuurgrond gemeente/Vlaanderen (%)</t>
  </si>
  <si>
    <t>cultuurgrond (ha)</t>
  </si>
  <si>
    <t>Totale N2O emissies bodem (direct + indirect) en ha cultuurgrond in Vlaanderen</t>
  </si>
  <si>
    <t>Mestbank</t>
  </si>
  <si>
    <t>februari 2014</t>
  </si>
  <si>
    <t xml:space="preserve">Bruno Fernagut </t>
  </si>
  <si>
    <t>02/543 72 30</t>
  </si>
  <si>
    <t>bruno.fernagut@vlm.be</t>
  </si>
  <si>
    <t>VLM</t>
  </si>
  <si>
    <t>gemeentestatistieken gegevens mestbank</t>
  </si>
  <si>
    <t>kopie van cel B35 of eigen gegevens</t>
  </si>
  <si>
    <t>kopie van cel B27 of eigen gegevens</t>
  </si>
  <si>
    <t>2012_01</t>
  </si>
  <si>
    <t>data!A29</t>
  </si>
  <si>
    <t>EF N2O_CH4 landbouw'!A1</t>
  </si>
  <si>
    <t>actualisatie emissiefactoren voor het jaar 2012</t>
  </si>
  <si>
    <t>uitbreiding formule niet-energie gerelateerde emissies landbouw met diercategorie "paarden&amp;pony's" en "ezels"</t>
  </si>
  <si>
    <t>toevoeging diercategorie "paarden&amp;pony's" en "ezels"</t>
  </si>
  <si>
    <t>landbouw!B26</t>
  </si>
  <si>
    <t>actualisatie N2O emissies bodem VL en ha cultuurgrond VL voor het jaar 2012</t>
  </si>
  <si>
    <t>ha_N2O bodem landbouw'!A1</t>
  </si>
  <si>
    <t>Studiedienst van de Vlaamse Regering (februari 2014)</t>
  </si>
  <si>
    <t>aantal huishoudens 2012</t>
  </si>
  <si>
    <t>aantal afnemers aardgas 2012</t>
  </si>
  <si>
    <t>inschatting type energiedrager 2012</t>
  </si>
  <si>
    <t>aantallen 2012 voor hoofdverwarming</t>
  </si>
  <si>
    <t>aantallen 2012 voor bijverwarming</t>
  </si>
  <si>
    <t>Energiebalans Vlaanderen voor 2012 voor sector huishoudens, tertiair, industrie (niet-ETS) en landbouw</t>
  </si>
  <si>
    <t>Eandis (september 2014); Infrax (juni 2014)</t>
  </si>
  <si>
    <t>september 2014</t>
  </si>
  <si>
    <t>Verbruik aardgas en elektriciteit per gemeente en NACE-code voor 2012</t>
  </si>
  <si>
    <t>Verbruik aardgas en elektriciteit per gemeente en NACE-code  voor 2012</t>
  </si>
  <si>
    <t>juni 2014</t>
  </si>
  <si>
    <t>februari 2013</t>
  </si>
  <si>
    <t>Aantal productie-installaties en geïnstalleerd vermogen per technologie en per gemeente dat in aanmerking komt voor groenestroomcertificaten</t>
  </si>
  <si>
    <t>Landbouw, bosbouw, visserij</t>
  </si>
  <si>
    <t>OVERIGE NIET-ENERGIEGERELATEERD</t>
  </si>
  <si>
    <t>extra rij voor landbouw (niet meer meegerekend bij tertiaire sector!) en extra kolom voor % hernieuwbare energieproductie</t>
  </si>
  <si>
    <t>SEAP template'!A1</t>
  </si>
  <si>
    <t>SEAP template met inventaris voor 2012</t>
  </si>
  <si>
    <t>Inventaris 2012</t>
  </si>
  <si>
    <r>
      <t>sheet met resultaten inventaris voor</t>
    </r>
    <r>
      <rPr>
        <b/>
        <sz val="11"/>
        <color rgb="FF009999"/>
        <rFont val="Calibri"/>
        <family val="2"/>
        <scheme val="minor"/>
      </rPr>
      <t xml:space="preserve"> 2012</t>
    </r>
    <r>
      <rPr>
        <sz val="11"/>
        <color theme="1"/>
        <rFont val="Calibri"/>
        <family val="2"/>
        <scheme val="minor"/>
      </rPr>
      <t>, weergegeven in SEAP template</t>
    </r>
  </si>
  <si>
    <t>industrie (niet-ETS)</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</si>
  <si>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2012.
</t>
  </si>
  <si>
    <t>niet-ETS</t>
  </si>
  <si>
    <t>ETS</t>
  </si>
  <si>
    <t>Bedrijven</t>
  </si>
  <si>
    <t xml:space="preserve">Bedrijven </t>
  </si>
  <si>
    <t>waarvan hernieuwbaar</t>
  </si>
  <si>
    <t>Emissies CO2 / CO2-eq [t]</t>
  </si>
  <si>
    <t>CO2-emissiefactor in  [t/MWh]</t>
  </si>
  <si>
    <t>fossiele brandstoffen</t>
  </si>
  <si>
    <t>hernieuwbare brandstoffen</t>
  </si>
  <si>
    <t>Inventaris 2012'!A13</t>
  </si>
  <si>
    <t>celverwijzing naar rekenblad "eigen vloot" rij 27 in plaats van rij 26 zodat rekening gehouden wordt met aandeel biobrandstof</t>
  </si>
  <si>
    <t>SEAP template'!A17</t>
  </si>
  <si>
    <t>actualisatie cijfers Energiebalans Vlaanderen (niet-ETS) voor het jaar 2012</t>
  </si>
  <si>
    <t>E Balans VL '!A1</t>
  </si>
  <si>
    <t>actualisatie gemiddelde verbruiken huishoudens op basis van Energiebalans Vlaanderen (september 2014)</t>
  </si>
  <si>
    <t>huishoudens!A54</t>
  </si>
  <si>
    <t>VITO Energiebalans Vlaanderen (september 2014)</t>
  </si>
  <si>
    <t>MWh hoofdverw/hh (2012)</t>
  </si>
  <si>
    <t>MWh bijverwarming/hh (2012)</t>
  </si>
  <si>
    <t>Energiebalans Vlaanderen (versie september 2014)</t>
  </si>
  <si>
    <t>VITO Energiebalans Vlaanderen (september, 2014)</t>
  </si>
  <si>
    <t>Eigen Warmte Pomp en Zonneboilers Bestaande Bouw</t>
  </si>
  <si>
    <t>ZB</t>
  </si>
  <si>
    <t>WP</t>
  </si>
  <si>
    <t>Eigen gebouwen'!B24</t>
  </si>
  <si>
    <t>verwijzing naar aantal eigen zonneboilers en warmtepompen bestaande gebouwen in rekenblad "data" - deze cijfers mogen overschreven worden!</t>
  </si>
  <si>
    <t xml:space="preserve"> transport!C38 </t>
  </si>
  <si>
    <t xml:space="preserve"> transport!C81 </t>
  </si>
  <si>
    <t xml:space="preserve">  aanpassing omzettingsfactoren kg/J naar COPERT-omzettingsfactoren: voor particulier vervoer </t>
  </si>
  <si>
    <t xml:space="preserve"> transport!D35 </t>
  </si>
  <si>
    <t xml:space="preserve">  aanpassing omzettingsfactoren kg/J naar COPERT-omzettingsfactoren: voor openbaar vervoer </t>
  </si>
  <si>
    <t xml:space="preserve"> transport!D78 </t>
  </si>
  <si>
    <t xml:space="preserve"> biobrandstoffen voor 2012 voor particulier vervoer</t>
  </si>
  <si>
    <t xml:space="preserve"> biobrandstoffen voor 2012 voor openbaar vervoer</t>
  </si>
  <si>
    <t xml:space="preserve"> aanpassen jaartal 2011 naar 2012</t>
  </si>
  <si>
    <t>transport!A1</t>
  </si>
  <si>
    <t xml:space="preserve"> transport!K26 </t>
  </si>
  <si>
    <t xml:space="preserve">  toevoeging brandstoftechnologie E85 voor personenwagens aan ECF transport: A67:F69 </t>
  </si>
  <si>
    <t xml:space="preserve"> transport!A67 </t>
  </si>
  <si>
    <t xml:space="preserve">  toevoeging brandstoftechnologie E85 aan berekeningen energieverbruik: 15% benzine + 85% bioethanol: H6:H14 en M6:M14 - enkel personenwagens </t>
  </si>
  <si>
    <t xml:space="preserve"> transport!H6 </t>
  </si>
  <si>
    <t xml:space="preserve"> transport!B27 </t>
  </si>
  <si>
    <t xml:space="preserve">  toevoeging brandstoftechnologie petrol voor zware vrachtwagens aan ECF transport: A70:F72 </t>
  </si>
  <si>
    <t xml:space="preserve">  update formule zwaar vrachtvervoer: ook benzine nu!: H8, H11, H14 </t>
  </si>
  <si>
    <t xml:space="preserve"> transport!H8 </t>
  </si>
  <si>
    <t xml:space="preserve"> ECF transport '!A1 </t>
  </si>
  <si>
    <t>E85</t>
  </si>
  <si>
    <t>ECF transport '!A70</t>
  </si>
  <si>
    <t xml:space="preserve">  update ECF naar ECF COPERT 2012</t>
  </si>
  <si>
    <t xml:space="preserve">  toevoeging brandstoftechnologie E85 aan verdeelsleutel voertuigkm over brandstoftechnologieën  </t>
  </si>
  <si>
    <t xml:space="preserve">  update verdeelsleutel voertuigkm over brandstoftechnologieën B27:K29 </t>
  </si>
  <si>
    <t xml:space="preserve"> update conversiefactoren transport</t>
  </si>
  <si>
    <t>Conversiefactoren!E28</t>
  </si>
  <si>
    <t xml:space="preserve">Tool Ondersteuning Burgemeestersconvenant - Deel 1: Emission Inventory </t>
  </si>
  <si>
    <t>COPERT</t>
  </si>
  <si>
    <r>
      <t>V</t>
    </r>
    <r>
      <rPr>
        <sz val="11"/>
        <color theme="1"/>
        <rFont val="Calibri"/>
        <family val="2"/>
        <scheme val="minor"/>
      </rPr>
      <t>EA (juni 2013)</t>
    </r>
  </si>
  <si>
    <t>EF ele_warmte'!B4</t>
  </si>
  <si>
    <t>aanpassing formules die verwijzen naar tabel C (productie en emissies lokale elektriciteitsproductie) en tabel D (emissies lokale warmte productie) SEAP template</t>
  </si>
  <si>
    <t>2012_02</t>
  </si>
  <si>
    <t>herziening emissiefactoren per diercategorie</t>
  </si>
  <si>
    <t>herziening N2O emissies bodem Vlaanderen</t>
  </si>
  <si>
    <t>Energiebalans Vlaanderen niet-ETS excl. visserij</t>
  </si>
  <si>
    <t>september 2015</t>
  </si>
  <si>
    <t>VMM (2015)</t>
  </si>
  <si>
    <t>Bron: CH4 vee-model  (VMM, 2015)</t>
  </si>
  <si>
    <t>Bron: N2O-model (VMM, 2015)</t>
  </si>
  <si>
    <t>EF N2O_CH4 landbouw'!B6</t>
  </si>
  <si>
    <t>ha_N2O bodem landbouw'!B4</t>
  </si>
  <si>
    <t>E Balans VL '!C25</t>
  </si>
  <si>
    <t>aanpassing ECF voor bussen (ruraal in plaats van stedelijk)</t>
  </si>
  <si>
    <t xml:space="preserve"> ECF transport '!F64</t>
  </si>
  <si>
    <t>wijziging methodologie wegtransport: opsplitsing voertuigtypes naar zwaar vervoer en licht vervoer. Impact op volgende tabbladen</t>
  </si>
  <si>
    <t>* tabblad "data": input opgesplitst naar twee voertuigtypes</t>
  </si>
  <si>
    <t>data!A73</t>
  </si>
  <si>
    <t>* tabblad "ECF Transport": input opgestplitst naar twee voertuigtypes</t>
  </si>
  <si>
    <t>ECF transport '!A2</t>
  </si>
  <si>
    <t>* tabblad "transport": aanpassing berekeningen naar indeling twee voertuigtypes</t>
  </si>
  <si>
    <t>Index</t>
  </si>
  <si>
    <t>Lichte voertuigen_Genummerde wegen</t>
  </si>
  <si>
    <t>Zware voertuigen_Genummerde wegen</t>
  </si>
  <si>
    <t>Lichte voertuigen_Niet-genummerde wegen</t>
  </si>
  <si>
    <t>Zware voertuigen_Niet-genummerde wegen</t>
  </si>
  <si>
    <t>Lichte voertuigen_Snelwegen</t>
  </si>
  <si>
    <t>Zware voertuigen_Snelwegen</t>
  </si>
  <si>
    <t>Lichte voertuigen</t>
  </si>
  <si>
    <t>Zware voertuigen</t>
  </si>
  <si>
    <t>2012_03</t>
  </si>
  <si>
    <t>BUS</t>
  </si>
  <si>
    <t>snelwegen</t>
  </si>
  <si>
    <t>Petrol Hybrid</t>
  </si>
  <si>
    <t>DIESEL</t>
  </si>
  <si>
    <t>DIESEL HYBRID CS</t>
  </si>
  <si>
    <t>DIESEL HYBRID PHEV</t>
  </si>
  <si>
    <t>ELECTRIC</t>
  </si>
  <si>
    <t>FUEL CELL H2</t>
  </si>
  <si>
    <t>PETROL</t>
  </si>
  <si>
    <t>PETROL HYBRID CS</t>
  </si>
  <si>
    <t>PETROL HYBRID PHEV</t>
  </si>
  <si>
    <t>Cultuurgrond (ha)</t>
  </si>
  <si>
    <t>Bron: COPERT4.11.3 doorrekening VMM februari 2017</t>
  </si>
  <si>
    <t>COPERT4.11.3 doorrekening VMM februari 2017</t>
  </si>
  <si>
    <t>Data VMM februari 2017</t>
  </si>
  <si>
    <t/>
  </si>
  <si>
    <t>2012_04</t>
  </si>
  <si>
    <t>ECF transport '!A1</t>
  </si>
  <si>
    <t>transport!A21</t>
  </si>
  <si>
    <t>transport!A28</t>
  </si>
  <si>
    <t>COPERT 4.11.3</t>
  </si>
  <si>
    <t>februari 2017</t>
  </si>
  <si>
    <t>COPERT doorrekening</t>
  </si>
  <si>
    <t>Caroline De Bosscher</t>
  </si>
  <si>
    <t xml:space="preserve">053 / 72 66 55 </t>
  </si>
  <si>
    <t xml:space="preserve">c.debosscher@vmm.be </t>
  </si>
  <si>
    <t>Wilfrid Degroot</t>
  </si>
  <si>
    <t>015 / 408 791</t>
  </si>
  <si>
    <t>Wilfrid.degroot@delijn.be</t>
  </si>
  <si>
    <t>COPERT 4.11</t>
  </si>
  <si>
    <t>Marlies Vanhulsel</t>
  </si>
  <si>
    <t>014 / 33 59 52</t>
  </si>
  <si>
    <t>marlies.vanhulsel@vito.be</t>
  </si>
  <si>
    <t>"fuel sold" - gerapporteerde brandstofverkopen</t>
  </si>
  <si>
    <t>Jaarverslag De Lijn</t>
  </si>
  <si>
    <t>Jaarverslag van De Lijn</t>
  </si>
  <si>
    <t>https://www.vlaanderen.be/nl/publicaties/detail/jaarverslag-de-lijn</t>
  </si>
  <si>
    <t>Kaat Jespers</t>
  </si>
  <si>
    <t>014 / 33 58 48</t>
  </si>
  <si>
    <t>kaat.jespers@vito.be</t>
  </si>
  <si>
    <t>15 / 33 58 48</t>
  </si>
  <si>
    <t>MOW</t>
  </si>
  <si>
    <t>november 2016</t>
  </si>
  <si>
    <t>Departement Mobiliteit en Openbare werken</t>
  </si>
  <si>
    <t xml:space="preserve">Aantal voertuigkm per gemeente en per weg </t>
  </si>
  <si>
    <t>Ynte Vanderhoydonc</t>
  </si>
  <si>
    <t>03 / 224 96 16</t>
  </si>
  <si>
    <t>ynte.vanderhoydonc@mow.vlaanderen.be</t>
  </si>
  <si>
    <t>verdeling hybride/diesel aangeleverd door De Lijn</t>
  </si>
  <si>
    <t>mei 2017</t>
  </si>
  <si>
    <t>standaardwaardes in COPERT-tool</t>
  </si>
  <si>
    <t>referentietaak LNE</t>
  </si>
  <si>
    <t>doorrekeningen openbaar vervoer door VITO in kader van referentietaak LNE</t>
  </si>
  <si>
    <t>De Lijn (2013)</t>
  </si>
  <si>
    <t>MOW (november 2016)</t>
  </si>
  <si>
    <t>referentietaak LNE (2017); Jaarverslag De Lijn (2012)</t>
  </si>
  <si>
    <t>2012_05</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</si>
  <si>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</si>
  <si>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</si>
  <si>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</si>
  <si>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</si>
  <si>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</si>
  <si>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</si>
  <si>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</si>
  <si>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</si>
  <si>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</si>
  <si>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</si>
  <si>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</si>
  <si>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</si>
  <si>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</si>
  <si>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2017</t>
  </si>
  <si>
    <t>JRC (2017)</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</si>
  <si>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</si>
  <si>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</si>
  <si>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</si>
  <si>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</si>
  <si>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 xml:space="preserve">Aantal zonnecollectoren en warmtepompen per gemeente, indienjaar en functie uit EPB </t>
  </si>
  <si>
    <t>maart 2018</t>
  </si>
  <si>
    <t>Vermogen PV, windturbines en waterkacht per jaar en per gemeente</t>
  </si>
  <si>
    <t>K. Jespers</t>
  </si>
  <si>
    <t>totale netto elektriciteitsproductie voor PV en windturbine in Vlaanderen</t>
  </si>
  <si>
    <t>Aantal productie-installaties en geïnstalleerd vermogen per technologie en per gemeente dat in aanmerking komt voor warmtekrachtcertificaten</t>
  </si>
  <si>
    <t>http://www.vreg.be/nl/warmte-krachtkoppeling</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</si>
  <si>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</si>
  <si>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</si>
  <si>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</si>
  <si>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</si>
  <si>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</si>
  <si>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</si>
  <si>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</si>
  <si>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</si>
  <si>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</si>
  <si>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</si>
  <si>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</si>
  <si>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</si>
  <si>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N6 en L6 * (-1)</t>
  </si>
  <si>
    <t>toevoeging rekenblad betrouwbaarheid</t>
  </si>
  <si>
    <t>2012_06</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</si>
  <si>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</si>
  <si>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</si>
  <si>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</si>
  <si>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</si>
  <si>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</si>
  <si>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</si>
  <si>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</si>
  <si>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</si>
  <si>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</si>
  <si>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</si>
  <si>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</si>
  <si>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</si>
  <si>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</si>
  <si>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</si>
  <si>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</si>
  <si>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</si>
  <si>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</si>
  <si>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</si>
  <si>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</si>
  <si>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</si>
  <si>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</si>
  <si>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</si>
  <si>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</si>
  <si>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</si>
  <si>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</si>
  <si>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</si>
  <si>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</si>
  <si>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</si>
  <si>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</si>
  <si>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</si>
  <si>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</si>
  <si>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</si>
  <si>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</si>
  <si>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</si>
  <si>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</si>
  <si>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zonnethermische energie</t>
  </si>
  <si>
    <t>geothermische energie</t>
  </si>
  <si>
    <t>Geothermische energie</t>
  </si>
  <si>
    <t>Gebouwen, installaties/voorzieningen niet toegekend</t>
  </si>
  <si>
    <t>Vervoer niet toegekend</t>
  </si>
  <si>
    <t>Overige niet toegekend</t>
  </si>
  <si>
    <t>Subtotaal overige</t>
  </si>
  <si>
    <t>waarvan niet-hernieuwbaar</t>
  </si>
  <si>
    <t>niet toegekend</t>
  </si>
  <si>
    <t>2012_07</t>
  </si>
  <si>
    <t>aanpassing SEAP template--&gt; aanpassing gekoppelde rekenbladen</t>
  </si>
  <si>
    <t>versie: 2012_07</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</si>
  <si>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</si>
  <si>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</si>
  <si>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</si>
  <si>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</si>
  <si>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</si>
  <si>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</si>
  <si>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</si>
  <si>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</si>
  <si>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</si>
  <si>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</si>
  <si>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</si>
  <si>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</si>
  <si>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</si>
  <si>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</si>
  <si>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</si>
  <si>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</si>
  <si>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</si>
  <si>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</si>
  <si>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</si>
  <si>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</si>
  <si>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</si>
  <si>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11009</t>
  </si>
  <si>
    <t>BRECHT</t>
  </si>
  <si>
    <t>Paarden&amp;pony's 200 - 600 kg</t>
  </si>
  <si>
    <t>Paarden&amp;pony's &lt; 200 kg</t>
  </si>
  <si>
    <t>op basis van VEA (maart 2018) en Inventaris Hernieuwbare Energiebronnen (juni 2018)</t>
  </si>
  <si>
    <t>VEA (juni 2018)</t>
  </si>
  <si>
    <t>Tuinderij Joosen bvba</t>
  </si>
  <si>
    <t>Luyckstraat 3b, 2960 Brecht</t>
  </si>
  <si>
    <t>WKK-0144 Tuinderij Joosen</t>
  </si>
  <si>
    <t>interne verbrandingsmotor</t>
  </si>
  <si>
    <t>WKK interne verbrandinsgmotor (gas)</t>
  </si>
  <si>
    <t>IVEKA</t>
  </si>
  <si>
    <t>Luc Baeck</t>
  </si>
  <si>
    <t>Brugstraat 87 , 2960 Brecht</t>
  </si>
  <si>
    <t>WKK-0352 Luc Baeck</t>
  </si>
  <si>
    <t>stirlingmotor</t>
  </si>
  <si>
    <t>Biolectric nv</t>
  </si>
  <si>
    <t>Jan de Malschelaan 4 B, 9140 Temse</t>
  </si>
  <si>
    <t>WKK-0446 Stan Beyers</t>
  </si>
  <si>
    <t>Veldstraat 138 , 2960 Brecht</t>
  </si>
  <si>
    <t>Van De Mierop LV</t>
  </si>
  <si>
    <t>Wuustwezelsteenweg 8 , 2960 Brecht</t>
  </si>
  <si>
    <t>WKK-0437 Van De Mierop</t>
  </si>
  <si>
    <t>Iveka</t>
  </si>
  <si>
    <t>Brusselsesteenweg 199 Blok A - 1 e verdiep , 9090 Melle</t>
  </si>
  <si>
    <t>BGS-0010 Igean Stort (GSC rest)</t>
  </si>
  <si>
    <t>biogas - stortgas</t>
  </si>
  <si>
    <t>niet WKK interne verbrandingsmotor (gas)</t>
  </si>
  <si>
    <t>Oostmalsebaan 70-74, 2960 Sint-Lenaarts</t>
  </si>
  <si>
    <t>IVEB NV</t>
  </si>
  <si>
    <t>Kruisbos 17, 2920 Kalmthout</t>
  </si>
  <si>
    <t>BGS-0031 IVEB - agr.verg</t>
  </si>
  <si>
    <t>biogas - hoofdzakelijk agrarische stromen</t>
  </si>
  <si>
    <t>Vaartkant Rechts 11 , 2960 Brecht</t>
  </si>
  <si>
    <t>Igean CV</t>
  </si>
  <si>
    <t>Doornaardstraat 60, 2160 Wommelgem</t>
  </si>
  <si>
    <t>BGS-0014 Dranco 1 en 2- GFT</t>
  </si>
  <si>
    <t>biogas - GFT met compostering</t>
  </si>
  <si>
    <t>Oostmalsebaan 70-74 , 2960 Sint-Lenaarts</t>
  </si>
</sst>
</file>

<file path=xl/styles.xml><?xml version="1.0" encoding="utf-8"?>
<styleSheet xmlns="http://schemas.openxmlformats.org/spreadsheetml/2006/main">
  <numFmts count="16">
    <numFmt numFmtId="164" formatCode="_-* #,##0.00\ _€_-;\-* #,##0.00\ _€_-;_-* &quot;-&quot;??\ _€_-;_-@_-"/>
    <numFmt numFmtId="165" formatCode="_-&quot;£&quot;* #,##0_-;\-&quot;£&quot;* #,##0_-;_-&quot;£&quot;* &quot;-&quot;_-;_-@_-"/>
    <numFmt numFmtId="166" formatCode="_-* #,##0_-;\-* #,##0_-;_-* &quot;-&quot;_-;_-@_-"/>
    <numFmt numFmtId="167" formatCode="_-&quot;£&quot;* #,##0.00_-;\-&quot;£&quot;* #,##0.00_-;_-&quot;£&quot;* &quot;-&quot;??_-;_-@_-"/>
    <numFmt numFmtId="168" formatCode="_-* #,##0.00_-;\-* #,##0.00_-;_-* &quot;-&quot;??_-;_-@_-"/>
    <numFmt numFmtId="169" formatCode="_ * #,##0.00_ ;_ * \-#,##0.00_ ;_ * &quot;-&quot;??_ ;_ @_ "/>
    <numFmt numFmtId="170" formatCode="#,##0.0"/>
    <numFmt numFmtId="171" formatCode="0.000"/>
    <numFmt numFmtId="172" formatCode="_-* #,##0.00\ [$€]_-;\-* #,##0.00\ [$€]_-;_-* &quot;-&quot;??\ [$€]_-;_-@_-"/>
    <numFmt numFmtId="173" formatCode="0.0"/>
    <numFmt numFmtId="174" formatCode="#,##0.000"/>
    <numFmt numFmtId="175" formatCode="#,##0.000_ ;\-#,##0.000\ "/>
    <numFmt numFmtId="176" formatCode="0.0000"/>
    <numFmt numFmtId="177" formatCode="#,##0.0000"/>
    <numFmt numFmtId="178" formatCode="0.000000"/>
    <numFmt numFmtId="179" formatCode="_-* #,##0.0000\ [$€]_-;\-* #,##0.0000\ [$€]_-;_-* &quot;-&quot;??\ [$€]_-;_-@_-"/>
  </numFmts>
  <fonts count="128">
    <font>
      <sz val="11"/>
      <color theme="1"/>
      <name val="Calibri"/>
      <family val="2"/>
      <scheme val="minor"/>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u/>
      <sz val="11"/>
      <color rgb="FFFF0000"/>
      <name val="Calibri"/>
      <family val="2"/>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0"/>
      <color theme="1"/>
      <name val="Arial"/>
      <family val="2"/>
    </font>
    <font>
      <b/>
      <sz val="13"/>
      <color theme="3"/>
      <name val="Arial"/>
      <family val="2"/>
    </font>
    <font>
      <sz val="10"/>
      <color rgb="FF9C6500"/>
      <name val="Arial"/>
      <family val="2"/>
    </font>
    <font>
      <b/>
      <sz val="9"/>
      <name val="Times New Roman"/>
      <family val="1"/>
    </font>
    <font>
      <b/>
      <sz val="12"/>
      <name val="Times New Roman"/>
      <family val="1"/>
    </font>
    <font>
      <sz val="8"/>
      <name val="Helvetica"/>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9"/>
        <bgColor indexed="64"/>
      </patternFill>
    </fill>
    <fill>
      <patternFill patternType="solid">
        <fgColor theme="6"/>
        <bgColor indexed="64"/>
      </patternFill>
    </fill>
    <fill>
      <patternFill patternType="solid">
        <fgColor theme="5"/>
        <bgColor indexed="64"/>
      </patternFill>
    </fill>
  </fills>
  <borders count="206">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right style="thin">
        <color theme="0"/>
      </right>
      <top style="thin">
        <color indexed="64"/>
      </top>
      <bottom style="thin">
        <color indexed="64"/>
      </bottom>
      <diagonal/>
    </border>
    <border>
      <left/>
      <right style="thin">
        <color theme="0"/>
      </right>
      <top/>
      <bottom/>
      <diagonal/>
    </border>
    <border>
      <left/>
      <right style="thick">
        <color indexed="64"/>
      </right>
      <top style="thin">
        <color indexed="64"/>
      </top>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0" tint="-0.24994659260841701"/>
      </left>
      <right/>
      <top style="thin">
        <color theme="0" tint="-0.24994659260841701"/>
      </top>
      <bottom style="thin">
        <color theme="0" tint="-0.24994659260841701"/>
      </bottom>
      <diagonal/>
    </border>
    <border>
      <left style="thin">
        <color auto="1"/>
      </left>
      <right style="thin">
        <color auto="1"/>
      </right>
      <top style="thin">
        <color theme="0"/>
      </top>
      <bottom/>
      <diagonal/>
    </border>
    <border>
      <left/>
      <right/>
      <top/>
      <bottom style="thin">
        <color rgb="FF3FC6CD"/>
      </bottom>
      <diagonal/>
    </border>
  </borders>
  <cellStyleXfs count="266">
    <xf numFmtId="172" fontId="0" fillId="0" borderId="0"/>
    <xf numFmtId="172" fontId="3" fillId="0" borderId="0" applyNumberFormat="0" applyFill="0" applyBorder="0" applyAlignment="0" applyProtection="0"/>
    <xf numFmtId="172" fontId="4" fillId="0" borderId="0"/>
    <xf numFmtId="172" fontId="9" fillId="0" borderId="0"/>
    <xf numFmtId="172" fontId="9" fillId="0" borderId="0"/>
    <xf numFmtId="172" fontId="15" fillId="0" borderId="0"/>
    <xf numFmtId="4" fontId="26" fillId="5" borderId="20">
      <alignment horizontal="right" vertical="center"/>
    </xf>
    <xf numFmtId="172" fontId="16" fillId="6" borderId="21" applyFont="0" applyBorder="0">
      <alignment vertical="center"/>
    </xf>
    <xf numFmtId="172" fontId="27" fillId="7" borderId="0" applyNumberFormat="0" applyBorder="0" applyAlignment="0" applyProtection="0"/>
    <xf numFmtId="172" fontId="28" fillId="0" borderId="0" applyNumberFormat="0" applyAlignment="0" applyProtection="0"/>
    <xf numFmtId="170" fontId="16" fillId="0" borderId="15">
      <alignment vertical="center"/>
    </xf>
    <xf numFmtId="170" fontId="16" fillId="0" borderId="15">
      <alignment vertical="center"/>
    </xf>
    <xf numFmtId="170" fontId="16" fillId="0" borderId="15">
      <alignment vertical="center"/>
    </xf>
    <xf numFmtId="164" fontId="4" fillId="0" borderId="0" applyFont="0" applyFill="0" applyBorder="0" applyAlignment="0" applyProtection="0"/>
    <xf numFmtId="172" fontId="9" fillId="8" borderId="0" applyNumberFormat="0" applyBorder="0" applyAlignment="0">
      <protection hidden="1"/>
    </xf>
    <xf numFmtId="172" fontId="29" fillId="0" borderId="0" applyNumberFormat="0" applyFont="0" applyAlignment="0"/>
    <xf numFmtId="166" fontId="9" fillId="0" borderId="0" applyFont="0" applyFill="0" applyBorder="0" applyAlignment="0" applyProtection="0"/>
    <xf numFmtId="168" fontId="9" fillId="0" borderId="0" applyFont="0" applyFill="0" applyBorder="0" applyAlignment="0" applyProtection="0"/>
    <xf numFmtId="172" fontId="9" fillId="0" borderId="0" applyFont="0" applyFill="0" applyBorder="0" applyAlignment="0" applyProtection="0"/>
    <xf numFmtId="172" fontId="30" fillId="0" borderId="0" applyNumberFormat="0" applyFill="0" applyBorder="0" applyAlignment="0" applyProtection="0">
      <alignment vertical="top"/>
      <protection locked="0"/>
    </xf>
    <xf numFmtId="173" fontId="23" fillId="8" borderId="15">
      <alignment horizontal="right" vertical="center"/>
    </xf>
    <xf numFmtId="173" fontId="23" fillId="8" borderId="15">
      <alignment horizontal="right" vertical="center"/>
    </xf>
    <xf numFmtId="173" fontId="23" fillId="8" borderId="15">
      <alignment horizontal="right" vertical="center"/>
    </xf>
    <xf numFmtId="173" fontId="31" fillId="9" borderId="15">
      <alignment horizontal="right" vertical="center"/>
    </xf>
    <xf numFmtId="173" fontId="31" fillId="9" borderId="15">
      <alignment horizontal="right" vertical="center"/>
    </xf>
    <xf numFmtId="173" fontId="31" fillId="9" borderId="15">
      <alignment horizontal="right" vertical="center"/>
    </xf>
    <xf numFmtId="169" fontId="9" fillId="0" borderId="0" applyFont="0" applyFill="0" applyBorder="0" applyAlignment="0" applyProtection="0"/>
    <xf numFmtId="172" fontId="9" fillId="10" borderId="0" applyNumberFormat="0" applyFont="0" applyBorder="0" applyAlignment="0"/>
    <xf numFmtId="166" fontId="32" fillId="0" borderId="0" applyFont="0" applyFill="0" applyBorder="0" applyAlignment="0" applyProtection="0"/>
    <xf numFmtId="168" fontId="32" fillId="0" borderId="0" applyFont="0" applyFill="0" applyBorder="0" applyAlignment="0" applyProtection="0"/>
    <xf numFmtId="165" fontId="32" fillId="0" borderId="0" applyFont="0" applyFill="0" applyBorder="0" applyAlignment="0" applyProtection="0"/>
    <xf numFmtId="167" fontId="32" fillId="0" borderId="0" applyFont="0" applyFill="0" applyBorder="0" applyAlignment="0" applyProtection="0"/>
    <xf numFmtId="172" fontId="33" fillId="0" borderId="0"/>
    <xf numFmtId="172" fontId="9" fillId="0" borderId="0"/>
    <xf numFmtId="172" fontId="33" fillId="0" borderId="0"/>
    <xf numFmtId="172" fontId="15" fillId="0" borderId="0"/>
    <xf numFmtId="172" fontId="9" fillId="0" borderId="0"/>
    <xf numFmtId="4" fontId="26" fillId="0" borderId="15" applyFill="0" applyBorder="0" applyProtection="0">
      <alignment horizontal="right" vertical="center"/>
    </xf>
    <xf numFmtId="172" fontId="16" fillId="11" borderId="22" applyProtection="0">
      <alignment vertical="center"/>
    </xf>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72" fontId="9" fillId="0" borderId="0"/>
    <xf numFmtId="172" fontId="34" fillId="1" borderId="23" applyNumberFormat="0" applyProtection="0">
      <alignment horizontal="left" vertical="top"/>
    </xf>
    <xf numFmtId="172" fontId="35" fillId="0" borderId="0"/>
    <xf numFmtId="165" fontId="9" fillId="0" borderId="0" applyFont="0" applyFill="0" applyBorder="0" applyAlignment="0" applyProtection="0"/>
    <xf numFmtId="167" fontId="9"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172" fontId="36" fillId="0" borderId="24">
      <alignment horizontal="left"/>
    </xf>
    <xf numFmtId="9" fontId="4" fillId="0" borderId="0" applyFont="0" applyFill="0" applyBorder="0" applyAlignment="0" applyProtection="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51" fillId="0" borderId="0"/>
    <xf numFmtId="172" fontId="51" fillId="0" borderId="0"/>
    <xf numFmtId="172" fontId="4"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9" fillId="0" borderId="0"/>
    <xf numFmtId="172" fontId="4" fillId="0" borderId="0"/>
    <xf numFmtId="172" fontId="4" fillId="0" borderId="0"/>
    <xf numFmtId="172" fontId="9" fillId="0" borderId="0"/>
    <xf numFmtId="172" fontId="9" fillId="0" borderId="0"/>
    <xf numFmtId="172" fontId="51" fillId="0" borderId="0"/>
    <xf numFmtId="172" fontId="9" fillId="0" borderId="0"/>
    <xf numFmtId="172" fontId="9" fillId="0" borderId="0"/>
    <xf numFmtId="172" fontId="51" fillId="0" borderId="0"/>
    <xf numFmtId="172" fontId="51" fillId="0" borderId="0"/>
    <xf numFmtId="172" fontId="9" fillId="0" borderId="0"/>
    <xf numFmtId="172" fontId="9" fillId="0" borderId="0"/>
    <xf numFmtId="172" fontId="9" fillId="0" borderId="0"/>
    <xf numFmtId="172" fontId="9" fillId="0" borderId="0"/>
    <xf numFmtId="172" fontId="51" fillId="0" borderId="0"/>
    <xf numFmtId="172" fontId="71" fillId="0" borderId="0" applyNumberFormat="0" applyFill="0" applyBorder="0" applyAlignment="0" applyProtection="0">
      <alignment vertical="top"/>
      <protection locked="0"/>
    </xf>
    <xf numFmtId="0" fontId="4" fillId="0" borderId="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0" fontId="4" fillId="0" borderId="0"/>
    <xf numFmtId="169" fontId="4" fillId="0" borderId="0" applyFont="0" applyFill="0" applyBorder="0" applyAlignment="0" applyProtection="0"/>
    <xf numFmtId="0" fontId="104" fillId="0" borderId="176" applyNumberFormat="0" applyFill="0" applyAlignment="0" applyProtection="0"/>
    <xf numFmtId="0" fontId="105" fillId="26" borderId="0" applyNumberFormat="0" applyBorder="0" applyAlignment="0" applyProtection="0"/>
    <xf numFmtId="0" fontId="106" fillId="27" borderId="0" applyNumberFormat="0" applyBorder="0" applyAlignment="0" applyProtection="0"/>
    <xf numFmtId="0" fontId="107" fillId="28" borderId="0" applyNumberFormat="0" applyBorder="0" applyAlignment="0" applyProtection="0"/>
    <xf numFmtId="0" fontId="108" fillId="29" borderId="177" applyNumberFormat="0" applyAlignment="0" applyProtection="0"/>
    <xf numFmtId="0" fontId="109" fillId="30" borderId="178" applyNumberFormat="0" applyAlignment="0" applyProtection="0"/>
    <xf numFmtId="0" fontId="110" fillId="30" borderId="177" applyNumberFormat="0" applyAlignment="0" applyProtection="0"/>
    <xf numFmtId="0" fontId="111" fillId="0" borderId="179" applyNumberFormat="0" applyFill="0" applyAlignment="0" applyProtection="0"/>
    <xf numFmtId="0" fontId="39" fillId="31" borderId="180" applyNumberFormat="0" applyAlignment="0" applyProtection="0"/>
    <xf numFmtId="0" fontId="5" fillId="0" borderId="0" applyNumberFormat="0" applyFill="0" applyBorder="0" applyAlignment="0" applyProtection="0"/>
    <xf numFmtId="0" fontId="4" fillId="32" borderId="181" applyNumberFormat="0" applyFont="0" applyAlignment="0" applyProtection="0"/>
    <xf numFmtId="0" fontId="112" fillId="0" borderId="0" applyNumberFormat="0" applyFill="0" applyBorder="0" applyAlignment="0" applyProtection="0"/>
    <xf numFmtId="0" fontId="6" fillId="0" borderId="182" applyNumberFormat="0" applyFill="0" applyAlignment="0" applyProtection="0"/>
    <xf numFmtId="0" fontId="4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46" fillId="36" borderId="0" applyNumberFormat="0" applyBorder="0" applyAlignment="0" applyProtection="0"/>
    <xf numFmtId="0" fontId="4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6" fillId="40" borderId="0" applyNumberFormat="0" applyBorder="0" applyAlignment="0" applyProtection="0"/>
    <xf numFmtId="0" fontId="4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6" fillId="44" borderId="0" applyNumberFormat="0" applyBorder="0" applyAlignment="0" applyProtection="0"/>
    <xf numFmtId="0" fontId="4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6" fillId="48" borderId="0" applyNumberFormat="0" applyBorder="0" applyAlignment="0" applyProtection="0"/>
    <xf numFmtId="0" fontId="4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46" fillId="56" borderId="0" applyNumberFormat="0" applyBorder="0" applyAlignment="0" applyProtection="0"/>
    <xf numFmtId="0" fontId="4" fillId="0" borderId="0"/>
    <xf numFmtId="172" fontId="4" fillId="0" borderId="0"/>
    <xf numFmtId="172" fontId="1" fillId="0" borderId="0" applyNumberFormat="0" applyFill="0" applyBorder="0" applyAlignment="0" applyProtection="0"/>
    <xf numFmtId="172" fontId="2" fillId="0" borderId="1" applyNumberFormat="0" applyFill="0" applyAlignment="0" applyProtection="0"/>
    <xf numFmtId="172" fontId="3" fillId="0" borderId="2" applyNumberFormat="0" applyFill="0" applyAlignment="0" applyProtection="0"/>
    <xf numFmtId="172" fontId="3" fillId="0" borderId="0" applyNumberFormat="0" applyFill="0" applyBorder="0" applyAlignment="0" applyProtection="0"/>
    <xf numFmtId="169" fontId="4" fillId="0" borderId="0" applyFont="0" applyFill="0" applyBorder="0" applyAlignment="0" applyProtection="0"/>
    <xf numFmtId="0" fontId="51" fillId="0" borderId="0"/>
    <xf numFmtId="0" fontId="113" fillId="0" borderId="0"/>
    <xf numFmtId="0" fontId="1" fillId="0" borderId="0" applyNumberFormat="0" applyFill="0" applyBorder="0" applyAlignment="0" applyProtection="0"/>
    <xf numFmtId="0" fontId="114" fillId="0" borderId="176" applyNumberFormat="0" applyFill="0" applyAlignment="0" applyProtection="0"/>
    <xf numFmtId="0" fontId="115" fillId="28" borderId="0" applyNumberFormat="0" applyBorder="0" applyAlignment="0" applyProtection="0"/>
    <xf numFmtId="0" fontId="113" fillId="34" borderId="0" applyNumberFormat="0" applyBorder="0" applyAlignment="0" applyProtection="0"/>
    <xf numFmtId="9" fontId="113" fillId="0" borderId="0" applyFont="0" applyFill="0" applyBorder="0" applyAlignment="0" applyProtection="0"/>
    <xf numFmtId="0" fontId="51" fillId="0" borderId="0"/>
    <xf numFmtId="172" fontId="4" fillId="0" borderId="0"/>
    <xf numFmtId="173" fontId="31" fillId="9" borderId="15">
      <alignment horizontal="right" vertical="center"/>
    </xf>
    <xf numFmtId="173" fontId="31" fillId="9" borderId="15">
      <alignment horizontal="right" vertical="center"/>
    </xf>
    <xf numFmtId="173" fontId="31" fillId="9" borderId="15">
      <alignment horizontal="right" vertical="center"/>
    </xf>
    <xf numFmtId="9" fontId="4" fillId="0" borderId="0" applyFont="0" applyFill="0" applyBorder="0" applyAlignment="0" applyProtection="0"/>
    <xf numFmtId="172" fontId="71" fillId="0" borderId="0" applyNumberFormat="0" applyFill="0" applyBorder="0" applyAlignment="0" applyProtection="0">
      <alignment vertical="top"/>
      <protection locked="0"/>
    </xf>
    <xf numFmtId="9" fontId="51" fillId="0" borderId="0" applyFont="0" applyFill="0" applyBorder="0" applyAlignment="0" applyProtection="0"/>
    <xf numFmtId="172" fontId="4" fillId="0" borderId="0"/>
    <xf numFmtId="172" fontId="4"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49" fontId="26" fillId="0" borderId="183" applyNumberFormat="0" applyFont="0" applyFill="0" applyBorder="0" applyProtection="0">
      <alignment horizontal="left" vertical="center" indent="2"/>
    </xf>
    <xf numFmtId="49" fontId="26" fillId="0" borderId="184" applyNumberFormat="0" applyFont="0" applyFill="0" applyBorder="0" applyProtection="0">
      <alignment horizontal="left" vertical="center" indent="5"/>
    </xf>
    <xf numFmtId="4" fontId="116" fillId="0" borderId="13" applyFill="0" applyBorder="0" applyProtection="0">
      <alignment horizontal="right" vertical="center"/>
    </xf>
    <xf numFmtId="0" fontId="117" fillId="0" borderId="0" applyNumberFormat="0" applyFill="0" applyBorder="0" applyAlignment="0" applyProtection="0"/>
    <xf numFmtId="0" fontId="30" fillId="0" borderId="0" applyNumberFormat="0" applyFill="0" applyBorder="0" applyAlignment="0" applyProtection="0">
      <alignment vertical="top"/>
      <protection locked="0"/>
    </xf>
    <xf numFmtId="0" fontId="9" fillId="57" borderId="183"/>
    <xf numFmtId="0" fontId="9" fillId="0" borderId="0"/>
    <xf numFmtId="0" fontId="9" fillId="0" borderId="0"/>
    <xf numFmtId="0" fontId="4" fillId="0" borderId="0"/>
    <xf numFmtId="4" fontId="26" fillId="0" borderId="183" applyFill="0" applyBorder="0" applyProtection="0">
      <alignment horizontal="right" vertical="center"/>
    </xf>
    <xf numFmtId="49" fontId="116" fillId="0" borderId="183" applyNumberFormat="0" applyFill="0" applyBorder="0" applyProtection="0">
      <alignment horizontal="left" vertical="center"/>
    </xf>
    <xf numFmtId="0" fontId="26" fillId="0" borderId="183" applyNumberFormat="0" applyFill="0" applyAlignment="0" applyProtection="0"/>
    <xf numFmtId="0" fontId="118" fillId="58" borderId="0" applyNumberFormat="0" applyFont="0" applyBorder="0" applyAlignment="0" applyProtection="0"/>
    <xf numFmtId="4" fontId="9" fillId="0" borderId="0"/>
    <xf numFmtId="177" fontId="26" fillId="59" borderId="183" applyNumberFormat="0" applyFont="0" applyBorder="0" applyAlignment="0" applyProtection="0">
      <alignment horizontal="right" vertical="center"/>
    </xf>
    <xf numFmtId="0" fontId="51" fillId="0" borderId="0"/>
    <xf numFmtId="0" fontId="9" fillId="0" borderId="0"/>
    <xf numFmtId="4" fontId="9" fillId="0" borderId="0"/>
    <xf numFmtId="0" fontId="51" fillId="0" borderId="0"/>
    <xf numFmtId="0" fontId="9" fillId="0" borderId="0"/>
    <xf numFmtId="0" fontId="9" fillId="0" borderId="0"/>
    <xf numFmtId="0" fontId="9" fillId="0" borderId="0"/>
    <xf numFmtId="0" fontId="9" fillId="0" borderId="0"/>
    <xf numFmtId="0" fontId="9" fillId="0" borderId="0"/>
    <xf numFmtId="0" fontId="9" fillId="0" borderId="0"/>
    <xf numFmtId="0" fontId="26" fillId="0" borderId="0"/>
    <xf numFmtId="170" fontId="16" fillId="0" borderId="183">
      <alignment vertical="center"/>
    </xf>
    <xf numFmtId="170" fontId="16" fillId="0" borderId="183">
      <alignment vertical="center"/>
    </xf>
    <xf numFmtId="170" fontId="16" fillId="0" borderId="183">
      <alignment vertical="center"/>
    </xf>
    <xf numFmtId="173" fontId="23" fillId="8" borderId="183">
      <alignment horizontal="right" vertical="center"/>
    </xf>
    <xf numFmtId="173" fontId="23" fillId="8" borderId="183">
      <alignment horizontal="right" vertical="center"/>
    </xf>
    <xf numFmtId="173" fontId="23" fillId="8"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173" fontId="31" fillId="9" borderId="183">
      <alignment horizontal="right" vertical="center"/>
    </xf>
    <xf numFmtId="0" fontId="4" fillId="0" borderId="0"/>
    <xf numFmtId="0" fontId="4" fillId="0" borderId="0"/>
    <xf numFmtId="0" fontId="4" fillId="0" borderId="0"/>
    <xf numFmtId="0" fontId="4" fillId="0" borderId="0"/>
    <xf numFmtId="172" fontId="3" fillId="0" borderId="2" applyNumberFormat="0" applyFill="0" applyAlignment="0" applyProtection="0"/>
  </cellStyleXfs>
  <cellXfs count="1304">
    <xf numFmtId="172" fontId="0" fillId="0" borderId="0" xfId="0"/>
    <xf numFmtId="172" fontId="3" fillId="0" borderId="0" xfId="1"/>
    <xf numFmtId="170" fontId="12" fillId="0" borderId="0" xfId="3" applyNumberFormat="1" applyFont="1" applyFill="1"/>
    <xf numFmtId="172" fontId="0" fillId="0" borderId="7" xfId="0" applyBorder="1"/>
    <xf numFmtId="172" fontId="0" fillId="0" borderId="10" xfId="0" applyBorder="1"/>
    <xf numFmtId="172" fontId="6" fillId="0" borderId="7" xfId="0" applyFont="1" applyBorder="1"/>
    <xf numFmtId="172" fontId="16" fillId="0" borderId="0" xfId="5" applyFont="1" applyFill="1" applyBorder="1" applyAlignment="1">
      <alignment wrapText="1"/>
    </xf>
    <xf numFmtId="172" fontId="14" fillId="0" borderId="0" xfId="0" applyFont="1"/>
    <xf numFmtId="172" fontId="6" fillId="0" borderId="0" xfId="0" applyFont="1"/>
    <xf numFmtId="172" fontId="21" fillId="0" borderId="0" xfId="0" applyFont="1" applyBorder="1"/>
    <xf numFmtId="172" fontId="22" fillId="0" borderId="0" xfId="0" applyFont="1" applyBorder="1"/>
    <xf numFmtId="172" fontId="5" fillId="0" borderId="0" xfId="0" applyFont="1"/>
    <xf numFmtId="172" fontId="23" fillId="0" borderId="0" xfId="0" applyFont="1"/>
    <xf numFmtId="172" fontId="38" fillId="12" borderId="15" xfId="0" applyFont="1" applyFill="1" applyBorder="1" applyAlignment="1">
      <alignment horizontal="center" vertical="center" wrapText="1"/>
    </xf>
    <xf numFmtId="172" fontId="37" fillId="0" borderId="0" xfId="0"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172" fontId="0" fillId="0" borderId="0" xfId="0" applyFill="1"/>
    <xf numFmtId="172" fontId="6"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2" fontId="6" fillId="13" borderId="15" xfId="0" applyFont="1" applyFill="1" applyBorder="1"/>
    <xf numFmtId="3" fontId="6" fillId="13" borderId="15" xfId="0" applyNumberFormat="1" applyFont="1" applyFill="1" applyBorder="1" applyAlignment="1">
      <alignment horizontal="center"/>
    </xf>
    <xf numFmtId="174" fontId="0" fillId="0" borderId="0" xfId="0" applyNumberFormat="1" applyAlignment="1">
      <alignment horizontal="center"/>
    </xf>
    <xf numFmtId="3" fontId="0" fillId="13" borderId="15" xfId="0" applyNumberFormat="1" applyFill="1" applyBorder="1" applyAlignment="1">
      <alignment horizontal="center"/>
    </xf>
    <xf numFmtId="172" fontId="6" fillId="14" borderId="15" xfId="0" applyFont="1" applyFill="1" applyBorder="1"/>
    <xf numFmtId="174"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2" fontId="17"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4" fontId="0" fillId="17" borderId="15" xfId="0" applyNumberFormat="1" applyFill="1" applyBorder="1" applyAlignment="1">
      <alignment horizontal="center"/>
    </xf>
    <xf numFmtId="172"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172" fontId="0" fillId="0" borderId="0" xfId="0" applyFill="1" applyBorder="1" applyAlignment="1">
      <alignment horizontal="center"/>
    </xf>
    <xf numFmtId="3" fontId="0" fillId="2" borderId="0" xfId="0" applyNumberFormat="1" applyFill="1" applyBorder="1" applyAlignment="1">
      <alignment horizontal="center"/>
    </xf>
    <xf numFmtId="174"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2" fontId="0" fillId="0" borderId="15" xfId="0" applyFill="1" applyBorder="1"/>
    <xf numFmtId="172" fontId="6" fillId="0" borderId="0" xfId="0" applyFont="1" applyFill="1" applyBorder="1"/>
    <xf numFmtId="172" fontId="0" fillId="0" borderId="0" xfId="0" applyBorder="1"/>
    <xf numFmtId="172" fontId="0" fillId="0" borderId="21" xfId="0" applyBorder="1"/>
    <xf numFmtId="172" fontId="0" fillId="0" borderId="103" xfId="0" applyBorder="1"/>
    <xf numFmtId="172" fontId="6"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2" fontId="47" fillId="0" borderId="0" xfId="0" applyFont="1" applyFill="1"/>
    <xf numFmtId="172" fontId="46"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6" fillId="0" borderId="0" xfId="0" applyNumberFormat="1" applyFont="1" applyFill="1" applyBorder="1" applyAlignment="1">
      <alignment horizontal="center"/>
    </xf>
    <xf numFmtId="172" fontId="23" fillId="0" borderId="0" xfId="1" applyFont="1"/>
    <xf numFmtId="174" fontId="23" fillId="14" borderId="15" xfId="0" applyNumberFormat="1" applyFont="1" applyFill="1" applyBorder="1" applyAlignment="1">
      <alignment horizontal="center"/>
    </xf>
    <xf numFmtId="174" fontId="5" fillId="14" borderId="15" xfId="0" applyNumberFormat="1" applyFont="1" applyFill="1" applyBorder="1" applyAlignment="1">
      <alignment horizontal="center"/>
    </xf>
    <xf numFmtId="172" fontId="0" fillId="0" borderId="0" xfId="0" applyFont="1" applyFill="1" applyBorder="1"/>
    <xf numFmtId="3" fontId="53" fillId="0" borderId="0" xfId="0" applyNumberFormat="1" applyFont="1" applyBorder="1" applyAlignment="1">
      <alignment horizontal="center"/>
    </xf>
    <xf numFmtId="3" fontId="9" fillId="0" borderId="0" xfId="0" applyNumberFormat="1" applyFont="1" applyBorder="1" applyAlignment="1">
      <alignment horizontal="center"/>
    </xf>
    <xf numFmtId="3" fontId="54" fillId="0" borderId="0" xfId="0" applyNumberFormat="1" applyFont="1" applyBorder="1" applyAlignment="1">
      <alignment horizontal="center"/>
    </xf>
    <xf numFmtId="3" fontId="55" fillId="0" borderId="0" xfId="0" applyNumberFormat="1" applyFont="1" applyAlignment="1">
      <alignment horizontal="center"/>
    </xf>
    <xf numFmtId="3" fontId="57" fillId="0" borderId="0" xfId="0" applyNumberFormat="1" applyFont="1" applyAlignment="1">
      <alignment horizontal="center"/>
    </xf>
    <xf numFmtId="3" fontId="57" fillId="12" borderId="6" xfId="0" applyNumberFormat="1" applyFont="1" applyFill="1" applyBorder="1" applyAlignment="1">
      <alignment horizontal="center" vertical="center" wrapText="1"/>
    </xf>
    <xf numFmtId="3" fontId="57" fillId="12" borderId="39" xfId="0" applyNumberFormat="1" applyFont="1" applyFill="1" applyBorder="1" applyAlignment="1">
      <alignment horizontal="center" vertical="center" wrapText="1"/>
    </xf>
    <xf numFmtId="3" fontId="57" fillId="12" borderId="58" xfId="0" applyNumberFormat="1" applyFont="1" applyFill="1" applyBorder="1" applyAlignment="1">
      <alignment horizontal="center" vertical="center" wrapText="1"/>
    </xf>
    <xf numFmtId="3" fontId="55" fillId="0" borderId="0" xfId="0" applyNumberFormat="1" applyFont="1" applyAlignment="1">
      <alignment horizontal="center" vertical="center"/>
    </xf>
    <xf numFmtId="172" fontId="73" fillId="0" borderId="0" xfId="0" applyFont="1"/>
    <xf numFmtId="172" fontId="77" fillId="0" borderId="0" xfId="0" applyFont="1" applyFill="1" applyBorder="1" applyAlignment="1">
      <alignment horizontal="left" vertical="center" wrapText="1"/>
    </xf>
    <xf numFmtId="172" fontId="74" fillId="0" borderId="0" xfId="0" applyFont="1" applyFill="1" applyBorder="1" applyAlignment="1">
      <alignment horizontal="left" vertical="center" wrapText="1"/>
    </xf>
    <xf numFmtId="172" fontId="76" fillId="0" borderId="0" xfId="0" applyFont="1" applyFill="1" applyBorder="1" applyAlignment="1">
      <alignment horizontal="left" vertical="center" wrapText="1"/>
    </xf>
    <xf numFmtId="172" fontId="79" fillId="0" borderId="0" xfId="0" applyFont="1" applyFill="1"/>
    <xf numFmtId="172" fontId="77" fillId="0" borderId="111" xfId="0" applyFont="1" applyFill="1" applyBorder="1" applyAlignment="1">
      <alignment horizontal="left" vertical="center" wrapText="1"/>
    </xf>
    <xf numFmtId="172" fontId="52" fillId="12" borderId="0" xfId="0" applyFont="1" applyFill="1" applyBorder="1" applyAlignment="1">
      <alignment horizontal="left" vertical="center" wrapText="1"/>
    </xf>
    <xf numFmtId="172" fontId="0" fillId="0" borderId="110" xfId="0" applyBorder="1" applyAlignment="1">
      <alignment vertical="top" wrapText="1"/>
    </xf>
    <xf numFmtId="170" fontId="10" fillId="23" borderId="5" xfId="3" applyNumberFormat="1" applyFont="1" applyFill="1" applyBorder="1" applyAlignment="1">
      <alignment horizontal="center"/>
    </xf>
    <xf numFmtId="170" fontId="10" fillId="23" borderId="5" xfId="3" quotePrefix="1" applyNumberFormat="1" applyFont="1" applyFill="1" applyBorder="1" applyAlignment="1">
      <alignment horizontal="center"/>
    </xf>
    <xf numFmtId="170" fontId="10" fillId="23" borderId="6" xfId="3" applyNumberFormat="1" applyFont="1" applyFill="1" applyBorder="1" applyAlignment="1">
      <alignment horizontal="center"/>
    </xf>
    <xf numFmtId="170" fontId="10" fillId="23" borderId="6" xfId="3" quotePrefix="1" applyNumberFormat="1" applyFont="1" applyFill="1" applyBorder="1" applyAlignment="1">
      <alignment horizontal="center"/>
    </xf>
    <xf numFmtId="170" fontId="11" fillId="23" borderId="5" xfId="3" applyNumberFormat="1" applyFont="1" applyFill="1" applyBorder="1" applyAlignment="1">
      <alignment horizontal="center"/>
    </xf>
    <xf numFmtId="170" fontId="11" fillId="23" borderId="5" xfId="3" quotePrefix="1" applyNumberFormat="1" applyFont="1" applyFill="1" applyBorder="1" applyAlignment="1">
      <alignment horizontal="center"/>
    </xf>
    <xf numFmtId="170" fontId="12" fillId="23" borderId="0" xfId="3" applyNumberFormat="1" applyFont="1" applyFill="1" applyBorder="1" applyAlignment="1">
      <alignment horizontal="center"/>
    </xf>
    <xf numFmtId="170" fontId="10" fillId="23" borderId="9" xfId="3" applyNumberFormat="1" applyFont="1" applyFill="1" applyBorder="1" applyAlignment="1">
      <alignment horizontal="center"/>
    </xf>
    <xf numFmtId="170" fontId="10" fillId="23" borderId="0" xfId="3" quotePrefix="1" applyNumberFormat="1" applyFont="1" applyFill="1" applyBorder="1" applyAlignment="1">
      <alignment horizontal="center"/>
    </xf>
    <xf numFmtId="170" fontId="10" fillId="23" borderId="0" xfId="3" applyNumberFormat="1" applyFont="1" applyFill="1" applyBorder="1" applyAlignment="1">
      <alignment horizontal="center"/>
    </xf>
    <xf numFmtId="170" fontId="10" fillId="23" borderId="9" xfId="3" quotePrefix="1" applyNumberFormat="1" applyFont="1" applyFill="1" applyBorder="1" applyAlignment="1">
      <alignment horizontal="center"/>
    </xf>
    <xf numFmtId="170" fontId="11" fillId="23" borderId="0" xfId="3" applyNumberFormat="1" applyFont="1" applyFill="1" applyBorder="1" applyAlignment="1">
      <alignment horizontal="center"/>
    </xf>
    <xf numFmtId="170" fontId="10" fillId="23" borderId="12" xfId="3" applyNumberFormat="1" applyFont="1" applyFill="1" applyBorder="1" applyAlignment="1">
      <alignment horizontal="center"/>
    </xf>
    <xf numFmtId="170" fontId="10" fillId="23" borderId="13" xfId="3" applyNumberFormat="1" applyFont="1" applyFill="1" applyBorder="1" applyAlignment="1">
      <alignment horizontal="center"/>
    </xf>
    <xf numFmtId="170" fontId="10" fillId="23" borderId="12" xfId="3" quotePrefix="1" applyNumberFormat="1" applyFont="1" applyFill="1" applyBorder="1" applyAlignment="1">
      <alignment horizontal="center"/>
    </xf>
    <xf numFmtId="170" fontId="10" fillId="23" borderId="13" xfId="3" quotePrefix="1" applyNumberFormat="1" applyFont="1" applyFill="1" applyBorder="1" applyAlignment="1">
      <alignment horizontal="center"/>
    </xf>
    <xf numFmtId="170" fontId="11" fillId="23" borderId="12" xfId="3" applyNumberFormat="1" applyFont="1" applyFill="1" applyBorder="1" applyAlignment="1">
      <alignment horizontal="center"/>
    </xf>
    <xf numFmtId="172" fontId="52" fillId="12" borderId="21" xfId="0" applyFont="1" applyFill="1" applyBorder="1" applyAlignment="1">
      <alignment horizontal="left" vertical="center" wrapText="1"/>
    </xf>
    <xf numFmtId="172" fontId="52" fillId="12" borderId="80" xfId="0" applyFont="1" applyFill="1" applyBorder="1" applyAlignment="1">
      <alignment horizontal="left" vertical="center" wrapText="1"/>
    </xf>
    <xf numFmtId="172" fontId="77" fillId="0" borderId="21" xfId="0" applyFont="1" applyFill="1" applyBorder="1" applyAlignment="1">
      <alignment horizontal="left" vertical="center" wrapText="1"/>
    </xf>
    <xf numFmtId="172" fontId="0" fillId="0" borderId="80" xfId="0" applyBorder="1"/>
    <xf numFmtId="172" fontId="0" fillId="0" borderId="21" xfId="0" applyBorder="1" applyAlignment="1">
      <alignment horizontal="justify" wrapText="1"/>
    </xf>
    <xf numFmtId="172" fontId="74" fillId="0" borderId="21" xfId="0" applyFont="1" applyFill="1" applyBorder="1" applyAlignment="1">
      <alignment horizontal="left" vertical="center" wrapText="1"/>
    </xf>
    <xf numFmtId="172" fontId="74" fillId="0" borderId="80" xfId="0" applyFont="1" applyFill="1" applyBorder="1" applyAlignment="1">
      <alignment horizontal="left" vertical="center" wrapText="1"/>
    </xf>
    <xf numFmtId="172" fontId="77" fillId="0" borderId="80" xfId="0" applyFont="1" applyFill="1" applyBorder="1" applyAlignment="1">
      <alignment horizontal="left" vertical="center" wrapText="1"/>
    </xf>
    <xf numFmtId="172" fontId="0" fillId="0" borderId="114" xfId="0" applyBorder="1"/>
    <xf numFmtId="172" fontId="46" fillId="0" borderId="80" xfId="0" applyFont="1" applyFill="1" applyBorder="1" applyAlignment="1">
      <alignment horizontal="justify" wrapText="1"/>
    </xf>
    <xf numFmtId="172" fontId="77" fillId="0" borderId="114" xfId="0" applyFont="1" applyFill="1" applyBorder="1" applyAlignment="1">
      <alignment horizontal="left" vertical="center" wrapText="1"/>
    </xf>
    <xf numFmtId="172" fontId="77" fillId="0" borderId="115" xfId="0" applyFont="1" applyFill="1" applyBorder="1" applyAlignment="1">
      <alignment horizontal="left" vertical="center" wrapText="1"/>
    </xf>
    <xf numFmtId="172" fontId="52" fillId="12" borderId="103" xfId="0" applyFont="1" applyFill="1" applyBorder="1" applyAlignment="1">
      <alignment horizontal="left" vertical="center" wrapText="1"/>
    </xf>
    <xf numFmtId="172" fontId="52" fillId="12" borderId="61" xfId="0" applyFont="1" applyFill="1" applyBorder="1" applyAlignment="1">
      <alignment horizontal="left" vertical="center" wrapText="1"/>
    </xf>
    <xf numFmtId="172" fontId="52" fillId="12" borderId="18" xfId="0" applyFont="1" applyFill="1" applyBorder="1" applyAlignment="1">
      <alignment horizontal="left" vertical="center" wrapText="1"/>
    </xf>
    <xf numFmtId="172" fontId="0" fillId="0" borderId="61" xfId="0" applyBorder="1"/>
    <xf numFmtId="172" fontId="0" fillId="0" borderId="18" xfId="0" applyBorder="1"/>
    <xf numFmtId="172" fontId="75" fillId="12" borderId="86" xfId="0" applyFont="1" applyFill="1" applyBorder="1" applyAlignment="1">
      <alignment horizontal="left" vertical="center" wrapText="1"/>
    </xf>
    <xf numFmtId="172" fontId="75" fillId="12" borderId="16" xfId="0" applyFont="1" applyFill="1" applyBorder="1" applyAlignment="1">
      <alignment horizontal="left" vertical="center" wrapText="1"/>
    </xf>
    <xf numFmtId="172" fontId="72" fillId="0" borderId="21" xfId="0" applyFont="1" applyFill="1" applyBorder="1" applyAlignment="1">
      <alignment vertical="top" wrapText="1"/>
    </xf>
    <xf numFmtId="172" fontId="71" fillId="0" borderId="112" xfId="148" applyBorder="1" applyAlignment="1" applyProtection="1">
      <alignment vertical="top"/>
    </xf>
    <xf numFmtId="172" fontId="0" fillId="0" borderId="113" xfId="0" applyBorder="1" applyAlignment="1">
      <alignment vertical="top"/>
    </xf>
    <xf numFmtId="172" fontId="0" fillId="0" borderId="103" xfId="0" applyFill="1" applyBorder="1"/>
    <xf numFmtId="172" fontId="0" fillId="0" borderId="112" xfId="0" applyBorder="1" applyAlignment="1">
      <alignment horizontal="justify" vertical="top"/>
    </xf>
    <xf numFmtId="172" fontId="0" fillId="0" borderId="21" xfId="0" applyBorder="1" applyAlignment="1">
      <alignment horizontal="left" vertical="top" indent="2"/>
    </xf>
    <xf numFmtId="172" fontId="0" fillId="0" borderId="21" xfId="0" applyBorder="1" applyAlignment="1">
      <alignment horizontal="justify" vertical="top"/>
    </xf>
    <xf numFmtId="172" fontId="0" fillId="0" borderId="103" xfId="0" applyBorder="1" applyAlignment="1">
      <alignment horizontal="justify" vertical="top"/>
    </xf>
    <xf numFmtId="172" fontId="0" fillId="0" borderId="112" xfId="0" applyFill="1" applyBorder="1"/>
    <xf numFmtId="172" fontId="6" fillId="23" borderId="19" xfId="0" applyFont="1" applyFill="1" applyBorder="1"/>
    <xf numFmtId="172" fontId="0" fillId="0" borderId="118" xfId="0" applyBorder="1"/>
    <xf numFmtId="172" fontId="71" fillId="0" borderId="21" xfId="148" applyBorder="1" applyAlignment="1" applyProtection="1">
      <alignment vertical="top"/>
    </xf>
    <xf numFmtId="172" fontId="0" fillId="0" borderId="0" xfId="0" applyBorder="1" applyAlignment="1">
      <alignment vertical="top" wrapText="1"/>
    </xf>
    <xf numFmtId="172" fontId="0" fillId="0" borderId="119" xfId="0" applyBorder="1"/>
    <xf numFmtId="172" fontId="85" fillId="0" borderId="118" xfId="0" applyFont="1" applyBorder="1"/>
    <xf numFmtId="172" fontId="16" fillId="0" borderId="12" xfId="5" applyFont="1" applyFill="1" applyBorder="1" applyAlignment="1">
      <alignment wrapText="1"/>
    </xf>
    <xf numFmtId="172" fontId="0" fillId="0" borderId="0" xfId="0" applyBorder="1" applyAlignment="1">
      <alignment horizontal="left"/>
    </xf>
    <xf numFmtId="172" fontId="0" fillId="0" borderId="121" xfId="0" applyBorder="1"/>
    <xf numFmtId="172" fontId="23" fillId="0" borderId="110" xfId="0" applyFont="1" applyBorder="1" applyAlignment="1">
      <alignment vertical="top" wrapText="1"/>
    </xf>
    <xf numFmtId="172" fontId="23" fillId="0" borderId="113" xfId="0" applyFont="1" applyBorder="1" applyAlignment="1">
      <alignment vertical="top"/>
    </xf>
    <xf numFmtId="172" fontId="23" fillId="0" borderId="119" xfId="0" applyFont="1" applyBorder="1"/>
    <xf numFmtId="172" fontId="23" fillId="0" borderId="121" xfId="0" applyFont="1" applyBorder="1"/>
    <xf numFmtId="172" fontId="23" fillId="0" borderId="118" xfId="0" applyFont="1" applyBorder="1"/>
    <xf numFmtId="172" fontId="52" fillId="12" borderId="19" xfId="0" applyFont="1" applyFill="1" applyBorder="1" applyAlignment="1">
      <alignment horizontal="left" vertical="center" wrapText="1"/>
    </xf>
    <xf numFmtId="49" fontId="88" fillId="23" borderId="19" xfId="0" applyNumberFormat="1" applyFont="1" applyFill="1" applyBorder="1"/>
    <xf numFmtId="172" fontId="44" fillId="0" borderId="21" xfId="0" applyFont="1" applyFill="1" applyBorder="1" applyAlignment="1">
      <alignment horizontal="justify" vertical="top"/>
    </xf>
    <xf numFmtId="172" fontId="44" fillId="0" borderId="114" xfId="0" applyFont="1" applyFill="1" applyBorder="1" applyAlignment="1">
      <alignment horizontal="justify" vertical="top"/>
    </xf>
    <xf numFmtId="172" fontId="0" fillId="0" borderId="113" xfId="0" applyFill="1" applyBorder="1" applyAlignment="1">
      <alignment horizontal="left"/>
    </xf>
    <xf numFmtId="172" fontId="0" fillId="0" borderId="18" xfId="0" applyFill="1" applyBorder="1" applyAlignment="1">
      <alignment horizontal="left"/>
    </xf>
    <xf numFmtId="172" fontId="71" fillId="0" borderId="0" xfId="148" applyBorder="1" applyAlignment="1" applyProtection="1">
      <alignment vertical="top"/>
    </xf>
    <xf numFmtId="172" fontId="6" fillId="0" borderId="111" xfId="0" applyFont="1" applyBorder="1"/>
    <xf numFmtId="172" fontId="71" fillId="0" borderId="80" xfId="148" applyBorder="1" applyAlignment="1" applyProtection="1"/>
    <xf numFmtId="172" fontId="71" fillId="0" borderId="80" xfId="148" quotePrefix="1" applyBorder="1" applyAlignment="1" applyProtection="1"/>
    <xf numFmtId="172" fontId="6" fillId="0" borderId="115" xfId="0" applyFont="1" applyBorder="1"/>
    <xf numFmtId="170" fontId="10" fillId="0" borderId="5" xfId="3" applyNumberFormat="1" applyFont="1" applyFill="1" applyBorder="1" applyAlignment="1">
      <alignment horizontal="center"/>
    </xf>
    <xf numFmtId="170" fontId="10" fillId="0" borderId="5" xfId="3" quotePrefix="1" applyNumberFormat="1" applyFont="1" applyFill="1" applyBorder="1" applyAlignment="1">
      <alignment horizontal="center"/>
    </xf>
    <xf numFmtId="170" fontId="11" fillId="0" borderId="5" xfId="3" applyNumberFormat="1" applyFont="1" applyFill="1" applyBorder="1" applyAlignment="1">
      <alignment horizontal="center"/>
    </xf>
    <xf numFmtId="170" fontId="10" fillId="0" borderId="4" xfId="3" applyNumberFormat="1" applyFont="1" applyFill="1" applyBorder="1" applyAlignment="1">
      <alignment horizontal="center"/>
    </xf>
    <xf numFmtId="172" fontId="23" fillId="0" borderId="5" xfId="0" applyFont="1" applyFill="1" applyBorder="1" applyAlignment="1">
      <alignment horizontal="left" vertical="top" wrapText="1"/>
    </xf>
    <xf numFmtId="170" fontId="10" fillId="0" borderId="0" xfId="3" quotePrefix="1" applyNumberFormat="1" applyFont="1" applyFill="1" applyBorder="1" applyAlignment="1">
      <alignment horizontal="center"/>
    </xf>
    <xf numFmtId="170" fontId="10" fillId="0" borderId="0" xfId="3" applyNumberFormat="1" applyFont="1" applyFill="1" applyBorder="1" applyAlignment="1">
      <alignment horizontal="center"/>
    </xf>
    <xf numFmtId="170" fontId="11" fillId="0" borderId="0" xfId="3" applyNumberFormat="1" applyFont="1" applyFill="1" applyBorder="1" applyAlignment="1">
      <alignment horizontal="center"/>
    </xf>
    <xf numFmtId="172" fontId="23" fillId="0" borderId="3" xfId="0" applyFont="1" applyFill="1" applyBorder="1" applyAlignment="1">
      <alignment horizontal="left" vertical="top" wrapText="1"/>
    </xf>
    <xf numFmtId="172" fontId="0" fillId="0" borderId="61" xfId="0" applyFill="1" applyBorder="1"/>
    <xf numFmtId="172" fontId="5" fillId="0" borderId="0" xfId="0" applyFont="1" applyBorder="1"/>
    <xf numFmtId="172" fontId="5" fillId="0" borderId="0" xfId="0" applyFont="1" applyFill="1" applyBorder="1"/>
    <xf numFmtId="172" fontId="0" fillId="0" borderId="132" xfId="0" applyBorder="1"/>
    <xf numFmtId="172" fontId="0" fillId="0" borderId="133" xfId="0" applyBorder="1"/>
    <xf numFmtId="172" fontId="23" fillId="0" borderId="0" xfId="0" applyFont="1" applyBorder="1" applyAlignment="1">
      <alignment vertical="top" wrapText="1"/>
    </xf>
    <xf numFmtId="172" fontId="23" fillId="0" borderId="80" xfId="0" applyFont="1" applyBorder="1" applyAlignment="1">
      <alignment vertical="top"/>
    </xf>
    <xf numFmtId="3" fontId="0" fillId="13" borderId="15" xfId="0" quotePrefix="1" applyNumberFormat="1" applyFill="1" applyBorder="1" applyAlignment="1">
      <alignment horizontal="center"/>
    </xf>
    <xf numFmtId="172" fontId="23" fillId="0" borderId="113" xfId="0" applyFont="1" applyBorder="1" applyAlignment="1">
      <alignment vertical="top" wrapText="1"/>
    </xf>
    <xf numFmtId="172" fontId="17" fillId="0" borderId="0" xfId="0" applyFont="1" applyFill="1" applyAlignment="1">
      <alignment horizontal="center"/>
    </xf>
    <xf numFmtId="170" fontId="0" fillId="0" borderId="0" xfId="0" applyNumberFormat="1" applyFill="1" applyBorder="1" applyAlignment="1">
      <alignment horizontal="center"/>
    </xf>
    <xf numFmtId="172" fontId="5" fillId="0" borderId="0" xfId="0" applyFont="1" applyBorder="1" applyAlignment="1">
      <alignment horizontal="left"/>
    </xf>
    <xf numFmtId="172" fontId="17" fillId="0" borderId="0" xfId="0" applyFont="1" applyBorder="1" applyAlignment="1">
      <alignment horizontal="center"/>
    </xf>
    <xf numFmtId="173" fontId="0" fillId="3" borderId="0" xfId="0" quotePrefix="1" applyNumberFormat="1" applyFill="1" applyBorder="1" applyAlignment="1">
      <alignment horizontal="center"/>
    </xf>
    <xf numFmtId="173" fontId="0" fillId="3" borderId="0" xfId="0" applyNumberFormat="1" applyFill="1" applyBorder="1" applyAlignment="1">
      <alignment horizontal="center"/>
    </xf>
    <xf numFmtId="3" fontId="17" fillId="0" borderId="0" xfId="0" applyNumberFormat="1" applyFont="1" applyBorder="1" applyAlignment="1">
      <alignment horizontal="center"/>
    </xf>
    <xf numFmtId="172" fontId="17" fillId="0" borderId="0" xfId="0" applyFont="1" applyFill="1" applyBorder="1" applyAlignment="1">
      <alignment horizontal="center"/>
    </xf>
    <xf numFmtId="170" fontId="0" fillId="0" borderId="0" xfId="0" quotePrefix="1" applyNumberFormat="1" applyFill="1" applyBorder="1" applyAlignment="1">
      <alignment horizontal="center"/>
    </xf>
    <xf numFmtId="172" fontId="16" fillId="0" borderId="7" xfId="5" applyFont="1" applyFill="1" applyBorder="1" applyAlignment="1">
      <alignment wrapText="1"/>
    </xf>
    <xf numFmtId="172" fontId="41" fillId="0" borderId="7" xfId="5" applyFont="1" applyFill="1" applyBorder="1" applyAlignment="1">
      <alignment wrapText="1"/>
    </xf>
    <xf numFmtId="172" fontId="5" fillId="0" borderId="8" xfId="0" applyFont="1" applyBorder="1"/>
    <xf numFmtId="172" fontId="0" fillId="0" borderId="8" xfId="0" applyBorder="1"/>
    <xf numFmtId="172" fontId="16" fillId="0" borderId="10" xfId="5" applyFont="1" applyFill="1" applyBorder="1" applyAlignment="1">
      <alignment wrapText="1"/>
    </xf>
    <xf numFmtId="172" fontId="0" fillId="0" borderId="11" xfId="0" applyBorder="1"/>
    <xf numFmtId="172" fontId="5" fillId="0" borderId="8" xfId="0" applyFont="1" applyBorder="1" applyAlignment="1">
      <alignment horizontal="left"/>
    </xf>
    <xf numFmtId="172" fontId="0" fillId="0" borderId="12" xfId="0" applyBorder="1"/>
    <xf numFmtId="172" fontId="5" fillId="0" borderId="11" xfId="0" applyFont="1" applyBorder="1" applyAlignment="1">
      <alignment horizontal="left"/>
    </xf>
    <xf numFmtId="172" fontId="0" fillId="0" borderId="12" xfId="0" applyFill="1" applyBorder="1"/>
    <xf numFmtId="172" fontId="0" fillId="0" borderId="0" xfId="0" applyFill="1" applyBorder="1" applyAlignment="1">
      <alignment horizontal="left"/>
    </xf>
    <xf numFmtId="172" fontId="0" fillId="0" borderId="111" xfId="0" applyFont="1" applyFill="1" applyBorder="1"/>
    <xf numFmtId="172" fontId="40" fillId="0" borderId="134" xfId="5" applyFont="1" applyFill="1" applyBorder="1" applyAlignment="1">
      <alignment wrapText="1"/>
    </xf>
    <xf numFmtId="172" fontId="6" fillId="23" borderId="102" xfId="0" applyFont="1" applyFill="1" applyBorder="1"/>
    <xf numFmtId="172" fontId="6" fillId="23" borderId="52" xfId="0" applyFont="1" applyFill="1" applyBorder="1"/>
    <xf numFmtId="172" fontId="6" fillId="23" borderId="101" xfId="0" applyFont="1" applyFill="1" applyBorder="1"/>
    <xf numFmtId="3" fontId="0" fillId="0" borderId="61" xfId="0" applyNumberFormat="1" applyFill="1" applyBorder="1"/>
    <xf numFmtId="172" fontId="71" fillId="0" borderId="18" xfId="148" applyBorder="1" applyAlignment="1" applyProtection="1"/>
    <xf numFmtId="172" fontId="85" fillId="0" borderId="136" xfId="0" applyFont="1" applyBorder="1"/>
    <xf numFmtId="172" fontId="5" fillId="0" borderId="61" xfId="0" applyFont="1" applyBorder="1"/>
    <xf numFmtId="172" fontId="5" fillId="0" borderId="18" xfId="0" applyFont="1" applyBorder="1"/>
    <xf numFmtId="172" fontId="71" fillId="0" borderId="18" xfId="148" quotePrefix="1" applyBorder="1" applyAlignment="1" applyProtection="1"/>
    <xf numFmtId="172" fontId="6" fillId="23" borderId="3" xfId="0" applyFont="1" applyFill="1" applyBorder="1"/>
    <xf numFmtId="172" fontId="40" fillId="23" borderId="3" xfId="5" applyFont="1" applyFill="1" applyBorder="1" applyAlignment="1">
      <alignment wrapText="1"/>
    </xf>
    <xf numFmtId="172" fontId="24" fillId="0" borderId="0" xfId="0" applyFont="1" applyBorder="1" applyAlignment="1">
      <alignment horizontal="justify"/>
    </xf>
    <xf numFmtId="172" fontId="0" fillId="0" borderId="0" xfId="0" applyFill="1" applyBorder="1" applyAlignment="1">
      <alignment horizontal="left" vertical="top" indent="2"/>
    </xf>
    <xf numFmtId="172" fontId="25" fillId="0" borderId="0" xfId="0" applyFont="1" applyBorder="1"/>
    <xf numFmtId="172" fontId="0" fillId="23" borderId="138" xfId="0" applyFont="1" applyFill="1" applyBorder="1"/>
    <xf numFmtId="172" fontId="0" fillId="23" borderId="139" xfId="0" applyFont="1" applyFill="1" applyBorder="1"/>
    <xf numFmtId="172" fontId="0" fillId="23" borderId="52" xfId="0" applyFont="1" applyFill="1" applyBorder="1"/>
    <xf numFmtId="172" fontId="0" fillId="23" borderId="101" xfId="0" applyFont="1" applyFill="1" applyBorder="1"/>
    <xf numFmtId="172" fontId="6" fillId="0" borderId="111" xfId="0" applyFont="1" applyBorder="1" applyAlignment="1">
      <alignment horizontal="center"/>
    </xf>
    <xf numFmtId="172" fontId="0" fillId="23" borderId="5" xfId="0" applyFill="1" applyBorder="1"/>
    <xf numFmtId="172" fontId="94" fillId="23" borderId="4" xfId="0" applyFont="1" applyFill="1" applyBorder="1"/>
    <xf numFmtId="172" fontId="94" fillId="0" borderId="8" xfId="0" applyFont="1" applyFill="1" applyBorder="1"/>
    <xf numFmtId="172" fontId="41" fillId="0" borderId="134" xfId="5" applyFont="1" applyFill="1" applyBorder="1" applyAlignment="1">
      <alignment wrapText="1"/>
    </xf>
    <xf numFmtId="172" fontId="0" fillId="0" borderId="111" xfId="0" applyFill="1" applyBorder="1"/>
    <xf numFmtId="172" fontId="6" fillId="0" borderId="111" xfId="0" applyFont="1" applyFill="1" applyBorder="1"/>
    <xf numFmtId="172" fontId="94" fillId="0" borderId="8" xfId="0" applyFont="1" applyBorder="1"/>
    <xf numFmtId="172" fontId="0" fillId="0" borderId="140" xfId="0" applyBorder="1"/>
    <xf numFmtId="172" fontId="44" fillId="0" borderId="7" xfId="0" applyFont="1" applyFill="1" applyBorder="1" applyAlignment="1">
      <alignment horizontal="left" vertical="top" wrapText="1"/>
    </xf>
    <xf numFmtId="172" fontId="44" fillId="0" borderId="0" xfId="0" applyFont="1" applyFill="1" applyBorder="1" applyAlignment="1">
      <alignment horizontal="left" vertical="top" wrapText="1"/>
    </xf>
    <xf numFmtId="170" fontId="10" fillId="0" borderId="8" xfId="3" applyNumberFormat="1" applyFont="1" applyFill="1" applyBorder="1" applyAlignment="1">
      <alignment horizontal="center"/>
    </xf>
    <xf numFmtId="172" fontId="6" fillId="0" borderId="144" xfId="0" applyFont="1" applyBorder="1"/>
    <xf numFmtId="172" fontId="0" fillId="0" borderId="145" xfId="0" applyBorder="1" applyAlignment="1">
      <alignment horizontal="center"/>
    </xf>
    <xf numFmtId="172" fontId="6" fillId="0" borderId="147" xfId="0" applyFont="1" applyBorder="1"/>
    <xf numFmtId="172" fontId="0" fillId="0" borderId="143" xfId="0" applyBorder="1" applyAlignment="1">
      <alignment horizontal="center"/>
    </xf>
    <xf numFmtId="172" fontId="0" fillId="0" borderId="149" xfId="0" applyBorder="1"/>
    <xf numFmtId="172" fontId="16" fillId="0" borderId="121" xfId="5" applyFont="1" applyFill="1" applyBorder="1" applyAlignment="1">
      <alignment wrapText="1"/>
    </xf>
    <xf numFmtId="172" fontId="0" fillId="0" borderId="143" xfId="0" applyBorder="1" applyAlignment="1">
      <alignment horizontal="left"/>
    </xf>
    <xf numFmtId="172" fontId="6" fillId="0" borderId="149" xfId="0" applyFont="1" applyBorder="1"/>
    <xf numFmtId="172" fontId="44" fillId="0" borderId="135" xfId="0" applyFont="1" applyFill="1" applyBorder="1"/>
    <xf numFmtId="172" fontId="44" fillId="0" borderId="135" xfId="0" applyFont="1" applyBorder="1"/>
    <xf numFmtId="172" fontId="6" fillId="0" borderId="121" xfId="0" applyFont="1" applyFill="1" applyBorder="1"/>
    <xf numFmtId="172" fontId="0" fillId="23" borderId="4" xfId="0" applyFill="1" applyBorder="1"/>
    <xf numFmtId="172" fontId="6" fillId="0" borderId="134" xfId="0" applyFont="1" applyBorder="1"/>
    <xf numFmtId="172" fontId="44" fillId="0" borderId="135" xfId="0" applyFont="1" applyBorder="1" applyAlignment="1">
      <alignment horizontal="center"/>
    </xf>
    <xf numFmtId="172" fontId="0" fillId="0" borderId="8" xfId="0" applyFill="1" applyBorder="1" applyAlignment="1">
      <alignment horizontal="center"/>
    </xf>
    <xf numFmtId="173" fontId="0" fillId="0" borderId="8" xfId="0" applyNumberFormat="1" applyFill="1" applyBorder="1" applyAlignment="1">
      <alignment horizontal="center"/>
    </xf>
    <xf numFmtId="172" fontId="40" fillId="0" borderId="7" xfId="5" applyFont="1" applyFill="1" applyBorder="1" applyAlignment="1">
      <alignment wrapText="1"/>
    </xf>
    <xf numFmtId="172" fontId="0" fillId="0" borderId="7" xfId="0" applyFill="1" applyBorder="1"/>
    <xf numFmtId="172" fontId="0" fillId="0" borderId="8" xfId="0" applyFill="1" applyBorder="1"/>
    <xf numFmtId="172" fontId="0" fillId="0" borderId="8" xfId="0" applyBorder="1" applyAlignment="1">
      <alignment horizontal="center"/>
    </xf>
    <xf numFmtId="172" fontId="5" fillId="0" borderId="8" xfId="0" applyFont="1" applyBorder="1" applyAlignment="1">
      <alignment horizontal="center"/>
    </xf>
    <xf numFmtId="170" fontId="0" fillId="0" borderId="12" xfId="0" quotePrefix="1" applyNumberFormat="1" applyFill="1" applyBorder="1" applyAlignment="1">
      <alignment horizontal="center"/>
    </xf>
    <xf numFmtId="172" fontId="6" fillId="0" borderId="7" xfId="0" applyFont="1" applyFill="1" applyBorder="1"/>
    <xf numFmtId="172" fontId="16" fillId="0" borderId="8" xfId="5" applyFont="1" applyFill="1" applyBorder="1" applyAlignment="1">
      <alignment wrapText="1"/>
    </xf>
    <xf numFmtId="172" fontId="17" fillId="0" borderId="149" xfId="0" applyFont="1" applyFill="1" applyBorder="1"/>
    <xf numFmtId="172" fontId="40" fillId="0" borderId="151" xfId="5" applyFont="1" applyFill="1" applyBorder="1" applyAlignment="1">
      <alignment wrapText="1"/>
    </xf>
    <xf numFmtId="172" fontId="0" fillId="0" borderId="10" xfId="0" applyFill="1" applyBorder="1"/>
    <xf numFmtId="172" fontId="0" fillId="0" borderId="11" xfId="0" applyFill="1" applyBorder="1"/>
    <xf numFmtId="172" fontId="6" fillId="0" borderId="149" xfId="0" applyFont="1" applyFill="1" applyBorder="1"/>
    <xf numFmtId="172" fontId="0" fillId="0" borderId="121" xfId="0" applyFill="1" applyBorder="1"/>
    <xf numFmtId="172" fontId="6" fillId="0" borderId="151" xfId="0" applyFont="1" applyFill="1" applyBorder="1"/>
    <xf numFmtId="172" fontId="16" fillId="0" borderId="152" xfId="5" applyFont="1" applyFill="1" applyBorder="1" applyAlignment="1">
      <alignment wrapText="1"/>
    </xf>
    <xf numFmtId="171" fontId="0" fillId="0" borderId="12" xfId="0" applyNumberFormat="1" applyFill="1" applyBorder="1"/>
    <xf numFmtId="3" fontId="0" fillId="3" borderId="15" xfId="0" applyNumberFormat="1" applyFill="1" applyBorder="1"/>
    <xf numFmtId="3" fontId="5" fillId="3" borderId="15" xfId="0" applyNumberFormat="1" applyFont="1" applyFill="1" applyBorder="1" applyAlignment="1">
      <alignment horizontal="center"/>
    </xf>
    <xf numFmtId="3" fontId="5" fillId="3" borderId="15" xfId="0" quotePrefix="1" applyNumberFormat="1" applyFont="1" applyFill="1" applyBorder="1" applyAlignment="1">
      <alignment horizontal="center"/>
    </xf>
    <xf numFmtId="172" fontId="5" fillId="0" borderId="0" xfId="0" applyFont="1" applyFill="1"/>
    <xf numFmtId="3" fontId="95" fillId="0" borderId="0" xfId="0" applyNumberFormat="1" applyFont="1" applyFill="1" applyBorder="1" applyAlignment="1">
      <alignment horizontal="center" vertical="center" wrapText="1"/>
    </xf>
    <xf numFmtId="171"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2" fontId="17" fillId="0" borderId="7" xfId="0" applyFont="1" applyFill="1" applyBorder="1"/>
    <xf numFmtId="172" fontId="0" fillId="0" borderId="147" xfId="0" applyFill="1" applyBorder="1"/>
    <xf numFmtId="172" fontId="0" fillId="0" borderId="7" xfId="0" applyFont="1" applyFill="1" applyBorder="1"/>
    <xf numFmtId="172" fontId="0" fillId="0" borderId="153" xfId="0" applyFill="1" applyBorder="1" applyAlignment="1">
      <alignment horizontal="left"/>
    </xf>
    <xf numFmtId="3" fontId="5" fillId="0" borderId="0" xfId="0" applyNumberFormat="1" applyFont="1" applyAlignment="1">
      <alignment horizontal="center"/>
    </xf>
    <xf numFmtId="172" fontId="3" fillId="0" borderId="152" xfId="1" applyBorder="1"/>
    <xf numFmtId="172" fontId="3" fillId="0" borderId="0" xfId="1" applyBorder="1"/>
    <xf numFmtId="172" fontId="0" fillId="0" borderId="152" xfId="0" applyBorder="1"/>
    <xf numFmtId="172" fontId="44" fillId="23" borderId="3" xfId="1" applyFont="1" applyFill="1" applyBorder="1"/>
    <xf numFmtId="172" fontId="23" fillId="23" borderId="5" xfId="0" applyFont="1" applyFill="1" applyBorder="1"/>
    <xf numFmtId="172" fontId="23" fillId="23" borderId="4" xfId="0" applyFont="1" applyFill="1" applyBorder="1"/>
    <xf numFmtId="172" fontId="0" fillId="0" borderId="0" xfId="0" applyFont="1" applyBorder="1"/>
    <xf numFmtId="172" fontId="0" fillId="0" borderId="121" xfId="0" applyFont="1" applyFill="1" applyBorder="1"/>
    <xf numFmtId="172" fontId="0" fillId="0" borderId="151" xfId="0" applyFont="1" applyFill="1" applyBorder="1"/>
    <xf numFmtId="9" fontId="23" fillId="0" borderId="0" xfId="0" applyNumberFormat="1" applyFont="1" applyFill="1" applyBorder="1"/>
    <xf numFmtId="10" fontId="0" fillId="0" borderId="121" xfId="52" applyNumberFormat="1" applyFont="1" applyFill="1" applyBorder="1" applyAlignment="1">
      <alignment horizontal="center" vertical="center"/>
    </xf>
    <xf numFmtId="172" fontId="0" fillId="0" borderId="151" xfId="0" applyFill="1" applyBorder="1"/>
    <xf numFmtId="172" fontId="49" fillId="0" borderId="149" xfId="0" applyFont="1" applyFill="1" applyBorder="1" applyAlignment="1">
      <alignment vertical="center"/>
    </xf>
    <xf numFmtId="172" fontId="0" fillId="0" borderId="121" xfId="0" applyFont="1" applyFill="1" applyBorder="1" applyAlignment="1">
      <alignment horizontal="center" vertical="center"/>
    </xf>
    <xf numFmtId="172" fontId="0" fillId="0" borderId="147" xfId="0" applyFont="1" applyFill="1" applyBorder="1" applyAlignment="1">
      <alignment vertical="center"/>
    </xf>
    <xf numFmtId="171" fontId="0" fillId="0" borderId="143" xfId="0" applyNumberFormat="1" applyFont="1" applyFill="1" applyBorder="1" applyAlignment="1">
      <alignment horizontal="center" vertical="center"/>
    </xf>
    <xf numFmtId="1" fontId="0" fillId="0" borderId="143" xfId="0" applyNumberFormat="1" applyFont="1" applyFill="1" applyBorder="1" applyAlignment="1">
      <alignment horizontal="center" vertical="center"/>
    </xf>
    <xf numFmtId="172" fontId="0" fillId="0" borderId="152" xfId="0" applyFont="1" applyFill="1" applyBorder="1" applyAlignment="1">
      <alignment vertical="center"/>
    </xf>
    <xf numFmtId="171" fontId="0" fillId="0" borderId="0" xfId="0" applyNumberFormat="1" applyFont="1" applyFill="1" applyBorder="1" applyAlignment="1">
      <alignment horizontal="center" vertical="center"/>
    </xf>
    <xf numFmtId="1" fontId="0" fillId="0" borderId="0" xfId="0" applyNumberFormat="1" applyFont="1" applyFill="1" applyBorder="1" applyAlignment="1">
      <alignment horizontal="center" vertical="center"/>
    </xf>
    <xf numFmtId="172" fontId="0" fillId="0" borderId="0" xfId="0" applyFont="1" applyFill="1" applyBorder="1" applyAlignment="1">
      <alignment horizontal="center" vertical="center"/>
    </xf>
    <xf numFmtId="10" fontId="4" fillId="0" borderId="0" xfId="52" applyNumberFormat="1" applyFont="1" applyFill="1" applyBorder="1" applyAlignment="1">
      <alignment horizontal="center" vertical="center"/>
    </xf>
    <xf numFmtId="10" fontId="4" fillId="3" borderId="0" xfId="52" applyNumberFormat="1" applyFont="1" applyFill="1" applyBorder="1" applyAlignment="1">
      <alignment horizontal="center" vertical="center"/>
    </xf>
    <xf numFmtId="172" fontId="0" fillId="0" borderId="8" xfId="0" applyFont="1" applyFill="1" applyBorder="1"/>
    <xf numFmtId="172" fontId="50" fillId="0" borderId="0" xfId="0" applyFont="1" applyFill="1" applyBorder="1"/>
    <xf numFmtId="10" fontId="4" fillId="0" borderId="121" xfId="52" applyNumberFormat="1" applyFont="1" applyFill="1" applyBorder="1" applyAlignment="1">
      <alignment horizontal="center" vertical="center"/>
    </xf>
    <xf numFmtId="172" fontId="6" fillId="0" borderId="3" xfId="0" applyFont="1" applyBorder="1"/>
    <xf numFmtId="172" fontId="23" fillId="0" borderId="152" xfId="0" applyFont="1" applyBorder="1"/>
    <xf numFmtId="172" fontId="23" fillId="0" borderId="152" xfId="0" applyFont="1" applyFill="1" applyBorder="1"/>
    <xf numFmtId="172" fontId="23" fillId="0" borderId="0" xfId="0" applyFont="1" applyFill="1" applyBorder="1"/>
    <xf numFmtId="9" fontId="23" fillId="0" borderId="0" xfId="0" applyNumberFormat="1" applyFont="1" applyBorder="1"/>
    <xf numFmtId="172" fontId="47" fillId="0" borderId="10" xfId="0" applyFont="1" applyBorder="1"/>
    <xf numFmtId="9" fontId="47" fillId="0" borderId="12" xfId="0" applyNumberFormat="1" applyFont="1" applyBorder="1"/>
    <xf numFmtId="172" fontId="23" fillId="0" borderId="152" xfId="1" applyFont="1" applyFill="1" applyBorder="1"/>
    <xf numFmtId="172" fontId="23" fillId="0" borderId="8" xfId="0" applyFont="1" applyFill="1" applyBorder="1"/>
    <xf numFmtId="172" fontId="23" fillId="0" borderId="149" xfId="1" applyFont="1" applyBorder="1"/>
    <xf numFmtId="172" fontId="23" fillId="0" borderId="151" xfId="0" applyFont="1" applyBorder="1"/>
    <xf numFmtId="172" fontId="6" fillId="0" borderId="3" xfId="0" applyFont="1" applyFill="1" applyBorder="1"/>
    <xf numFmtId="172" fontId="6" fillId="0" borderId="0" xfId="0" applyFont="1" applyFill="1"/>
    <xf numFmtId="9" fontId="23" fillId="3" borderId="0" xfId="0" applyNumberFormat="1" applyFont="1" applyFill="1" applyBorder="1"/>
    <xf numFmtId="172" fontId="23" fillId="0" borderId="8" xfId="0" applyFont="1" applyBorder="1"/>
    <xf numFmtId="172" fontId="0" fillId="0" borderId="80" xfId="0" applyBorder="1" applyAlignment="1">
      <alignment vertical="top" wrapText="1"/>
    </xf>
    <xf numFmtId="172" fontId="6" fillId="0" borderId="80" xfId="0" applyFont="1" applyFill="1" applyBorder="1"/>
    <xf numFmtId="172" fontId="6" fillId="0" borderId="114" xfId="0" applyFont="1" applyBorder="1"/>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172" fontId="0" fillId="0" borderId="18" xfId="0" applyFill="1" applyBorder="1"/>
    <xf numFmtId="3" fontId="59" fillId="18" borderId="156" xfId="0" applyNumberFormat="1" applyFont="1" applyFill="1" applyBorder="1" applyAlignment="1">
      <alignment horizontal="center" vertical="center"/>
    </xf>
    <xf numFmtId="172" fontId="23" fillId="0" borderId="8" xfId="0" applyFont="1" applyBorder="1" applyAlignment="1">
      <alignment horizontal="left"/>
    </xf>
    <xf numFmtId="3" fontId="23" fillId="3" borderId="15" xfId="0" applyNumberFormat="1" applyFont="1" applyFill="1" applyBorder="1" applyAlignment="1">
      <alignment horizontal="right"/>
    </xf>
    <xf numFmtId="3" fontId="96" fillId="0" borderId="0" xfId="0" applyNumberFormat="1" applyFont="1" applyFill="1" applyBorder="1" applyAlignment="1">
      <alignment horizontal="center"/>
    </xf>
    <xf numFmtId="172" fontId="0" fillId="0" borderId="0" xfId="0" applyAlignment="1">
      <alignment horizontal="left" vertical="top" wrapText="1"/>
    </xf>
    <xf numFmtId="0" fontId="23"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4" fillId="0" borderId="5" xfId="0" applyNumberFormat="1" applyFont="1" applyFill="1" applyBorder="1"/>
    <xf numFmtId="2" fontId="44" fillId="0" borderId="4" xfId="0" applyNumberFormat="1" applyFont="1" applyFill="1" applyBorder="1"/>
    <xf numFmtId="2" fontId="23" fillId="3" borderId="0" xfId="0" applyNumberFormat="1" applyFont="1" applyFill="1" applyBorder="1"/>
    <xf numFmtId="2" fontId="23" fillId="3" borderId="0" xfId="1" applyNumberFormat="1" applyFont="1" applyFill="1" applyBorder="1"/>
    <xf numFmtId="2" fontId="5" fillId="3" borderId="0" xfId="0" applyNumberFormat="1" applyFont="1" applyFill="1" applyBorder="1"/>
    <xf numFmtId="2" fontId="23" fillId="3" borderId="8" xfId="0" applyNumberFormat="1" applyFont="1" applyFill="1" applyBorder="1"/>
    <xf numFmtId="2" fontId="23" fillId="3" borderId="12" xfId="0" applyNumberFormat="1" applyFont="1" applyFill="1" applyBorder="1"/>
    <xf numFmtId="2" fontId="23" fillId="3" borderId="12" xfId="1" applyNumberFormat="1" applyFont="1" applyFill="1" applyBorder="1"/>
    <xf numFmtId="2" fontId="5" fillId="3" borderId="12" xfId="0" applyNumberFormat="1" applyFont="1" applyFill="1" applyBorder="1"/>
    <xf numFmtId="2" fontId="23" fillId="3" borderId="11" xfId="0" applyNumberFormat="1" applyFont="1" applyFill="1" applyBorder="1"/>
    <xf numFmtId="172" fontId="23" fillId="0" borderId="0" xfId="0" applyFont="1" applyFill="1" applyBorder="1" applyAlignment="1">
      <alignment horizontal="left" vertical="top" wrapText="1"/>
    </xf>
    <xf numFmtId="172" fontId="6" fillId="0" borderId="27" xfId="0" applyFont="1" applyBorder="1"/>
    <xf numFmtId="0" fontId="0" fillId="0" borderId="0" xfId="0" applyNumberFormat="1"/>
    <xf numFmtId="0" fontId="23" fillId="23" borderId="52" xfId="0" applyNumberFormat="1" applyFont="1" applyFill="1" applyBorder="1"/>
    <xf numFmtId="0" fontId="23" fillId="23" borderId="162" xfId="0" applyNumberFormat="1" applyFont="1" applyFill="1" applyBorder="1"/>
    <xf numFmtId="0" fontId="0" fillId="0" borderId="111" xfId="0" applyNumberFormat="1" applyBorder="1"/>
    <xf numFmtId="0" fontId="79" fillId="0" borderId="0" xfId="0" applyNumberFormat="1" applyFont="1"/>
    <xf numFmtId="0" fontId="23" fillId="23" borderId="101" xfId="0" applyNumberFormat="1" applyFont="1" applyFill="1" applyBorder="1"/>
    <xf numFmtId="0" fontId="0" fillId="0" borderId="0" xfId="0" applyNumberFormat="1" applyBorder="1"/>
    <xf numFmtId="0" fontId="23" fillId="23" borderId="0" xfId="0" applyNumberFormat="1" applyFont="1" applyFill="1" applyBorder="1"/>
    <xf numFmtId="0" fontId="44" fillId="23" borderId="0" xfId="0" applyNumberFormat="1" applyFont="1" applyFill="1" applyBorder="1"/>
    <xf numFmtId="0" fontId="23" fillId="23" borderId="80" xfId="0" applyNumberFormat="1" applyFont="1" applyFill="1" applyBorder="1"/>
    <xf numFmtId="0" fontId="23" fillId="23" borderId="129" xfId="0" applyNumberFormat="1" applyFont="1" applyFill="1" applyBorder="1"/>
    <xf numFmtId="0" fontId="44" fillId="23" borderId="116" xfId="0" applyNumberFormat="1" applyFont="1" applyFill="1" applyBorder="1"/>
    <xf numFmtId="0" fontId="44" fillId="23" borderId="130" xfId="0" applyNumberFormat="1" applyFont="1" applyFill="1" applyBorder="1"/>
    <xf numFmtId="0" fontId="5" fillId="25" borderId="0" xfId="0" applyNumberFormat="1" applyFont="1" applyFill="1"/>
    <xf numFmtId="0" fontId="5" fillId="4"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1" fillId="4" borderId="0" xfId="148" applyNumberFormat="1" applyFill="1" applyAlignment="1" applyProtection="1"/>
    <xf numFmtId="0" fontId="23" fillId="24" borderId="0" xfId="0" applyNumberFormat="1" applyFont="1" applyFill="1"/>
    <xf numFmtId="0" fontId="92" fillId="4" borderId="0" xfId="148" applyNumberFormat="1" applyFont="1" applyFill="1" applyAlignment="1" applyProtection="1"/>
    <xf numFmtId="0" fontId="71" fillId="25" borderId="0" xfId="148" applyNumberFormat="1" applyFill="1" applyAlignment="1" applyProtection="1"/>
    <xf numFmtId="0" fontId="23" fillId="24" borderId="0" xfId="0" quotePrefix="1" applyNumberFormat="1" applyFont="1" applyFill="1"/>
    <xf numFmtId="0" fontId="0" fillId="24" borderId="0" xfId="0" applyNumberFormat="1" applyFill="1" applyAlignment="1"/>
    <xf numFmtId="0" fontId="6" fillId="24" borderId="0" xfId="0" applyNumberFormat="1" applyFont="1" applyFill="1"/>
    <xf numFmtId="0" fontId="6" fillId="25" borderId="0" xfId="0" applyNumberFormat="1" applyFont="1" applyFill="1"/>
    <xf numFmtId="0" fontId="6" fillId="4" borderId="0" xfId="0" applyNumberFormat="1" applyFont="1" applyFill="1"/>
    <xf numFmtId="0" fontId="38" fillId="12" borderId="15" xfId="0" applyNumberFormat="1" applyFont="1" applyFill="1" applyBorder="1" applyAlignment="1">
      <alignment horizontal="center" vertical="center" wrapText="1"/>
    </xf>
    <xf numFmtId="0" fontId="6" fillId="23" borderId="137" xfId="0" applyNumberFormat="1" applyFont="1" applyFill="1" applyBorder="1"/>
    <xf numFmtId="0" fontId="0" fillId="0" borderId="21" xfId="0" applyNumberFormat="1" applyBorder="1"/>
    <xf numFmtId="0" fontId="6" fillId="13" borderId="21" xfId="0" applyNumberFormat="1" applyFont="1" applyFill="1" applyBorder="1"/>
    <xf numFmtId="0" fontId="0" fillId="0" borderId="103" xfId="0" applyNumberFormat="1" applyBorder="1"/>
    <xf numFmtId="0" fontId="6" fillId="23" borderId="102" xfId="0" applyNumberFormat="1" applyFont="1" applyFill="1" applyBorder="1"/>
    <xf numFmtId="0" fontId="44" fillId="23" borderId="19" xfId="0" applyNumberFormat="1" applyFont="1" applyFill="1" applyBorder="1"/>
    <xf numFmtId="0" fontId="38" fillId="23" borderId="86" xfId="0" applyNumberFormat="1" applyFont="1" applyFill="1" applyBorder="1" applyAlignment="1">
      <alignment horizontal="center" vertical="center" wrapText="1"/>
    </xf>
    <xf numFmtId="0" fontId="38" fillId="23" borderId="16" xfId="0" applyNumberFormat="1" applyFont="1" applyFill="1" applyBorder="1" applyAlignment="1">
      <alignment horizontal="center" vertical="center" wrapText="1"/>
    </xf>
    <xf numFmtId="0" fontId="0" fillId="0" borderId="80" xfId="0" applyNumberFormat="1" applyBorder="1"/>
    <xf numFmtId="0" fontId="6" fillId="23" borderId="19" xfId="0" applyNumberFormat="1" applyFont="1" applyFill="1" applyBorder="1" applyAlignment="1">
      <alignment horizontal="justify" vertical="top"/>
    </xf>
    <xf numFmtId="0" fontId="6" fillId="23" borderId="16" xfId="0" applyNumberFormat="1" applyFont="1" applyFill="1" applyBorder="1"/>
    <xf numFmtId="0" fontId="44"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xf>
    <xf numFmtId="0" fontId="6" fillId="0" borderId="21" xfId="0" applyNumberFormat="1" applyFont="1" applyFill="1" applyBorder="1" applyAlignment="1">
      <alignment horizontal="justify" vertical="top"/>
    </xf>
    <xf numFmtId="0" fontId="44" fillId="0" borderId="80" xfId="0" applyNumberFormat="1" applyFont="1" applyFill="1" applyBorder="1" applyAlignment="1">
      <alignment horizontal="left" vertical="top" wrapText="1"/>
    </xf>
    <xf numFmtId="0" fontId="71" fillId="0" borderId="112" xfId="148" applyNumberFormat="1" applyBorder="1" applyAlignment="1" applyProtection="1"/>
    <xf numFmtId="0" fontId="0" fillId="0" borderId="110" xfId="0" applyNumberFormat="1" applyBorder="1"/>
    <xf numFmtId="0" fontId="0" fillId="0" borderId="113" xfId="0" applyNumberFormat="1" applyBorder="1"/>
    <xf numFmtId="0" fontId="71" fillId="0" borderId="114" xfId="148" applyNumberFormat="1" applyBorder="1" applyAlignment="1" applyProtection="1"/>
    <xf numFmtId="0" fontId="0" fillId="0" borderId="115" xfId="0" applyNumberFormat="1" applyBorder="1"/>
    <xf numFmtId="0" fontId="71" fillId="0" borderId="112" xfId="148" quotePrefix="1" applyNumberFormat="1" applyBorder="1" applyAlignment="1" applyProtection="1"/>
    <xf numFmtId="0" fontId="0" fillId="0" borderId="114" xfId="0" applyNumberFormat="1" applyBorder="1"/>
    <xf numFmtId="0" fontId="23" fillId="0" borderId="0" xfId="0" applyNumberFormat="1" applyFont="1" applyBorder="1"/>
    <xf numFmtId="0" fontId="23" fillId="0" borderId="80" xfId="0" applyNumberFormat="1" applyFont="1" applyBorder="1"/>
    <xf numFmtId="0" fontId="23" fillId="0" borderId="0" xfId="0" applyNumberFormat="1" applyFont="1"/>
    <xf numFmtId="0" fontId="23" fillId="0" borderId="0" xfId="0" applyNumberFormat="1" applyFont="1" applyFill="1"/>
    <xf numFmtId="0" fontId="28" fillId="0" borderId="0" xfId="0" applyNumberFormat="1" applyFont="1"/>
    <xf numFmtId="0" fontId="23" fillId="0" borderId="21" xfId="0" applyNumberFormat="1" applyFont="1" applyBorder="1" applyAlignment="1">
      <alignment horizontal="justify" wrapText="1"/>
    </xf>
    <xf numFmtId="0" fontId="77" fillId="0" borderId="102" xfId="0" applyNumberFormat="1" applyFont="1" applyFill="1" applyBorder="1" applyAlignment="1">
      <alignment horizontal="left" vertical="center" wrapText="1"/>
    </xf>
    <xf numFmtId="0" fontId="78" fillId="0" borderId="52" xfId="0" applyNumberFormat="1" applyFont="1" applyFill="1" applyBorder="1" applyAlignment="1">
      <alignment horizontal="left" vertical="center" wrapText="1"/>
    </xf>
    <xf numFmtId="0" fontId="78" fillId="0" borderId="101" xfId="0" applyNumberFormat="1" applyFont="1" applyFill="1" applyBorder="1" applyAlignment="1">
      <alignment horizontal="left" vertical="center" wrapText="1"/>
    </xf>
    <xf numFmtId="0" fontId="79" fillId="0" borderId="0" xfId="0" applyNumberFormat="1" applyFont="1" applyFill="1"/>
    <xf numFmtId="0" fontId="77" fillId="0" borderId="21" xfId="0" applyNumberFormat="1" applyFont="1" applyFill="1" applyBorder="1" applyAlignment="1">
      <alignment horizontal="left" vertical="center" wrapText="1"/>
    </xf>
    <xf numFmtId="0" fontId="78" fillId="0" borderId="0" xfId="0" applyNumberFormat="1" applyFont="1" applyFill="1" applyBorder="1" applyAlignment="1">
      <alignment horizontal="left" vertical="center" wrapText="1"/>
    </xf>
    <xf numFmtId="0" fontId="78" fillId="0" borderId="80" xfId="0" applyNumberFormat="1" applyFont="1" applyFill="1" applyBorder="1" applyAlignment="1">
      <alignment horizontal="left" vertical="center" wrapText="1"/>
    </xf>
    <xf numFmtId="0" fontId="82" fillId="0" borderId="21" xfId="0" applyNumberFormat="1" applyFont="1" applyFill="1" applyBorder="1" applyAlignment="1">
      <alignment horizontal="left" vertical="center" wrapText="1"/>
    </xf>
    <xf numFmtId="0" fontId="81" fillId="12" borderId="102" xfId="0" applyNumberFormat="1" applyFont="1" applyFill="1" applyBorder="1" applyAlignment="1">
      <alignment horizontal="left" vertical="center"/>
    </xf>
    <xf numFmtId="0" fontId="81" fillId="12" borderId="52" xfId="0" applyNumberFormat="1" applyFont="1" applyFill="1" applyBorder="1" applyAlignment="1">
      <alignment horizontal="left" vertical="center"/>
    </xf>
    <xf numFmtId="0" fontId="81" fillId="12" borderId="101" xfId="0" applyNumberFormat="1" applyFont="1" applyFill="1" applyBorder="1" applyAlignment="1">
      <alignment horizontal="left" vertical="center" wrapText="1"/>
    </xf>
    <xf numFmtId="0" fontId="23" fillId="15" borderId="112" xfId="0" applyNumberFormat="1" applyFont="1" applyFill="1" applyBorder="1" applyAlignment="1">
      <alignment horizontal="justify" vertical="top" wrapText="1"/>
    </xf>
    <xf numFmtId="0" fontId="23" fillId="0" borderId="110" xfId="0" applyNumberFormat="1" applyFont="1" applyFill="1" applyBorder="1" applyAlignment="1">
      <alignment horizontal="justify" vertical="top" wrapText="1"/>
    </xf>
    <xf numFmtId="0" fontId="23"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3" fillId="0" borderId="0" xfId="0" applyNumberFormat="1" applyFont="1" applyFill="1" applyBorder="1" applyAlignment="1">
      <alignment horizontal="justify" vertical="top" wrapText="1"/>
    </xf>
    <xf numFmtId="0" fontId="23"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5" fillId="12" borderId="19" xfId="0" applyNumberFormat="1" applyFont="1" applyFill="1" applyBorder="1" applyAlignment="1">
      <alignment horizontal="left" vertical="center" wrapText="1"/>
    </xf>
    <xf numFmtId="0" fontId="9" fillId="23" borderId="86" xfId="0" applyNumberFormat="1" applyFont="1" applyFill="1" applyBorder="1" applyAlignment="1">
      <alignment horizontal="left" vertical="center" wrapText="1"/>
    </xf>
    <xf numFmtId="0" fontId="23" fillId="23" borderId="16" xfId="0" applyNumberFormat="1" applyFont="1" applyFill="1" applyBorder="1" applyAlignment="1">
      <alignment horizontal="justify" wrapText="1"/>
    </xf>
    <xf numFmtId="0" fontId="75" fillId="12" borderId="86" xfId="0" applyNumberFormat="1" applyFont="1" applyFill="1" applyBorder="1" applyAlignment="1">
      <alignment horizontal="left" vertical="center" wrapText="1"/>
    </xf>
    <xf numFmtId="0" fontId="75" fillId="12" borderId="16" xfId="0" applyNumberFormat="1" applyFont="1" applyFill="1" applyBorder="1" applyAlignment="1">
      <alignment horizontal="left" vertical="center" wrapText="1"/>
    </xf>
    <xf numFmtId="0" fontId="52" fillId="12" borderId="19" xfId="0" applyNumberFormat="1" applyFont="1" applyFill="1" applyBorder="1" applyAlignment="1">
      <alignment horizontal="left" vertical="center" wrapText="1"/>
    </xf>
    <xf numFmtId="0" fontId="77" fillId="0" borderId="0" xfId="0" applyNumberFormat="1" applyFont="1" applyFill="1" applyBorder="1" applyAlignment="1">
      <alignment horizontal="left" vertical="center" wrapText="1"/>
    </xf>
    <xf numFmtId="0" fontId="77" fillId="0" borderId="80" xfId="0" applyNumberFormat="1" applyFont="1" applyFill="1" applyBorder="1" applyAlignment="1">
      <alignment horizontal="left" vertical="center" wrapText="1"/>
    </xf>
    <xf numFmtId="0" fontId="72" fillId="0" borderId="21" xfId="0" applyNumberFormat="1" applyFont="1" applyFill="1" applyBorder="1" applyAlignment="1">
      <alignment vertical="top" wrapText="1"/>
    </xf>
    <xf numFmtId="0" fontId="71" fillId="0" borderId="112" xfId="148" applyNumberFormat="1" applyBorder="1" applyAlignment="1" applyProtection="1">
      <alignment vertical="top"/>
    </xf>
    <xf numFmtId="0" fontId="0" fillId="0" borderId="110" xfId="0" applyNumberFormat="1" applyBorder="1" applyAlignment="1">
      <alignment vertical="top" wrapText="1"/>
    </xf>
    <xf numFmtId="0" fontId="0" fillId="0" borderId="113" xfId="0" applyNumberFormat="1" applyBorder="1" applyAlignment="1">
      <alignment vertical="top"/>
    </xf>
    <xf numFmtId="0" fontId="71" fillId="0" borderId="21" xfId="148" applyNumberFormat="1" applyBorder="1" applyAlignment="1" applyProtection="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5" fontId="0" fillId="0" borderId="0" xfId="0" applyNumberFormat="1"/>
    <xf numFmtId="10" fontId="0" fillId="0" borderId="0" xfId="52" applyNumberFormat="1" applyFont="1"/>
    <xf numFmtId="172" fontId="48" fillId="0" borderId="0" xfId="0" applyFont="1"/>
    <xf numFmtId="10" fontId="0" fillId="3" borderId="0" xfId="52" applyNumberFormat="1" applyFont="1" applyFill="1"/>
    <xf numFmtId="172" fontId="9" fillId="4" borderId="149" xfId="0" applyFont="1" applyFill="1" applyBorder="1" applyAlignment="1">
      <alignment vertical="center"/>
    </xf>
    <xf numFmtId="176" fontId="6" fillId="0" borderId="5" xfId="0" applyNumberFormat="1" applyFont="1" applyBorder="1"/>
    <xf numFmtId="176" fontId="23" fillId="3" borderId="0" xfId="0" applyNumberFormat="1" applyFont="1" applyFill="1" applyBorder="1"/>
    <xf numFmtId="176" fontId="23" fillId="3" borderId="8" xfId="0" applyNumberFormat="1" applyFont="1" applyFill="1" applyBorder="1"/>
    <xf numFmtId="176" fontId="23" fillId="3" borderId="0" xfId="1" applyNumberFormat="1" applyFont="1" applyFill="1" applyBorder="1"/>
    <xf numFmtId="176" fontId="23" fillId="3" borderId="12" xfId="0" applyNumberFormat="1" applyFont="1" applyFill="1" applyBorder="1"/>
    <xf numFmtId="176" fontId="23" fillId="3" borderId="12" xfId="1" applyNumberFormat="1" applyFont="1" applyFill="1" applyBorder="1"/>
    <xf numFmtId="176" fontId="23" fillId="3" borderId="11" xfId="0" applyNumberFormat="1" applyFont="1" applyFill="1" applyBorder="1"/>
    <xf numFmtId="176"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2" fontId="0" fillId="0" borderId="164" xfId="0" applyBorder="1"/>
    <xf numFmtId="172" fontId="0" fillId="0" borderId="164" xfId="0" applyBorder="1" applyAlignment="1">
      <alignment horizontal="justify" wrapText="1"/>
    </xf>
    <xf numFmtId="172" fontId="0" fillId="0" borderId="163" xfId="0" applyBorder="1"/>
    <xf numFmtId="172" fontId="0" fillId="0" borderId="113" xfId="0" applyBorder="1" applyAlignment="1">
      <alignment horizontal="left" vertical="top" wrapText="1"/>
    </xf>
    <xf numFmtId="171" fontId="6" fillId="0" borderId="5" xfId="0" applyNumberFormat="1" applyFont="1" applyBorder="1" applyAlignment="1">
      <alignment horizontal="right"/>
    </xf>
    <xf numFmtId="176" fontId="0" fillId="3" borderId="14" xfId="0" quotePrefix="1" applyNumberFormat="1" applyFill="1" applyBorder="1" applyAlignment="1">
      <alignment horizontal="right"/>
    </xf>
    <xf numFmtId="176" fontId="6" fillId="0" borderId="5" xfId="0" applyNumberFormat="1" applyFont="1" applyFill="1" applyBorder="1" applyAlignment="1">
      <alignment horizontal="right"/>
    </xf>
    <xf numFmtId="176" fontId="6" fillId="0" borderId="4" xfId="0" applyNumberFormat="1" applyFont="1" applyFill="1" applyBorder="1" applyAlignment="1">
      <alignment horizontal="right"/>
    </xf>
    <xf numFmtId="176" fontId="0" fillId="3" borderId="28" xfId="0" quotePrefix="1" applyNumberFormat="1" applyFill="1" applyBorder="1" applyAlignment="1">
      <alignment horizontal="right"/>
    </xf>
    <xf numFmtId="172" fontId="0" fillId="0" borderId="21" xfId="0" applyBorder="1" applyAlignment="1">
      <alignment horizontal="left"/>
    </xf>
    <xf numFmtId="172" fontId="0" fillId="0" borderId="21" xfId="0" applyBorder="1" applyAlignment="1"/>
    <xf numFmtId="0" fontId="0" fillId="0" borderId="110" xfId="0" applyNumberFormat="1" applyBorder="1" applyAlignment="1">
      <alignment wrapText="1"/>
    </xf>
    <xf numFmtId="3" fontId="57" fillId="12" borderId="38" xfId="0" applyNumberFormat="1" applyFont="1" applyFill="1" applyBorder="1" applyAlignment="1">
      <alignment horizontal="center" vertical="center" wrapText="1"/>
    </xf>
    <xf numFmtId="0" fontId="71" fillId="0" borderId="0" xfId="148" applyNumberFormat="1" applyBorder="1" applyAlignment="1" applyProtection="1">
      <alignment vertical="top"/>
    </xf>
    <xf numFmtId="3" fontId="55" fillId="0" borderId="0" xfId="0" applyNumberFormat="1" applyFont="1"/>
    <xf numFmtId="3" fontId="57" fillId="0" borderId="0" xfId="0" applyNumberFormat="1" applyFont="1" applyAlignment="1">
      <alignment horizontal="left"/>
    </xf>
    <xf numFmtId="3" fontId="55" fillId="0" borderId="0" xfId="0" applyNumberFormat="1" applyFont="1" applyAlignment="1">
      <alignment vertical="center"/>
    </xf>
    <xf numFmtId="3" fontId="38"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3" fillId="0" borderId="9" xfId="0" applyNumberFormat="1" applyFont="1" applyBorder="1"/>
    <xf numFmtId="3" fontId="23" fillId="0" borderId="0" xfId="0" applyNumberFormat="1" applyFont="1" applyBorder="1"/>
    <xf numFmtId="3" fontId="23"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6" fillId="0" borderId="27" xfId="0" applyNumberFormat="1" applyFont="1" applyBorder="1"/>
    <xf numFmtId="3" fontId="6" fillId="0" borderId="14" xfId="0" applyNumberFormat="1" applyFont="1" applyBorder="1"/>
    <xf numFmtId="3" fontId="6" fillId="0" borderId="28" xfId="0" applyNumberFormat="1" applyFont="1" applyBorder="1"/>
    <xf numFmtId="3" fontId="6" fillId="0" borderId="0" xfId="0" applyNumberFormat="1" applyFont="1"/>
    <xf numFmtId="3" fontId="6" fillId="14" borderId="0" xfId="0" applyNumberFormat="1" applyFont="1" applyFill="1"/>
    <xf numFmtId="3" fontId="23"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48" fillId="0" borderId="120" xfId="0" applyNumberFormat="1" applyFont="1" applyBorder="1"/>
    <xf numFmtId="3" fontId="86" fillId="0" borderId="0" xfId="0" applyNumberFormat="1" applyFont="1" applyBorder="1" applyAlignment="1">
      <alignment vertical="center"/>
    </xf>
    <xf numFmtId="3" fontId="6" fillId="13" borderId="15" xfId="0" applyNumberFormat="1" applyFont="1" applyFill="1" applyBorder="1"/>
    <xf numFmtId="3" fontId="6" fillId="13" borderId="15" xfId="0" applyNumberFormat="1" applyFont="1" applyFill="1" applyBorder="1" applyAlignment="1">
      <alignment horizontal="right"/>
    </xf>
    <xf numFmtId="3" fontId="6" fillId="13" borderId="15" xfId="0" quotePrefix="1" applyNumberFormat="1" applyFont="1" applyFill="1" applyBorder="1" applyAlignment="1">
      <alignment horizontal="right"/>
    </xf>
    <xf numFmtId="3" fontId="6" fillId="3" borderId="15" xfId="0" quotePrefix="1" applyNumberFormat="1" applyFont="1" applyFill="1" applyBorder="1" applyAlignment="1">
      <alignment horizontal="right"/>
    </xf>
    <xf numFmtId="3" fontId="0" fillId="0" borderId="0" xfId="0" applyNumberFormat="1" applyAlignment="1">
      <alignment horizontal="right"/>
    </xf>
    <xf numFmtId="3" fontId="6" fillId="17" borderId="15" xfId="0" applyNumberFormat="1" applyFont="1" applyFill="1" applyBorder="1"/>
    <xf numFmtId="3" fontId="0" fillId="13" borderId="15" xfId="0" applyNumberFormat="1" applyFill="1" applyBorder="1" applyAlignment="1">
      <alignment horizontal="right"/>
    </xf>
    <xf numFmtId="3" fontId="6"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6" fillId="23" borderId="5" xfId="0" applyNumberFormat="1" applyFont="1" applyFill="1" applyBorder="1" applyAlignment="1">
      <alignment horizontal="left"/>
    </xf>
    <xf numFmtId="3" fontId="0" fillId="23" borderId="4" xfId="0" applyNumberFormat="1" applyFont="1" applyFill="1" applyBorder="1"/>
    <xf numFmtId="3" fontId="6" fillId="0" borderId="134" xfId="0" applyNumberFormat="1" applyFont="1" applyFill="1" applyBorder="1"/>
    <xf numFmtId="3" fontId="0" fillId="0" borderId="111" xfId="0" applyNumberFormat="1" applyFont="1" applyFill="1" applyBorder="1"/>
    <xf numFmtId="3" fontId="6" fillId="0" borderId="111" xfId="0" applyNumberFormat="1" applyFont="1" applyFill="1" applyBorder="1" applyAlignment="1">
      <alignment horizontal="left"/>
    </xf>
    <xf numFmtId="3" fontId="0" fillId="0" borderId="135" xfId="0" applyNumberFormat="1" applyFont="1" applyFill="1" applyBorder="1"/>
    <xf numFmtId="3" fontId="16" fillId="0" borderId="7" xfId="5" applyNumberFormat="1" applyFont="1" applyFill="1" applyBorder="1" applyAlignment="1">
      <alignment wrapText="1"/>
    </xf>
    <xf numFmtId="3" fontId="0" fillId="0" borderId="0" xfId="0" applyNumberFormat="1" applyBorder="1" applyAlignment="1">
      <alignment horizontal="left"/>
    </xf>
    <xf numFmtId="3" fontId="23" fillId="0" borderId="0" xfId="0" applyNumberFormat="1" applyFont="1" applyBorder="1" applyAlignment="1">
      <alignment horizontal="left"/>
    </xf>
    <xf numFmtId="3" fontId="16" fillId="0" borderId="10" xfId="5" applyNumberFormat="1" applyFont="1" applyFill="1" applyBorder="1" applyAlignment="1">
      <alignment wrapText="1"/>
    </xf>
    <xf numFmtId="3" fontId="0" fillId="0" borderId="12" xfId="0" applyNumberFormat="1" applyBorder="1" applyAlignment="1">
      <alignment horizontal="left"/>
    </xf>
    <xf numFmtId="3" fontId="23" fillId="0" borderId="12" xfId="0" applyNumberFormat="1" applyFont="1" applyBorder="1" applyAlignment="1">
      <alignment horizontal="left"/>
    </xf>
    <xf numFmtId="3" fontId="23" fillId="0" borderId="11" xfId="0" applyNumberFormat="1" applyFont="1" applyBorder="1"/>
    <xf numFmtId="3" fontId="0" fillId="0" borderId="0" xfId="0" applyNumberFormat="1" applyFill="1" applyBorder="1" applyAlignment="1">
      <alignment horizontal="left"/>
    </xf>
    <xf numFmtId="3" fontId="40" fillId="23" borderId="3" xfId="5" applyNumberFormat="1" applyFont="1" applyFill="1" applyBorder="1" applyAlignment="1">
      <alignment wrapText="1"/>
    </xf>
    <xf numFmtId="3" fontId="40"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6" fillId="23" borderId="52" xfId="0" applyNumberFormat="1" applyFont="1" applyFill="1" applyBorder="1"/>
    <xf numFmtId="3" fontId="6" fillId="0" borderId="111" xfId="0" applyNumberFormat="1" applyFont="1" applyBorder="1"/>
    <xf numFmtId="3" fontId="5" fillId="0" borderId="61" xfId="0" applyNumberFormat="1" applyFont="1" applyBorder="1"/>
    <xf numFmtId="3" fontId="6" fillId="0" borderId="0" xfId="0" applyNumberFormat="1" applyFont="1" applyFill="1" applyBorder="1"/>
    <xf numFmtId="3" fontId="0" fillId="0" borderId="61" xfId="0" applyNumberFormat="1" applyBorder="1"/>
    <xf numFmtId="4" fontId="6" fillId="23" borderId="16" xfId="0" applyNumberFormat="1" applyFont="1" applyFill="1" applyBorder="1"/>
    <xf numFmtId="4" fontId="0" fillId="0" borderId="80" xfId="0" applyNumberFormat="1" applyBorder="1"/>
    <xf numFmtId="4" fontId="44"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4"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6" fillId="23" borderId="86" xfId="0" applyNumberFormat="1" applyFont="1" applyFill="1" applyBorder="1"/>
    <xf numFmtId="0" fontId="6" fillId="23" borderId="16" xfId="0" applyNumberFormat="1" applyFont="1" applyFill="1" applyBorder="1" applyAlignment="1">
      <alignment horizontal="right"/>
    </xf>
    <xf numFmtId="172" fontId="0" fillId="0" borderId="0" xfId="0" applyAlignment="1">
      <alignment horizontal="right"/>
    </xf>
    <xf numFmtId="0" fontId="0" fillId="0" borderId="80" xfId="0" applyNumberFormat="1" applyBorder="1" applyAlignment="1">
      <alignment horizontal="left"/>
    </xf>
    <xf numFmtId="0" fontId="44"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61"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7" fontId="6" fillId="13" borderId="0" xfId="0" applyNumberFormat="1" applyFont="1" applyFill="1" applyBorder="1"/>
    <xf numFmtId="177" fontId="0" fillId="3" borderId="0" xfId="0" applyNumberFormat="1" applyFill="1" applyBorder="1"/>
    <xf numFmtId="176" fontId="6" fillId="13" borderId="0" xfId="0" applyNumberFormat="1" applyFont="1" applyFill="1" applyBorder="1"/>
    <xf numFmtId="4" fontId="0" fillId="2" borderId="0" xfId="0" applyNumberFormat="1" applyFill="1" applyBorder="1"/>
    <xf numFmtId="4" fontId="0" fillId="0" borderId="0" xfId="0" applyNumberFormat="1" applyFill="1" applyBorder="1"/>
    <xf numFmtId="172" fontId="0" fillId="0" borderId="0" xfId="0" applyFill="1" applyBorder="1" applyProtection="1"/>
    <xf numFmtId="0" fontId="38" fillId="12" borderId="73" xfId="0" applyNumberFormat="1" applyFont="1" applyFill="1" applyBorder="1" applyAlignment="1" applyProtection="1">
      <alignment horizontal="center" vertical="center" wrapText="1"/>
    </xf>
    <xf numFmtId="0" fontId="38" fillId="12" borderId="154" xfId="0" applyNumberFormat="1" applyFont="1" applyFill="1" applyBorder="1" applyAlignment="1" applyProtection="1">
      <alignment horizontal="center" vertical="center" wrapText="1"/>
    </xf>
    <xf numFmtId="0" fontId="38" fillId="12" borderId="74" xfId="0" applyNumberFormat="1" applyFont="1" applyFill="1" applyBorder="1" applyAlignment="1" applyProtection="1">
      <alignment horizontal="center" vertical="center" wrapText="1"/>
    </xf>
    <xf numFmtId="0" fontId="38" fillId="12" borderId="75" xfId="0" applyNumberFormat="1" applyFont="1" applyFill="1" applyBorder="1" applyAlignment="1" applyProtection="1">
      <alignment horizontal="center" vertical="center" wrapText="1"/>
    </xf>
    <xf numFmtId="172" fontId="40" fillId="0" borderId="77" xfId="0" applyFont="1" applyFill="1" applyBorder="1" applyAlignment="1" applyProtection="1">
      <alignment horizontal="center"/>
    </xf>
    <xf numFmtId="3" fontId="38" fillId="2" borderId="12" xfId="0" applyNumberFormat="1" applyFont="1" applyFill="1" applyBorder="1" applyAlignment="1" applyProtection="1">
      <alignment horizontal="right" vertical="center"/>
    </xf>
    <xf numFmtId="172" fontId="38" fillId="19" borderId="77" xfId="0" applyFont="1" applyFill="1" applyBorder="1" applyAlignment="1" applyProtection="1">
      <alignment horizontal="right" vertical="center"/>
    </xf>
    <xf numFmtId="172" fontId="38" fillId="0" borderId="47" xfId="0" applyFont="1" applyFill="1" applyBorder="1" applyAlignment="1" applyProtection="1">
      <alignment horizontal="center"/>
    </xf>
    <xf numFmtId="172" fontId="38" fillId="19" borderId="47" xfId="0" applyFont="1" applyFill="1" applyBorder="1" applyAlignment="1" applyProtection="1">
      <alignment horizontal="right" vertical="center"/>
    </xf>
    <xf numFmtId="172" fontId="40" fillId="0" borderId="47" xfId="0" applyFont="1" applyFill="1" applyBorder="1" applyAlignment="1" applyProtection="1">
      <alignment horizontal="center"/>
    </xf>
    <xf numFmtId="3" fontId="38" fillId="3" borderId="14" xfId="0" applyNumberFormat="1" applyFont="1" applyFill="1" applyBorder="1" applyAlignment="1" applyProtection="1">
      <alignment horizontal="right" vertical="center"/>
    </xf>
    <xf numFmtId="3" fontId="42" fillId="0" borderId="84" xfId="0" applyNumberFormat="1" applyFont="1" applyFill="1" applyBorder="1" applyAlignment="1" applyProtection="1">
      <alignment horizontal="right" vertical="center"/>
    </xf>
    <xf numFmtId="3" fontId="42" fillId="0" borderId="94" xfId="0" applyNumberFormat="1" applyFont="1" applyFill="1" applyBorder="1" applyAlignment="1" applyProtection="1">
      <alignment horizontal="right" vertical="center"/>
    </xf>
    <xf numFmtId="3" fontId="42" fillId="0" borderId="46" xfId="0" applyNumberFormat="1" applyFont="1" applyFill="1" applyBorder="1" applyAlignment="1" applyProtection="1">
      <alignment horizontal="right" vertical="center"/>
    </xf>
    <xf numFmtId="3" fontId="38" fillId="19" borderId="47" xfId="0" applyNumberFormat="1" applyFont="1" applyFill="1" applyBorder="1" applyAlignment="1" applyProtection="1">
      <alignment horizontal="right" vertical="center"/>
    </xf>
    <xf numFmtId="172" fontId="38" fillId="0" borderId="47" xfId="0" applyFont="1" applyFill="1" applyBorder="1" applyAlignment="1" applyProtection="1">
      <alignment horizontal="center" wrapText="1"/>
    </xf>
    <xf numFmtId="3" fontId="42" fillId="0" borderId="85" xfId="0" applyNumberFormat="1" applyFont="1" applyFill="1" applyBorder="1" applyAlignment="1" applyProtection="1">
      <alignment horizontal="right" vertical="center"/>
    </xf>
    <xf numFmtId="3" fontId="42" fillId="0" borderId="6" xfId="0" applyNumberFormat="1" applyFont="1" applyFill="1" applyBorder="1" applyAlignment="1" applyProtection="1">
      <alignment horizontal="right" vertical="center"/>
    </xf>
    <xf numFmtId="3" fontId="42" fillId="0" borderId="95" xfId="0" applyNumberFormat="1" applyFont="1" applyFill="1" applyBorder="1" applyAlignment="1" applyProtection="1">
      <alignment horizontal="right" vertical="center"/>
    </xf>
    <xf numFmtId="3" fontId="42" fillId="0" borderId="39" xfId="0" applyNumberFormat="1" applyFont="1" applyFill="1" applyBorder="1" applyAlignment="1" applyProtection="1">
      <alignment horizontal="right" vertical="center"/>
    </xf>
    <xf numFmtId="172" fontId="0" fillId="0" borderId="66" xfId="0" applyFill="1" applyBorder="1" applyProtection="1"/>
    <xf numFmtId="172" fontId="38" fillId="12" borderId="35" xfId="0" applyFont="1" applyFill="1" applyBorder="1" applyAlignment="1" applyProtection="1">
      <alignment horizontal="center"/>
    </xf>
    <xf numFmtId="3" fontId="38" fillId="19" borderId="25" xfId="0" applyNumberFormat="1" applyFont="1" applyFill="1" applyBorder="1" applyAlignment="1" applyProtection="1">
      <alignment horizontal="right" vertical="center"/>
    </xf>
    <xf numFmtId="3" fontId="38" fillId="19" borderId="55" xfId="0" applyNumberFormat="1" applyFont="1" applyFill="1" applyBorder="1" applyAlignment="1" applyProtection="1">
      <alignment horizontal="right" vertical="center"/>
    </xf>
    <xf numFmtId="3" fontId="38" fillId="19" borderId="30" xfId="0" applyNumberFormat="1" applyFont="1" applyFill="1" applyBorder="1" applyAlignment="1" applyProtection="1">
      <alignment horizontal="right" vertical="center"/>
    </xf>
    <xf numFmtId="172" fontId="42" fillId="0" borderId="29" xfId="0" applyFont="1" applyFill="1" applyBorder="1" applyAlignment="1" applyProtection="1">
      <alignment horizontal="right" vertical="center"/>
    </xf>
    <xf numFmtId="172" fontId="6" fillId="0" borderId="0" xfId="0" applyFont="1" applyProtection="1"/>
    <xf numFmtId="174" fontId="0" fillId="0" borderId="0" xfId="0" applyNumberFormat="1" applyAlignment="1" applyProtection="1">
      <alignment horizontal="center"/>
    </xf>
    <xf numFmtId="172" fontId="0" fillId="0" borderId="0" xfId="0" applyFill="1" applyProtection="1"/>
    <xf numFmtId="174" fontId="0" fillId="0" borderId="0" xfId="0" applyNumberFormat="1" applyFill="1" applyBorder="1" applyAlignment="1" applyProtection="1">
      <alignment horizontal="center"/>
    </xf>
    <xf numFmtId="172" fontId="6" fillId="0" borderId="0" xfId="0" applyFont="1" applyFill="1" applyBorder="1" applyProtection="1"/>
    <xf numFmtId="0" fontId="38" fillId="12" borderId="36" xfId="0" applyNumberFormat="1" applyFont="1" applyFill="1" applyBorder="1" applyAlignment="1" applyProtection="1">
      <alignment horizontal="center" vertical="center" wrapText="1"/>
    </xf>
    <xf numFmtId="0" fontId="38" fillId="12" borderId="87" xfId="0" applyNumberFormat="1" applyFont="1" applyFill="1" applyBorder="1" applyAlignment="1" applyProtection="1">
      <alignment horizontal="center" vertical="center" wrapText="1"/>
    </xf>
    <xf numFmtId="172" fontId="40" fillId="0" borderId="77" xfId="0" applyFont="1" applyBorder="1" applyAlignment="1" applyProtection="1">
      <alignment horizontal="center" vertical="center"/>
    </xf>
    <xf numFmtId="3" fontId="38" fillId="3" borderId="77" xfId="0" applyNumberFormat="1" applyFont="1" applyFill="1" applyBorder="1" applyAlignment="1" applyProtection="1">
      <alignment horizontal="right" vertical="center"/>
    </xf>
    <xf numFmtId="3" fontId="42" fillId="0" borderId="11" xfId="0" applyNumberFormat="1" applyFont="1" applyFill="1" applyBorder="1" applyAlignment="1" applyProtection="1">
      <alignment horizontal="right" vertical="center"/>
    </xf>
    <xf numFmtId="3" fontId="42" fillId="0" borderId="13" xfId="0" applyNumberFormat="1" applyFont="1" applyFill="1" applyBorder="1" applyAlignment="1" applyProtection="1">
      <alignment horizontal="right" vertical="center"/>
    </xf>
    <xf numFmtId="3" fontId="31" fillId="0" borderId="13" xfId="0" applyNumberFormat="1" applyFont="1" applyFill="1" applyBorder="1" applyAlignment="1" applyProtection="1">
      <alignment horizontal="right" vertical="center" wrapText="1"/>
    </xf>
    <xf numFmtId="3" fontId="42" fillId="0" borderId="98" xfId="0" applyNumberFormat="1" applyFont="1" applyFill="1" applyBorder="1" applyAlignment="1" applyProtection="1">
      <alignment horizontal="right" vertical="center"/>
    </xf>
    <xf numFmtId="3" fontId="38" fillId="19" borderId="77" xfId="0" applyNumberFormat="1" applyFont="1" applyFill="1" applyBorder="1" applyAlignment="1" applyProtection="1">
      <alignment horizontal="right" vertical="center"/>
    </xf>
    <xf numFmtId="172" fontId="38" fillId="0" borderId="47" xfId="0" applyFont="1" applyBorder="1" applyAlignment="1" applyProtection="1">
      <alignment horizontal="center" vertical="center"/>
    </xf>
    <xf numFmtId="3" fontId="38" fillId="3" borderId="47" xfId="0" applyNumberFormat="1" applyFont="1" applyFill="1" applyBorder="1" applyAlignment="1" applyProtection="1">
      <alignment horizontal="right" vertical="center"/>
    </xf>
    <xf numFmtId="3" fontId="42" fillId="0" borderId="28" xfId="0" applyNumberFormat="1" applyFont="1" applyFill="1" applyBorder="1" applyAlignment="1" applyProtection="1">
      <alignment horizontal="right" vertical="center"/>
    </xf>
    <xf numFmtId="3" fontId="38" fillId="19" borderId="57" xfId="0" applyNumberFormat="1" applyFont="1" applyFill="1" applyBorder="1" applyAlignment="1" applyProtection="1">
      <alignment horizontal="right" vertical="center"/>
    </xf>
    <xf numFmtId="172" fontId="0" fillId="0" borderId="0" xfId="0" applyFill="1" applyBorder="1" applyAlignment="1" applyProtection="1">
      <alignment horizontal="center" wrapText="1"/>
    </xf>
    <xf numFmtId="172" fontId="0" fillId="0" borderId="0" xfId="0" applyFill="1" applyBorder="1" applyAlignment="1" applyProtection="1">
      <alignment horizontal="center"/>
    </xf>
    <xf numFmtId="172" fontId="6" fillId="0" borderId="102" xfId="0" applyFont="1" applyFill="1" applyBorder="1" applyProtection="1"/>
    <xf numFmtId="172" fontId="45" fillId="0" borderId="21" xfId="0" applyFont="1" applyFill="1" applyBorder="1" applyProtection="1"/>
    <xf numFmtId="172" fontId="45" fillId="0" borderId="0" xfId="0" applyFont="1" applyFill="1" applyBorder="1" applyProtection="1"/>
    <xf numFmtId="172" fontId="45" fillId="0" borderId="21" xfId="0" applyFont="1" applyBorder="1" applyProtection="1"/>
    <xf numFmtId="172" fontId="6" fillId="3" borderId="21" xfId="0" applyFont="1" applyFill="1" applyBorder="1" applyProtection="1"/>
    <xf numFmtId="3" fontId="6" fillId="3" borderId="0" xfId="0" applyNumberFormat="1" applyFont="1" applyFill="1" applyBorder="1" applyAlignment="1" applyProtection="1">
      <alignment wrapText="1"/>
    </xf>
    <xf numFmtId="3" fontId="6" fillId="3" borderId="0" xfId="0" applyNumberFormat="1" applyFont="1" applyFill="1" applyBorder="1" applyAlignment="1" applyProtection="1">
      <alignment horizontal="center" wrapText="1"/>
    </xf>
    <xf numFmtId="3" fontId="6" fillId="3" borderId="0" xfId="0" applyNumberFormat="1" applyFont="1" applyFill="1" applyBorder="1" applyProtection="1"/>
    <xf numFmtId="3" fontId="6" fillId="3" borderId="80" xfId="0" applyNumberFormat="1" applyFont="1" applyFill="1" applyBorder="1" applyProtection="1"/>
    <xf numFmtId="172" fontId="6" fillId="3" borderId="103" xfId="0" applyFont="1" applyFill="1" applyBorder="1" applyProtection="1"/>
    <xf numFmtId="3" fontId="6" fillId="3" borderId="61" xfId="0" applyNumberFormat="1" applyFont="1" applyFill="1" applyBorder="1" applyAlignment="1" applyProtection="1">
      <alignment wrapText="1"/>
    </xf>
    <xf numFmtId="3" fontId="6" fillId="3" borderId="61" xfId="0" applyNumberFormat="1" applyFont="1" applyFill="1" applyBorder="1" applyAlignment="1" applyProtection="1">
      <alignment horizontal="center" wrapText="1"/>
    </xf>
    <xf numFmtId="3" fontId="6" fillId="3" borderId="61" xfId="0" applyNumberFormat="1" applyFont="1" applyFill="1" applyBorder="1" applyProtection="1"/>
    <xf numFmtId="3" fontId="6" fillId="3" borderId="18" xfId="0" applyNumberFormat="1" applyFont="1" applyFill="1" applyBorder="1" applyProtection="1"/>
    <xf numFmtId="172" fontId="6" fillId="0" borderId="0" xfId="0" applyFont="1" applyBorder="1" applyProtection="1"/>
    <xf numFmtId="172" fontId="6" fillId="0" borderId="0" xfId="0" applyFont="1" applyBorder="1" applyAlignment="1" applyProtection="1">
      <alignment wrapText="1"/>
    </xf>
    <xf numFmtId="172" fontId="6" fillId="0" borderId="102" xfId="0" applyFont="1" applyBorder="1" applyProtection="1"/>
    <xf numFmtId="172" fontId="45" fillId="0" borderId="0" xfId="0" applyFont="1" applyBorder="1" applyProtection="1"/>
    <xf numFmtId="172" fontId="0" fillId="0" borderId="0" xfId="0" applyBorder="1" applyProtection="1"/>
    <xf numFmtId="172" fontId="44" fillId="0" borderId="102" xfId="0" applyFont="1" applyBorder="1" applyProtection="1"/>
    <xf numFmtId="172" fontId="0" fillId="0" borderId="52" xfId="0" applyBorder="1" applyAlignment="1" applyProtection="1">
      <alignment wrapText="1"/>
    </xf>
    <xf numFmtId="172" fontId="0" fillId="0" borderId="101" xfId="0" applyBorder="1" applyAlignment="1" applyProtection="1">
      <alignment wrapText="1"/>
    </xf>
    <xf numFmtId="172" fontId="0" fillId="0" borderId="0" xfId="0" applyBorder="1" applyAlignment="1" applyProtection="1">
      <alignment wrapText="1"/>
    </xf>
    <xf numFmtId="172" fontId="0" fillId="0" borderId="0" xfId="0" applyAlignment="1" applyProtection="1">
      <alignment wrapText="1"/>
    </xf>
    <xf numFmtId="172" fontId="0" fillId="0" borderId="0" xfId="0" applyProtection="1"/>
    <xf numFmtId="172" fontId="6" fillId="0" borderId="21" xfId="0" applyFont="1" applyBorder="1" applyProtection="1"/>
    <xf numFmtId="172" fontId="6" fillId="0" borderId="80" xfId="0" applyFont="1" applyBorder="1" applyAlignment="1" applyProtection="1">
      <alignment wrapText="1"/>
    </xf>
    <xf numFmtId="172" fontId="6" fillId="0" borderId="21" xfId="0" applyFont="1" applyFill="1" applyBorder="1" applyProtection="1"/>
    <xf numFmtId="172" fontId="6" fillId="0" borderId="0" xfId="0" applyFont="1" applyFill="1" applyBorder="1" applyAlignment="1" applyProtection="1">
      <alignment horizontal="center" wrapText="1"/>
    </xf>
    <xf numFmtId="172" fontId="6"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2" fontId="0" fillId="0" borderId="80" xfId="0" applyFill="1" applyBorder="1" applyAlignment="1" applyProtection="1">
      <alignment horizontal="center" wrapText="1"/>
    </xf>
    <xf numFmtId="171" fontId="0" fillId="0" borderId="0" xfId="0" applyNumberFormat="1" applyFill="1" applyAlignment="1" applyProtection="1">
      <alignment horizontal="center" wrapText="1"/>
    </xf>
    <xf numFmtId="172" fontId="6" fillId="0" borderId="0" xfId="0" applyFont="1" applyFill="1" applyBorder="1" applyAlignment="1" applyProtection="1">
      <alignment wrapText="1"/>
    </xf>
    <xf numFmtId="172" fontId="6" fillId="0" borderId="80" xfId="0" applyFont="1" applyFill="1" applyBorder="1" applyAlignment="1" applyProtection="1">
      <alignment wrapText="1"/>
    </xf>
    <xf numFmtId="172" fontId="0" fillId="0" borderId="0" xfId="0" applyFill="1" applyAlignment="1" applyProtection="1">
      <alignment wrapText="1"/>
    </xf>
    <xf numFmtId="172" fontId="0" fillId="0" borderId="21" xfId="0" applyBorder="1" applyProtection="1"/>
    <xf numFmtId="3" fontId="39" fillId="22" borderId="0" xfId="0" applyNumberFormat="1" applyFont="1" applyFill="1" applyBorder="1" applyAlignment="1" applyProtection="1">
      <alignment vertical="top" wrapText="1"/>
    </xf>
    <xf numFmtId="3" fontId="39"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2" fontId="6"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2" fontId="39" fillId="22" borderId="52" xfId="0" applyFont="1" applyFill="1" applyBorder="1" applyAlignment="1" applyProtection="1">
      <alignment vertical="top" wrapText="1"/>
      <protection locked="0"/>
    </xf>
    <xf numFmtId="3" fontId="39" fillId="22" borderId="52" xfId="0" applyNumberFormat="1" applyFont="1" applyFill="1" applyBorder="1" applyAlignment="1" applyProtection="1">
      <alignment vertical="top" wrapText="1"/>
      <protection locked="0"/>
    </xf>
    <xf numFmtId="172" fontId="39" fillId="22" borderId="101" xfId="0" applyFont="1" applyFill="1" applyBorder="1" applyAlignment="1" applyProtection="1">
      <alignment vertical="top" wrapText="1"/>
      <protection locked="0"/>
    </xf>
    <xf numFmtId="2" fontId="45" fillId="4" borderId="0" xfId="0" applyNumberFormat="1" applyFont="1" applyFill="1" applyBorder="1" applyAlignment="1" applyProtection="1">
      <alignment horizontal="center" wrapText="1"/>
      <protection locked="0"/>
    </xf>
    <xf numFmtId="2" fontId="45" fillId="4" borderId="0" xfId="0" applyNumberFormat="1" applyFont="1" applyFill="1" applyBorder="1" applyAlignment="1" applyProtection="1">
      <alignment horizontal="left" wrapText="1"/>
      <protection locked="0"/>
    </xf>
    <xf numFmtId="2" fontId="45" fillId="4" borderId="80" xfId="0" applyNumberFormat="1" applyFont="1" applyFill="1" applyBorder="1" applyAlignment="1" applyProtection="1">
      <alignment horizontal="center" wrapText="1"/>
      <protection locked="0"/>
    </xf>
    <xf numFmtId="3" fontId="45" fillId="4" borderId="0" xfId="0" applyNumberFormat="1" applyFont="1" applyFill="1" applyBorder="1" applyAlignment="1" applyProtection="1">
      <alignment horizontal="center" wrapText="1"/>
      <protection locked="0"/>
    </xf>
    <xf numFmtId="3" fontId="45" fillId="4" borderId="80" xfId="0" applyNumberFormat="1" applyFont="1" applyFill="1" applyBorder="1" applyAlignment="1" applyProtection="1">
      <alignment horizontal="center" wrapText="1"/>
      <protection locked="0"/>
    </xf>
    <xf numFmtId="2" fontId="16" fillId="0" borderId="0" xfId="5" applyNumberFormat="1" applyFont="1" applyFill="1" applyBorder="1" applyAlignment="1">
      <alignment wrapText="1"/>
    </xf>
    <xf numFmtId="2" fontId="6" fillId="23" borderId="19" xfId="0" applyNumberFormat="1" applyFont="1" applyFill="1" applyBorder="1"/>
    <xf numFmtId="2" fontId="6" fillId="23" borderId="86" xfId="0" applyNumberFormat="1" applyFont="1" applyFill="1" applyBorder="1"/>
    <xf numFmtId="2" fontId="6" fillId="23" borderId="16" xfId="0" applyNumberFormat="1" applyFont="1" applyFill="1" applyBorder="1"/>
    <xf numFmtId="2" fontId="0" fillId="0" borderId="0" xfId="0" applyNumberFormat="1"/>
    <xf numFmtId="0" fontId="23"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6" fillId="0" borderId="21" xfId="5" applyNumberFormat="1" applyFont="1" applyFill="1" applyBorder="1" applyAlignment="1">
      <alignment wrapText="1"/>
    </xf>
    <xf numFmtId="2" fontId="16" fillId="0" borderId="103" xfId="5" applyNumberFormat="1" applyFont="1" applyFill="1" applyBorder="1" applyAlignment="1">
      <alignment wrapText="1"/>
    </xf>
    <xf numFmtId="2" fontId="16"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3" fillId="0" borderId="111" xfId="0" applyNumberFormat="1" applyFont="1" applyFill="1" applyBorder="1" applyAlignment="1">
      <alignment horizontal="left" vertical="top" wrapText="1"/>
    </xf>
    <xf numFmtId="2" fontId="23"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3" fillId="0" borderId="21" xfId="0" applyNumberFormat="1" applyFont="1" applyFill="1" applyBorder="1" applyAlignment="1">
      <alignment horizontal="left" vertical="top" wrapText="1"/>
    </xf>
    <xf numFmtId="2" fontId="23" fillId="0" borderId="0" xfId="0" applyNumberFormat="1" applyFont="1" applyFill="1" applyBorder="1" applyAlignment="1">
      <alignment horizontal="left" vertical="top" wrapText="1"/>
    </xf>
    <xf numFmtId="2" fontId="23"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3" fillId="0" borderId="111" xfId="0" applyNumberFormat="1" applyFont="1" applyFill="1" applyBorder="1" applyAlignment="1">
      <alignment vertical="top" wrapText="1"/>
    </xf>
    <xf numFmtId="176" fontId="16" fillId="0" borderId="0" xfId="5" applyNumberFormat="1" applyFont="1" applyFill="1" applyBorder="1" applyAlignment="1">
      <alignment horizontal="right" wrapText="1"/>
    </xf>
    <xf numFmtId="176" fontId="0" fillId="0" borderId="0" xfId="0" applyNumberFormat="1" applyBorder="1"/>
    <xf numFmtId="176" fontId="0" fillId="0" borderId="80" xfId="0" applyNumberFormat="1" applyBorder="1"/>
    <xf numFmtId="176" fontId="16" fillId="0" borderId="61" xfId="5" applyNumberFormat="1" applyFont="1" applyFill="1" applyBorder="1" applyAlignment="1">
      <alignment horizontal="right" wrapText="1"/>
    </xf>
    <xf numFmtId="176" fontId="0" fillId="0" borderId="61" xfId="0" applyNumberFormat="1" applyBorder="1"/>
    <xf numFmtId="176" fontId="0" fillId="0" borderId="18" xfId="0" applyNumberFormat="1" applyBorder="1"/>
    <xf numFmtId="2" fontId="0" fillId="0" borderId="21" xfId="0" applyNumberFormat="1" applyBorder="1"/>
    <xf numFmtId="2" fontId="0" fillId="0" borderId="103" xfId="0" applyNumberFormat="1" applyBorder="1"/>
    <xf numFmtId="178" fontId="0" fillId="0" borderId="80" xfId="0" applyNumberFormat="1" applyBorder="1"/>
    <xf numFmtId="176" fontId="101" fillId="0" borderId="0" xfId="5" applyNumberFormat="1" applyFont="1" applyFill="1" applyBorder="1" applyAlignment="1">
      <alignment horizontal="right" wrapText="1"/>
    </xf>
    <xf numFmtId="176" fontId="102" fillId="0" borderId="0" xfId="0" applyNumberFormat="1" applyFont="1" applyBorder="1"/>
    <xf numFmtId="2" fontId="102" fillId="0" borderId="61" xfId="0" applyNumberFormat="1" applyFont="1" applyBorder="1"/>
    <xf numFmtId="0" fontId="102" fillId="0" borderId="111" xfId="0" applyNumberFormat="1" applyFont="1" applyFill="1" applyBorder="1" applyAlignment="1">
      <alignment horizontal="right" vertical="top" wrapText="1"/>
    </xf>
    <xf numFmtId="0" fontId="102"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6" fillId="0" borderId="0" xfId="0" applyNumberFormat="1" applyFont="1" applyAlignment="1">
      <alignment horizontal="left" indent="3"/>
    </xf>
    <xf numFmtId="170" fontId="6" fillId="13" borderId="15" xfId="0" applyNumberFormat="1" applyFont="1" applyFill="1" applyBorder="1"/>
    <xf numFmtId="170" fontId="0" fillId="13" borderId="15" xfId="0" applyNumberFormat="1" applyFill="1" applyBorder="1"/>
    <xf numFmtId="172" fontId="71" fillId="25" borderId="0" xfId="148" applyFill="1" applyAlignment="1" applyProtection="1">
      <alignment vertical="center"/>
    </xf>
    <xf numFmtId="1" fontId="60" fillId="0" borderId="28" xfId="0" applyNumberFormat="1" applyFont="1" applyFill="1" applyBorder="1" applyAlignment="1" applyProtection="1">
      <alignment horizontal="center" vertical="center"/>
      <protection locked="0"/>
    </xf>
    <xf numFmtId="1" fontId="60" fillId="0" borderId="14" xfId="0" applyNumberFormat="1" applyFont="1" applyFill="1" applyBorder="1" applyAlignment="1" applyProtection="1">
      <alignment horizontal="center" vertical="center"/>
      <protection locked="0"/>
    </xf>
    <xf numFmtId="1" fontId="60" fillId="0" borderId="158" xfId="0" applyNumberFormat="1" applyFont="1" applyFill="1" applyBorder="1" applyAlignment="1" applyProtection="1">
      <alignment horizontal="center" vertical="center"/>
      <protection locked="0"/>
    </xf>
    <xf numFmtId="1" fontId="60" fillId="0" borderId="106" xfId="0" applyNumberFormat="1" applyFont="1" applyFill="1" applyBorder="1" applyAlignment="1" applyProtection="1">
      <alignment horizontal="center" vertical="center"/>
      <protection locked="0"/>
    </xf>
    <xf numFmtId="1" fontId="57" fillId="12" borderId="19" xfId="0" applyNumberFormat="1" applyFont="1" applyFill="1" applyBorder="1" applyAlignment="1">
      <alignment vertical="center"/>
    </xf>
    <xf numFmtId="1" fontId="60" fillId="18" borderId="107" xfId="0" applyNumberFormat="1" applyFont="1" applyFill="1" applyBorder="1" applyAlignment="1">
      <alignment horizontal="center" vertical="center"/>
    </xf>
    <xf numFmtId="1" fontId="57" fillId="12" borderId="103" xfId="0" applyNumberFormat="1" applyFont="1" applyFill="1" applyBorder="1" applyAlignment="1">
      <alignment vertical="center"/>
    </xf>
    <xf numFmtId="1" fontId="52" fillId="12" borderId="108" xfId="0" applyNumberFormat="1" applyFont="1" applyFill="1" applyBorder="1" applyAlignment="1">
      <alignment vertical="center"/>
    </xf>
    <xf numFmtId="1" fontId="57" fillId="19" borderId="109" xfId="0" applyNumberFormat="1" applyFont="1" applyFill="1" applyBorder="1" applyAlignment="1" applyProtection="1">
      <alignment horizontal="center" vertical="center"/>
      <protection locked="0"/>
    </xf>
    <xf numFmtId="1" fontId="52" fillId="0" borderId="0" xfId="0" applyNumberFormat="1" applyFont="1" applyFill="1" applyBorder="1" applyAlignment="1"/>
    <xf numFmtId="1" fontId="57"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xf>
    <xf numFmtId="1" fontId="60" fillId="0" borderId="57" xfId="0" applyNumberFormat="1" applyFont="1" applyFill="1" applyBorder="1" applyAlignment="1" applyProtection="1">
      <alignment horizontal="center" vertical="center"/>
      <protection locked="0"/>
    </xf>
    <xf numFmtId="1" fontId="57" fillId="0" borderId="0" xfId="0" applyNumberFormat="1" applyFont="1" applyFill="1" applyBorder="1" applyAlignment="1">
      <alignment horizontal="center"/>
    </xf>
    <xf numFmtId="1" fontId="100" fillId="0" borderId="0" xfId="0" applyNumberFormat="1" applyFont="1" applyFill="1" applyBorder="1" applyAlignment="1">
      <alignment horizontal="center" vertical="center"/>
    </xf>
    <xf numFmtId="1" fontId="57" fillId="0" borderId="25" xfId="0" applyNumberFormat="1" applyFont="1" applyBorder="1" applyAlignment="1">
      <alignment horizontal="justify" vertical="center" wrapText="1"/>
    </xf>
    <xf numFmtId="1" fontId="60" fillId="0" borderId="57" xfId="0" quotePrefix="1" applyNumberFormat="1" applyFont="1" applyFill="1" applyBorder="1" applyAlignment="1" applyProtection="1">
      <alignment horizontal="center" vertical="center"/>
      <protection locked="0"/>
    </xf>
    <xf numFmtId="1" fontId="61" fillId="0" borderId="0" xfId="0" applyNumberFormat="1" applyFont="1" applyBorder="1" applyAlignment="1">
      <alignment horizontal="center"/>
    </xf>
    <xf numFmtId="1" fontId="62" fillId="0" borderId="0" xfId="0" applyNumberFormat="1" applyFont="1" applyBorder="1" applyAlignment="1">
      <alignment horizontal="center"/>
    </xf>
    <xf numFmtId="1" fontId="9" fillId="0" borderId="0" xfId="0" applyNumberFormat="1" applyFont="1" applyBorder="1" applyAlignment="1">
      <alignment horizontal="center"/>
    </xf>
    <xf numFmtId="1" fontId="28" fillId="0" borderId="0" xfId="0" applyNumberFormat="1" applyFont="1" applyBorder="1" applyAlignment="1">
      <alignment horizontal="center"/>
    </xf>
    <xf numFmtId="1" fontId="52" fillId="0" borderId="0" xfId="0" applyNumberFormat="1" applyFont="1" applyBorder="1" applyAlignment="1">
      <alignment horizontal="justify"/>
    </xf>
    <xf numFmtId="1" fontId="57" fillId="0" borderId="0" xfId="0" applyNumberFormat="1" applyFont="1" applyAlignment="1">
      <alignment horizontal="left"/>
    </xf>
    <xf numFmtId="1" fontId="57" fillId="0" borderId="0" xfId="0" applyNumberFormat="1" applyFont="1" applyAlignment="1">
      <alignment horizontal="center"/>
    </xf>
    <xf numFmtId="1" fontId="57" fillId="12" borderId="39" xfId="0" applyNumberFormat="1" applyFont="1" applyFill="1" applyBorder="1" applyAlignment="1">
      <alignment horizontal="center" vertical="center" wrapText="1"/>
    </xf>
    <xf numFmtId="1" fontId="57" fillId="12" borderId="58" xfId="0" applyNumberFormat="1" applyFont="1" applyFill="1" applyBorder="1" applyAlignment="1">
      <alignment horizontal="center" vertical="center" wrapText="1"/>
    </xf>
    <xf numFmtId="1" fontId="57" fillId="18" borderId="59" xfId="0" applyNumberFormat="1" applyFont="1" applyFill="1" applyBorder="1" applyAlignment="1">
      <alignment horizontal="center" vertical="center"/>
    </xf>
    <xf numFmtId="1" fontId="57" fillId="18" borderId="60" xfId="0" applyNumberFormat="1" applyFont="1" applyFill="1" applyBorder="1" applyAlignment="1">
      <alignment horizontal="center" vertical="center"/>
    </xf>
    <xf numFmtId="1" fontId="57" fillId="18" borderId="9" xfId="0" applyNumberFormat="1" applyFont="1" applyFill="1" applyBorder="1" applyAlignment="1">
      <alignment horizontal="center" vertical="center"/>
    </xf>
    <xf numFmtId="1" fontId="57" fillId="18" borderId="159" xfId="0" applyNumberFormat="1" applyFont="1" applyFill="1" applyBorder="1" applyAlignment="1">
      <alignment horizontal="center" vertical="center"/>
    </xf>
    <xf numFmtId="1" fontId="57" fillId="18" borderId="50" xfId="0" applyNumberFormat="1" applyFont="1" applyFill="1" applyBorder="1" applyAlignment="1">
      <alignment horizontal="center" vertical="center"/>
    </xf>
    <xf numFmtId="1" fontId="60" fillId="0" borderId="47" xfId="0" applyNumberFormat="1" applyFont="1" applyFill="1" applyBorder="1" applyAlignment="1" applyProtection="1">
      <alignment horizontal="center" vertical="center"/>
      <protection locked="0"/>
    </xf>
    <xf numFmtId="1" fontId="60" fillId="0" borderId="99" xfId="0" applyNumberFormat="1" applyFont="1" applyFill="1" applyBorder="1" applyAlignment="1" applyProtection="1">
      <alignment horizontal="center" vertical="center"/>
      <protection locked="0"/>
    </xf>
    <xf numFmtId="1" fontId="60" fillId="19" borderId="160" xfId="0" applyNumberFormat="1" applyFont="1" applyFill="1" applyBorder="1" applyAlignment="1" applyProtection="1">
      <alignment horizontal="center" vertical="center"/>
      <protection locked="0"/>
    </xf>
    <xf numFmtId="1" fontId="60" fillId="19" borderId="86" xfId="0" applyNumberFormat="1" applyFont="1" applyFill="1" applyBorder="1" applyAlignment="1" applyProtection="1">
      <alignment horizontal="center" vertical="center"/>
      <protection locked="0"/>
    </xf>
    <xf numFmtId="1" fontId="60" fillId="19" borderId="161" xfId="0" applyNumberFormat="1" applyFont="1" applyFill="1" applyBorder="1" applyAlignment="1" applyProtection="1">
      <alignment horizontal="center" vertical="center"/>
      <protection locked="0"/>
    </xf>
    <xf numFmtId="1" fontId="57" fillId="18" borderId="62" xfId="0" applyNumberFormat="1" applyFont="1" applyFill="1" applyBorder="1" applyAlignment="1">
      <alignment horizontal="center" vertical="center"/>
    </xf>
    <xf numFmtId="1" fontId="58" fillId="18" borderId="53" xfId="0" applyNumberFormat="1" applyFont="1" applyFill="1" applyBorder="1" applyAlignment="1">
      <alignment vertical="center"/>
    </xf>
    <xf numFmtId="1" fontId="57" fillId="18" borderId="64" xfId="0" applyNumberFormat="1" applyFont="1" applyFill="1" applyBorder="1" applyAlignment="1">
      <alignment horizontal="center" vertical="center"/>
    </xf>
    <xf numFmtId="1" fontId="57" fillId="20" borderId="47" xfId="0" applyNumberFormat="1" applyFont="1" applyFill="1" applyBorder="1" applyAlignment="1" applyProtection="1">
      <alignment horizontal="center" vertical="center"/>
      <protection locked="0"/>
    </xf>
    <xf numFmtId="1" fontId="57" fillId="0" borderId="47" xfId="0" applyNumberFormat="1" applyFont="1" applyFill="1" applyBorder="1" applyAlignment="1" applyProtection="1">
      <alignment horizontal="center" vertical="center"/>
      <protection locked="0"/>
    </xf>
    <xf numFmtId="1" fontId="57" fillId="19" borderId="73" xfId="0" applyNumberFormat="1" applyFont="1" applyFill="1" applyBorder="1" applyAlignment="1" applyProtection="1">
      <alignment horizontal="center" vertical="center"/>
      <protection locked="0"/>
    </xf>
    <xf numFmtId="1" fontId="28" fillId="0" borderId="0" xfId="0" applyNumberFormat="1" applyFont="1" applyBorder="1" applyAlignment="1">
      <alignment horizontal="center" vertical="center"/>
    </xf>
    <xf numFmtId="1" fontId="9" fillId="0" borderId="0" xfId="0" applyNumberFormat="1" applyFont="1" applyBorder="1" applyAlignment="1">
      <alignment horizontal="center" vertical="center"/>
    </xf>
    <xf numFmtId="1" fontId="52" fillId="0" borderId="25" xfId="0" applyNumberFormat="1" applyFont="1" applyBorder="1" applyAlignment="1">
      <alignment horizontal="justify"/>
    </xf>
    <xf numFmtId="1" fontId="66" fillId="0" borderId="0" xfId="0" applyNumberFormat="1" applyFont="1" applyBorder="1" applyAlignment="1"/>
    <xf numFmtId="1" fontId="52" fillId="0" borderId="0" xfId="0" applyNumberFormat="1" applyFont="1" applyBorder="1" applyAlignment="1"/>
    <xf numFmtId="1" fontId="66" fillId="0" borderId="0" xfId="0" applyNumberFormat="1" applyFont="1" applyBorder="1" applyAlignment="1">
      <alignment horizontal="center"/>
    </xf>
    <xf numFmtId="1" fontId="9" fillId="0" borderId="0" xfId="0" applyNumberFormat="1" applyFont="1" applyFill="1" applyBorder="1" applyAlignment="1">
      <alignment horizontal="center"/>
    </xf>
    <xf numFmtId="1" fontId="56" fillId="0" borderId="0" xfId="0" applyNumberFormat="1" applyFont="1" applyFill="1" applyBorder="1" applyAlignment="1">
      <alignment horizontal="center" vertical="center" wrapText="1"/>
    </xf>
    <xf numFmtId="1" fontId="57" fillId="12" borderId="8" xfId="0" applyNumberFormat="1" applyFont="1" applyFill="1" applyBorder="1" applyAlignment="1">
      <alignment horizontal="center" vertical="center" wrapText="1"/>
    </xf>
    <xf numFmtId="1" fontId="67" fillId="0" borderId="77" xfId="0" applyNumberFormat="1" applyFont="1" applyFill="1" applyBorder="1" applyAlignment="1">
      <alignment horizontal="center"/>
    </xf>
    <xf numFmtId="1" fontId="57" fillId="0" borderId="47" xfId="0" applyNumberFormat="1" applyFont="1" applyFill="1" applyBorder="1" applyAlignment="1">
      <alignment horizontal="center"/>
    </xf>
    <xf numFmtId="1" fontId="67" fillId="0" borderId="47" xfId="0" applyNumberFormat="1" applyFont="1" applyFill="1" applyBorder="1" applyAlignment="1">
      <alignment horizontal="center"/>
    </xf>
    <xf numFmtId="1" fontId="57" fillId="0" borderId="47" xfId="0" applyNumberFormat="1" applyFont="1" applyFill="1" applyBorder="1" applyAlignment="1" applyProtection="1">
      <alignment horizontal="center" wrapText="1"/>
      <protection locked="0"/>
    </xf>
    <xf numFmtId="1" fontId="57" fillId="12" borderId="35" xfId="0" applyNumberFormat="1" applyFont="1" applyFill="1" applyBorder="1" applyAlignment="1">
      <alignment horizontal="center"/>
    </xf>
    <xf numFmtId="1" fontId="57" fillId="19" borderId="25" xfId="0" applyNumberFormat="1" applyFont="1" applyFill="1" applyBorder="1" applyAlignment="1" applyProtection="1">
      <alignment horizontal="center" vertical="center"/>
      <protection locked="0"/>
    </xf>
    <xf numFmtId="1" fontId="57" fillId="19" borderId="55" xfId="0" applyNumberFormat="1" applyFont="1" applyFill="1" applyBorder="1" applyAlignment="1" applyProtection="1">
      <alignment horizontal="center" vertical="center"/>
      <protection locked="0"/>
    </xf>
    <xf numFmtId="1" fontId="57" fillId="19" borderId="30" xfId="0" applyNumberFormat="1" applyFont="1" applyFill="1" applyBorder="1" applyAlignment="1" applyProtection="1">
      <alignment horizontal="center" vertical="center"/>
      <protection locked="0"/>
    </xf>
    <xf numFmtId="1" fontId="57" fillId="0" borderId="56" xfId="0" applyNumberFormat="1" applyFont="1" applyBorder="1" applyAlignment="1">
      <alignment horizontal="justify"/>
    </xf>
    <xf numFmtId="1" fontId="57" fillId="0" borderId="0" xfId="0" applyNumberFormat="1" applyFont="1" applyBorder="1" applyAlignment="1">
      <alignment horizontal="center"/>
    </xf>
    <xf numFmtId="1" fontId="9" fillId="0" borderId="56" xfId="0" applyNumberFormat="1" applyFont="1" applyBorder="1" applyAlignment="1">
      <alignment horizontal="center"/>
    </xf>
    <xf numFmtId="1" fontId="9" fillId="0" borderId="56" xfId="0" applyNumberFormat="1" applyFont="1" applyFill="1" applyBorder="1" applyAlignment="1">
      <alignment horizontal="center"/>
    </xf>
    <xf numFmtId="1" fontId="52" fillId="0" borderId="0" xfId="0" applyNumberFormat="1" applyFont="1" applyFill="1" applyBorder="1" applyAlignment="1">
      <alignment horizontal="left"/>
    </xf>
    <xf numFmtId="1" fontId="52" fillId="0" borderId="0" xfId="0" applyNumberFormat="1" applyFont="1" applyFill="1" applyBorder="1" applyAlignment="1">
      <alignment horizontal="center"/>
    </xf>
    <xf numFmtId="1" fontId="57" fillId="12" borderId="87" xfId="0" applyNumberFormat="1" applyFont="1" applyFill="1" applyBorder="1" applyAlignment="1">
      <alignment horizontal="center" vertical="center" wrapText="1"/>
    </xf>
    <xf numFmtId="1" fontId="67" fillId="0" borderId="77" xfId="0" applyNumberFormat="1" applyFont="1" applyBorder="1" applyAlignment="1">
      <alignment horizontal="center" vertical="center"/>
    </xf>
    <xf numFmtId="1" fontId="57" fillId="0" borderId="77" xfId="0" applyNumberFormat="1" applyFont="1" applyBorder="1" applyAlignment="1" applyProtection="1">
      <alignment horizontal="center" vertical="center"/>
      <protection locked="0"/>
    </xf>
    <xf numFmtId="1" fontId="57" fillId="0" borderId="47" xfId="0" applyNumberFormat="1" applyFont="1" applyBorder="1" applyAlignment="1">
      <alignment horizontal="center" vertical="center"/>
    </xf>
    <xf numFmtId="1" fontId="57" fillId="0" borderId="35" xfId="0" applyNumberFormat="1" applyFont="1" applyFill="1" applyBorder="1" applyAlignment="1">
      <alignment horizontal="center" vertical="center"/>
    </xf>
    <xf numFmtId="1" fontId="70" fillId="0" borderId="56" xfId="0" applyNumberFormat="1" applyFont="1" applyBorder="1" applyAlignment="1">
      <alignment horizontal="justify"/>
    </xf>
    <xf numFmtId="1" fontId="70" fillId="0" borderId="56" xfId="0" applyNumberFormat="1" applyFont="1" applyBorder="1" applyAlignment="1">
      <alignment horizontal="center"/>
    </xf>
    <xf numFmtId="1" fontId="57" fillId="0" borderId="56" xfId="0" applyNumberFormat="1" applyFont="1" applyBorder="1" applyAlignment="1">
      <alignment horizontal="center"/>
    </xf>
    <xf numFmtId="1" fontId="28" fillId="0" borderId="56" xfId="0" applyNumberFormat="1" applyFont="1" applyBorder="1" applyAlignment="1">
      <alignment horizontal="center"/>
    </xf>
    <xf numFmtId="0" fontId="0" fillId="0" borderId="0" xfId="0" applyNumberFormat="1" applyFill="1" applyBorder="1"/>
    <xf numFmtId="1" fontId="60" fillId="0" borderId="5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39" xfId="0" applyNumberFormat="1" applyFont="1" applyFill="1" applyBorder="1" applyAlignment="1" applyProtection="1">
      <alignment horizontal="center" vertical="center"/>
      <protection locked="0"/>
    </xf>
    <xf numFmtId="1" fontId="60" fillId="0" borderId="11" xfId="0" applyNumberFormat="1" applyFont="1" applyFill="1" applyBorder="1" applyAlignment="1" applyProtection="1">
      <alignment horizontal="center" vertical="center"/>
      <protection locked="0"/>
    </xf>
    <xf numFmtId="172" fontId="71" fillId="0" borderId="0" xfId="148" applyAlignment="1" applyProtection="1">
      <alignment vertical="center"/>
    </xf>
    <xf numFmtId="14" fontId="0" fillId="0" borderId="0" xfId="0" applyNumberFormat="1"/>
    <xf numFmtId="172" fontId="71" fillId="0" borderId="0" xfId="148" quotePrefix="1" applyAlignment="1" applyProtection="1"/>
    <xf numFmtId="172" fontId="6" fillId="0" borderId="0" xfId="0" applyFont="1" applyAlignment="1">
      <alignment horizontal="right"/>
    </xf>
    <xf numFmtId="179" fontId="0" fillId="0" borderId="0" xfId="0" applyNumberFormat="1"/>
    <xf numFmtId="4" fontId="23" fillId="0" borderId="0" xfId="0" applyNumberFormat="1" applyFont="1" applyBorder="1"/>
    <xf numFmtId="2" fontId="60" fillId="19" borderId="55" xfId="0" applyNumberFormat="1" applyFont="1" applyFill="1" applyBorder="1" applyAlignment="1" applyProtection="1">
      <alignment horizontal="center" vertical="center"/>
      <protection locked="0"/>
    </xf>
    <xf numFmtId="2" fontId="60" fillId="0" borderId="30" xfId="0" applyNumberFormat="1" applyFont="1" applyFill="1" applyBorder="1" applyAlignment="1" applyProtection="1">
      <alignment horizontal="center" vertical="center"/>
      <protection locked="0"/>
    </xf>
    <xf numFmtId="2" fontId="53" fillId="0" borderId="29" xfId="0" applyNumberFormat="1" applyFont="1" applyFill="1" applyBorder="1" applyAlignment="1">
      <alignment horizontal="center" vertical="center"/>
    </xf>
    <xf numFmtId="2" fontId="100" fillId="0" borderId="0" xfId="0" applyNumberFormat="1" applyFont="1" applyFill="1" applyBorder="1" applyAlignment="1">
      <alignment horizontal="center" vertical="center"/>
    </xf>
    <xf numFmtId="2" fontId="53" fillId="0" borderId="0" xfId="0" applyNumberFormat="1" applyFont="1" applyFill="1" applyBorder="1" applyAlignment="1">
      <alignment horizontal="center" vertical="center"/>
    </xf>
    <xf numFmtId="4" fontId="0" fillId="14" borderId="0" xfId="0" applyNumberFormat="1" applyFill="1"/>
    <xf numFmtId="3" fontId="87"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172" fontId="71" fillId="0" borderId="0" xfId="148" applyAlignment="1" applyProtection="1"/>
    <xf numFmtId="3" fontId="16" fillId="0" borderId="152" xfId="5" applyNumberFormat="1" applyFont="1" applyFill="1" applyBorder="1" applyAlignment="1">
      <alignment wrapText="1"/>
    </xf>
    <xf numFmtId="170" fontId="0" fillId="3" borderId="0" xfId="0" applyNumberFormat="1" applyFill="1" applyBorder="1"/>
    <xf numFmtId="170" fontId="0" fillId="13" borderId="12" xfId="0" applyNumberFormat="1" applyFill="1" applyBorder="1"/>
    <xf numFmtId="3" fontId="0" fillId="13" borderId="12" xfId="0" applyNumberFormat="1" applyFill="1" applyBorder="1"/>
    <xf numFmtId="14" fontId="45" fillId="4" borderId="0" xfId="0" applyNumberFormat="1" applyFont="1" applyFill="1" applyBorder="1" applyAlignment="1" applyProtection="1">
      <alignment horizontal="center" wrapText="1"/>
      <protection locked="0"/>
    </xf>
    <xf numFmtId="0" fontId="45" fillId="4" borderId="0" xfId="0" applyNumberFormat="1" applyFont="1" applyFill="1" applyBorder="1" applyAlignment="1" applyProtection="1">
      <alignment horizontal="center" wrapText="1"/>
      <protection locked="0"/>
    </xf>
    <xf numFmtId="178" fontId="0" fillId="0" borderId="0" xfId="0" applyNumberFormat="1"/>
    <xf numFmtId="0" fontId="75" fillId="12" borderId="86" xfId="0" applyNumberFormat="1" applyFont="1" applyFill="1" applyBorder="1" applyAlignment="1">
      <alignment horizontal="left" vertical="center" wrapText="1"/>
    </xf>
    <xf numFmtId="172" fontId="103" fillId="0" borderId="0" xfId="0" applyFont="1"/>
    <xf numFmtId="0" fontId="23" fillId="24" borderId="0" xfId="0" quotePrefix="1" applyNumberFormat="1" applyFont="1" applyFill="1" applyAlignment="1">
      <alignment horizontal="left"/>
    </xf>
    <xf numFmtId="3" fontId="52" fillId="12" borderId="52" xfId="0" applyNumberFormat="1" applyFont="1" applyFill="1" applyBorder="1" applyAlignment="1">
      <alignment horizontal="center" vertical="center" wrapText="1"/>
    </xf>
    <xf numFmtId="3" fontId="52" fillId="12" borderId="0" xfId="0" applyNumberFormat="1" applyFont="1" applyFill="1" applyBorder="1" applyAlignment="1">
      <alignment horizontal="center" vertical="center" wrapText="1"/>
    </xf>
    <xf numFmtId="3" fontId="52" fillId="12" borderId="165" xfId="0" applyNumberFormat="1" applyFont="1" applyFill="1" applyBorder="1" applyAlignment="1">
      <alignment horizontal="center" vertical="center" wrapText="1"/>
    </xf>
    <xf numFmtId="1" fontId="58" fillId="18" borderId="52" xfId="0" applyNumberFormat="1" applyFont="1" applyFill="1" applyBorder="1" applyAlignment="1">
      <alignment vertical="center"/>
    </xf>
    <xf numFmtId="1" fontId="52" fillId="12" borderId="70" xfId="0" applyNumberFormat="1" applyFont="1" applyFill="1" applyBorder="1" applyAlignment="1">
      <alignment vertical="center"/>
    </xf>
    <xf numFmtId="1" fontId="60" fillId="0" borderId="14" xfId="0" applyNumberFormat="1" applyFont="1" applyFill="1" applyBorder="1" applyAlignment="1"/>
    <xf numFmtId="1" fontId="57" fillId="0" borderId="30" xfId="0" applyNumberFormat="1" applyFont="1" applyBorder="1" applyAlignment="1">
      <alignment wrapText="1"/>
    </xf>
    <xf numFmtId="1" fontId="57" fillId="0" borderId="0" xfId="0" applyNumberFormat="1" applyFont="1" applyBorder="1" applyAlignment="1">
      <alignment horizontal="justify"/>
    </xf>
    <xf numFmtId="3" fontId="58" fillId="18" borderId="79" xfId="0" applyNumberFormat="1" applyFont="1" applyFill="1" applyBorder="1" applyAlignment="1"/>
    <xf numFmtId="1" fontId="60" fillId="0" borderId="91" xfId="0" applyNumberFormat="1" applyFont="1" applyFill="1" applyBorder="1" applyAlignment="1">
      <alignment vertical="center"/>
    </xf>
    <xf numFmtId="1" fontId="60" fillId="0" borderId="91" xfId="0" applyNumberFormat="1" applyFont="1" applyFill="1" applyBorder="1" applyAlignment="1">
      <alignment vertical="center" wrapText="1"/>
    </xf>
    <xf numFmtId="1" fontId="58" fillId="18" borderId="102" xfId="0" applyNumberFormat="1" applyFont="1" applyFill="1" applyBorder="1" applyAlignment="1">
      <alignment vertical="center"/>
    </xf>
    <xf numFmtId="1" fontId="60" fillId="19" borderId="74" xfId="0" applyNumberFormat="1" applyFont="1" applyFill="1" applyBorder="1" applyAlignment="1" applyProtection="1">
      <alignment horizontal="center" vertical="center"/>
      <protection locked="0"/>
    </xf>
    <xf numFmtId="3" fontId="58" fillId="18" borderId="45" xfId="0" applyNumberFormat="1" applyFont="1" applyFill="1" applyBorder="1" applyAlignment="1"/>
    <xf numFmtId="1" fontId="60" fillId="0" borderId="46" xfId="0" applyNumberFormat="1" applyFont="1" applyFill="1" applyBorder="1" applyAlignment="1">
      <alignment vertical="center"/>
    </xf>
    <xf numFmtId="1" fontId="60" fillId="0" borderId="46" xfId="0" applyNumberFormat="1" applyFont="1" applyFill="1" applyBorder="1" applyAlignment="1">
      <alignment vertical="center" wrapText="1"/>
    </xf>
    <xf numFmtId="1" fontId="57" fillId="12" borderId="166" xfId="0" applyNumberFormat="1" applyFont="1" applyFill="1" applyBorder="1" applyAlignment="1">
      <alignment vertical="center"/>
    </xf>
    <xf numFmtId="1" fontId="57" fillId="12" borderId="34" xfId="0" applyNumberFormat="1" applyFont="1" applyFill="1" applyBorder="1" applyAlignment="1">
      <alignment vertical="center"/>
    </xf>
    <xf numFmtId="1" fontId="60" fillId="0" borderId="54" xfId="0" applyNumberFormat="1" applyFont="1" applyFill="1" applyBorder="1" applyAlignment="1">
      <alignment vertical="center"/>
    </xf>
    <xf numFmtId="1" fontId="52" fillId="12" borderId="56" xfId="0" applyNumberFormat="1" applyFont="1" applyFill="1" applyBorder="1" applyAlignment="1">
      <alignment horizontal="center" vertical="center" wrapText="1"/>
    </xf>
    <xf numFmtId="1" fontId="52" fillId="12" borderId="0" xfId="0" applyNumberFormat="1" applyFont="1" applyFill="1" applyBorder="1" applyAlignment="1">
      <alignment horizontal="center" vertical="center" wrapText="1"/>
    </xf>
    <xf numFmtId="1" fontId="52" fillId="0" borderId="26" xfId="0" applyNumberFormat="1" applyFont="1" applyBorder="1" applyAlignment="1">
      <alignment horizontal="justify"/>
    </xf>
    <xf numFmtId="1" fontId="60" fillId="0" borderId="81" xfId="0" applyNumberFormat="1" applyFont="1" applyFill="1" applyBorder="1" applyAlignment="1"/>
    <xf numFmtId="1" fontId="57" fillId="12" borderId="19" xfId="0" applyNumberFormat="1" applyFont="1" applyFill="1" applyBorder="1" applyAlignment="1"/>
    <xf numFmtId="1" fontId="58" fillId="18" borderId="51" xfId="0" applyNumberFormat="1" applyFont="1" applyFill="1" applyBorder="1" applyAlignment="1">
      <alignment vertical="center"/>
    </xf>
    <xf numFmtId="1" fontId="60" fillId="0" borderId="65" xfId="0" applyNumberFormat="1" applyFont="1" applyFill="1" applyBorder="1" applyAlignment="1"/>
    <xf numFmtId="1" fontId="60" fillId="20" borderId="81" xfId="0" applyNumberFormat="1" applyFont="1" applyFill="1" applyBorder="1" applyAlignment="1">
      <alignment vertical="center"/>
    </xf>
    <xf numFmtId="1" fontId="60" fillId="0" borderId="81" xfId="0" applyNumberFormat="1" applyFont="1" applyFill="1" applyBorder="1" applyAlignment="1">
      <alignment vertical="center"/>
    </xf>
    <xf numFmtId="1" fontId="57" fillId="0" borderId="25" xfId="0" applyNumberFormat="1" applyFont="1" applyBorder="1" applyAlignment="1">
      <alignment wrapText="1"/>
    </xf>
    <xf numFmtId="1" fontId="60" fillId="0" borderId="168" xfId="0" applyNumberFormat="1" applyFont="1" applyFill="1" applyBorder="1" applyAlignment="1"/>
    <xf numFmtId="1" fontId="60" fillId="0" borderId="168" xfId="0" applyNumberFormat="1" applyFont="1" applyFill="1" applyBorder="1" applyAlignment="1">
      <alignment vertical="center" wrapText="1"/>
    </xf>
    <xf numFmtId="1" fontId="60" fillId="0" borderId="93" xfId="0" applyNumberFormat="1" applyFont="1" applyFill="1" applyBorder="1" applyAlignment="1">
      <alignment vertical="center"/>
    </xf>
    <xf numFmtId="1" fontId="58" fillId="18" borderId="155" xfId="0" applyNumberFormat="1" applyFont="1" applyFill="1" applyBorder="1" applyAlignment="1"/>
    <xf numFmtId="1" fontId="58" fillId="18" borderId="169" xfId="0" applyNumberFormat="1" applyFont="1" applyFill="1" applyBorder="1" applyAlignment="1"/>
    <xf numFmtId="1" fontId="58" fillId="18" borderId="101" xfId="0" applyNumberFormat="1" applyFont="1" applyFill="1" applyBorder="1" applyAlignment="1">
      <alignment vertical="center"/>
    </xf>
    <xf numFmtId="1" fontId="60" fillId="0" borderId="170" xfId="0" applyNumberFormat="1" applyFont="1" applyFill="1" applyBorder="1" applyAlignment="1"/>
    <xf numFmtId="1" fontId="57" fillId="12" borderId="16" xfId="0" applyNumberFormat="1" applyFont="1" applyFill="1" applyBorder="1" applyAlignment="1"/>
    <xf numFmtId="1" fontId="60" fillId="0" borderId="94" xfId="0" applyNumberFormat="1" applyFont="1" applyFill="1" applyBorder="1" applyAlignment="1"/>
    <xf numFmtId="1" fontId="64" fillId="0" borderId="48" xfId="0" applyNumberFormat="1" applyFont="1" applyFill="1" applyBorder="1" applyAlignment="1" applyProtection="1">
      <protection locked="0"/>
    </xf>
    <xf numFmtId="1" fontId="64" fillId="0" borderId="61" xfId="0" applyNumberFormat="1" applyFont="1" applyFill="1" applyBorder="1" applyAlignment="1" applyProtection="1">
      <protection locked="0"/>
    </xf>
    <xf numFmtId="1" fontId="60" fillId="20" borderId="46" xfId="0" applyNumberFormat="1" applyFont="1" applyFill="1" applyBorder="1" applyAlignment="1">
      <alignment vertical="center"/>
    </xf>
    <xf numFmtId="1" fontId="52" fillId="12" borderId="104" xfId="0" applyNumberFormat="1" applyFont="1" applyFill="1" applyBorder="1" applyAlignment="1"/>
    <xf numFmtId="1" fontId="52" fillId="12" borderId="105" xfId="0" applyNumberFormat="1" applyFont="1" applyFill="1" applyBorder="1" applyAlignment="1"/>
    <xf numFmtId="1" fontId="67" fillId="0" borderId="171" xfId="0" applyNumberFormat="1" applyFont="1" applyFill="1" applyBorder="1" applyAlignment="1">
      <alignment horizontal="center"/>
    </xf>
    <xf numFmtId="1" fontId="57" fillId="12" borderId="57" xfId="0" applyNumberFormat="1" applyFont="1" applyFill="1" applyBorder="1" applyAlignment="1">
      <alignment horizontal="center" vertical="center" wrapText="1"/>
    </xf>
    <xf numFmtId="1" fontId="9" fillId="21" borderId="35" xfId="0" applyNumberFormat="1" applyFont="1" applyFill="1" applyBorder="1" applyAlignment="1">
      <alignment horizontal="center" vertical="center"/>
    </xf>
    <xf numFmtId="1" fontId="57" fillId="0" borderId="44" xfId="0" applyNumberFormat="1" applyFont="1" applyFill="1" applyBorder="1" applyAlignment="1" applyProtection="1">
      <alignment horizontal="center" vertical="center"/>
      <protection locked="0"/>
    </xf>
    <xf numFmtId="1" fontId="57" fillId="0" borderId="46" xfId="0" applyNumberFormat="1" applyFont="1" applyFill="1" applyBorder="1" applyAlignment="1" applyProtection="1">
      <alignment horizontal="center" vertical="center"/>
      <protection locked="0"/>
    </xf>
    <xf numFmtId="1" fontId="57" fillId="0" borderId="96" xfId="0" applyNumberFormat="1" applyFont="1" applyFill="1" applyBorder="1" applyAlignment="1" applyProtection="1">
      <alignment horizontal="center" vertical="center"/>
      <protection locked="0"/>
    </xf>
    <xf numFmtId="1" fontId="60" fillId="0" borderId="33"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57" fillId="0" borderId="172" xfId="0" applyNumberFormat="1" applyFont="1" applyFill="1" applyBorder="1" applyAlignment="1" applyProtection="1">
      <alignment horizontal="center" vertical="center"/>
      <protection locked="0"/>
    </xf>
    <xf numFmtId="1" fontId="57" fillId="0" borderId="54" xfId="0" applyNumberFormat="1" applyFont="1" applyFill="1" applyBorder="1" applyAlignment="1" applyProtection="1">
      <alignment horizontal="center" vertical="center"/>
      <protection locked="0"/>
    </xf>
    <xf numFmtId="1" fontId="57" fillId="0" borderId="84" xfId="0" applyNumberFormat="1" applyFont="1" applyFill="1" applyBorder="1" applyAlignment="1" applyProtection="1">
      <alignment horizontal="center" vertical="center"/>
      <protection locked="0"/>
    </xf>
    <xf numFmtId="1" fontId="57" fillId="0" borderId="100" xfId="0" applyNumberFormat="1" applyFont="1" applyFill="1" applyBorder="1" applyAlignment="1" applyProtection="1">
      <alignment horizontal="center" vertical="center"/>
      <protection locked="0"/>
    </xf>
    <xf numFmtId="1" fontId="57" fillId="0" borderId="40" xfId="0" applyNumberFormat="1" applyFont="1" applyFill="1" applyBorder="1" applyAlignment="1" applyProtection="1">
      <alignment horizontal="center" vertical="center"/>
      <protection locked="0"/>
    </xf>
    <xf numFmtId="1" fontId="57" fillId="12" borderId="173" xfId="0" applyNumberFormat="1" applyFont="1" applyFill="1" applyBorder="1" applyAlignment="1">
      <alignment horizontal="center" vertical="center" wrapText="1"/>
    </xf>
    <xf numFmtId="1" fontId="57" fillId="12" borderId="174" xfId="0" applyNumberFormat="1" applyFont="1" applyFill="1" applyBorder="1" applyAlignment="1">
      <alignment horizontal="center" vertical="center" wrapText="1"/>
    </xf>
    <xf numFmtId="1" fontId="9" fillId="17" borderId="32" xfId="0" applyNumberFormat="1" applyFont="1" applyFill="1" applyBorder="1" applyAlignment="1">
      <alignment horizontal="center" vertical="center"/>
    </xf>
    <xf numFmtId="1" fontId="57" fillId="0" borderId="175" xfId="0" applyNumberFormat="1" applyFont="1" applyFill="1" applyBorder="1" applyAlignment="1" applyProtection="1">
      <alignment horizontal="center" vertical="center"/>
      <protection locked="0"/>
    </xf>
    <xf numFmtId="1" fontId="57" fillId="19" borderId="57" xfId="0" applyNumberFormat="1" applyFont="1" applyFill="1" applyBorder="1" applyAlignment="1" applyProtection="1">
      <alignment horizontal="center" vertical="center"/>
      <protection locked="0"/>
    </xf>
    <xf numFmtId="17" fontId="23" fillId="24" borderId="0" xfId="0" quotePrefix="1" applyNumberFormat="1" applyFont="1" applyFill="1"/>
    <xf numFmtId="170" fontId="6" fillId="0" borderId="145" xfId="2" applyNumberFormat="1" applyFont="1" applyBorder="1" applyAlignment="1">
      <alignment horizontal="center"/>
    </xf>
    <xf numFmtId="170" fontId="6" fillId="0" borderId="146" xfId="2" applyNumberFormat="1" applyFont="1" applyBorder="1" applyAlignment="1">
      <alignment horizontal="center"/>
    </xf>
    <xf numFmtId="170" fontId="13" fillId="0" borderId="145" xfId="2" applyNumberFormat="1" applyFont="1" applyBorder="1" applyAlignment="1">
      <alignment horizontal="center"/>
    </xf>
    <xf numFmtId="174" fontId="6" fillId="0" borderId="143" xfId="2" applyNumberFormat="1" applyFont="1" applyBorder="1" applyAlignment="1">
      <alignment horizontal="center"/>
    </xf>
    <xf numFmtId="174" fontId="6" fillId="0" borderId="148" xfId="2" applyNumberFormat="1" applyFont="1" applyBorder="1" applyAlignment="1">
      <alignment horizontal="center"/>
    </xf>
    <xf numFmtId="174" fontId="13" fillId="0" borderId="143" xfId="2" applyNumberFormat="1" applyFont="1" applyBorder="1" applyAlignment="1">
      <alignment horizontal="center"/>
    </xf>
    <xf numFmtId="170" fontId="4" fillId="2" borderId="0" xfId="2" applyNumberFormat="1" applyFill="1" applyBorder="1" applyAlignment="1">
      <alignment horizontal="center"/>
    </xf>
    <xf numFmtId="170" fontId="6" fillId="0" borderId="9" xfId="2" applyNumberFormat="1" applyFont="1" applyBorder="1" applyAlignment="1">
      <alignment horizontal="center"/>
    </xf>
    <xf numFmtId="170" fontId="14" fillId="2" borderId="0" xfId="2" applyNumberFormat="1" applyFont="1" applyFill="1" applyBorder="1" applyAlignment="1">
      <alignment horizontal="center"/>
    </xf>
    <xf numFmtId="170" fontId="4" fillId="2" borderId="121" xfId="2" applyNumberFormat="1" applyFill="1" applyBorder="1" applyAlignment="1">
      <alignment horizontal="center"/>
    </xf>
    <xf numFmtId="170" fontId="6" fillId="0" borderId="150" xfId="2" applyNumberFormat="1" applyFont="1" applyBorder="1" applyAlignment="1">
      <alignment horizontal="center"/>
    </xf>
    <xf numFmtId="170" fontId="14" fillId="2" borderId="121" xfId="2" applyNumberFormat="1" applyFont="1" applyFill="1" applyBorder="1" applyAlignment="1">
      <alignment horizontal="center"/>
    </xf>
    <xf numFmtId="170" fontId="6" fillId="0" borderId="143" xfId="2" applyNumberFormat="1" applyFont="1" applyBorder="1" applyAlignment="1">
      <alignment horizontal="center"/>
    </xf>
    <xf numFmtId="170" fontId="6" fillId="0" borderId="148" xfId="2" applyNumberFormat="1" applyFont="1" applyBorder="1" applyAlignment="1">
      <alignment horizontal="center"/>
    </xf>
    <xf numFmtId="170" fontId="13" fillId="0" borderId="143" xfId="2" applyNumberFormat="1" applyFont="1" applyBorder="1" applyAlignment="1">
      <alignment horizontal="center"/>
    </xf>
    <xf numFmtId="170" fontId="0" fillId="2" borderId="0" xfId="2" applyNumberFormat="1" applyFont="1" applyFill="1" applyBorder="1" applyAlignment="1">
      <alignment horizontal="center"/>
    </xf>
    <xf numFmtId="170" fontId="0" fillId="0" borderId="9" xfId="2" applyNumberFormat="1" applyFont="1" applyBorder="1" applyAlignment="1">
      <alignment horizontal="center"/>
    </xf>
    <xf numFmtId="170" fontId="6" fillId="0" borderId="0" xfId="2" applyNumberFormat="1" applyFont="1" applyBorder="1" applyAlignment="1">
      <alignment horizontal="center"/>
    </xf>
    <xf numFmtId="174" fontId="6" fillId="0" borderId="0" xfId="2" applyNumberFormat="1" applyFont="1" applyBorder="1" applyAlignment="1">
      <alignment horizontal="center"/>
    </xf>
    <xf numFmtId="170" fontId="13" fillId="0" borderId="0" xfId="2" applyNumberFormat="1" applyFont="1" applyBorder="1" applyAlignment="1">
      <alignment horizontal="center"/>
    </xf>
    <xf numFmtId="174" fontId="6" fillId="0" borderId="9" xfId="2" applyNumberFormat="1" applyFont="1" applyBorder="1" applyAlignment="1">
      <alignment horizontal="center"/>
    </xf>
    <xf numFmtId="174" fontId="6" fillId="0" borderId="0" xfId="2" applyNumberFormat="1" applyFont="1" applyFill="1" applyBorder="1" applyAlignment="1">
      <alignment horizontal="center"/>
    </xf>
    <xf numFmtId="170" fontId="96" fillId="0" borderId="0" xfId="2" applyNumberFormat="1" applyFont="1" applyBorder="1" applyAlignment="1">
      <alignment horizontal="center"/>
    </xf>
    <xf numFmtId="170" fontId="6" fillId="0" borderId="13" xfId="2" applyNumberFormat="1" applyFont="1" applyBorder="1" applyAlignment="1">
      <alignment horizontal="center"/>
    </xf>
    <xf numFmtId="170" fontId="4" fillId="2" borderId="12" xfId="2" applyNumberFormat="1" applyFill="1" applyBorder="1" applyAlignment="1">
      <alignment horizontal="center"/>
    </xf>
    <xf numFmtId="170" fontId="14" fillId="2" borderId="12" xfId="2" applyNumberFormat="1" applyFont="1" applyFill="1" applyBorder="1" applyAlignment="1">
      <alignment horizontal="center"/>
    </xf>
    <xf numFmtId="0" fontId="4" fillId="0" borderId="0" xfId="149"/>
    <xf numFmtId="14" fontId="4" fillId="0" borderId="0" xfId="149" applyNumberFormat="1"/>
    <xf numFmtId="0" fontId="71" fillId="0" borderId="0" xfId="148" applyNumberFormat="1" applyAlignment="1" applyProtection="1"/>
    <xf numFmtId="0" fontId="0" fillId="0" borderId="0" xfId="149" applyFont="1"/>
    <xf numFmtId="0" fontId="4" fillId="0" borderId="0" xfId="149" applyFill="1"/>
    <xf numFmtId="14" fontId="4" fillId="0" borderId="0" xfId="149" applyNumberFormat="1" applyFill="1"/>
    <xf numFmtId="1" fontId="0" fillId="0" borderId="121" xfId="0" applyNumberFormat="1" applyFont="1" applyFill="1" applyBorder="1" applyAlignment="1">
      <alignment horizontal="center" vertical="center"/>
    </xf>
    <xf numFmtId="172" fontId="71" fillId="0" borderId="0" xfId="148" applyAlignment="1" applyProtection="1"/>
    <xf numFmtId="172" fontId="0" fillId="0" borderId="0" xfId="0"/>
    <xf numFmtId="172" fontId="0" fillId="0" borderId="0" xfId="0" applyFill="1"/>
    <xf numFmtId="9" fontId="0" fillId="0" borderId="8" xfId="0" applyNumberFormat="1" applyFont="1" applyFill="1" applyBorder="1"/>
    <xf numFmtId="176" fontId="23" fillId="3" borderId="0" xfId="0" applyNumberFormat="1" applyFont="1" applyFill="1" applyBorder="1"/>
    <xf numFmtId="176" fontId="23" fillId="3" borderId="12" xfId="0" applyNumberFormat="1" applyFont="1" applyFill="1" applyBorder="1"/>
    <xf numFmtId="172" fontId="71" fillId="0" borderId="0" xfId="148" quotePrefix="1" applyAlignment="1" applyProtection="1"/>
    <xf numFmtId="172" fontId="71" fillId="0" borderId="0" xfId="148" applyAlignment="1" applyProtection="1"/>
    <xf numFmtId="3" fontId="0" fillId="0" borderId="0" xfId="0" applyNumberFormat="1" applyFont="1" applyBorder="1" applyAlignment="1">
      <alignment horizontal="left"/>
    </xf>
    <xf numFmtId="2" fontId="79" fillId="0" borderId="0" xfId="0" applyNumberFormat="1" applyFont="1" applyFill="1"/>
    <xf numFmtId="14" fontId="0" fillId="0" borderId="0" xfId="0" applyNumberFormat="1" applyFill="1"/>
    <xf numFmtId="14" fontId="71" fillId="0" borderId="0" xfId="148" applyNumberFormat="1" applyFill="1" applyAlignment="1" applyProtection="1"/>
    <xf numFmtId="14" fontId="71" fillId="0" borderId="0" xfId="148" quotePrefix="1" applyNumberFormat="1" applyFill="1" applyAlignment="1" applyProtection="1"/>
    <xf numFmtId="0" fontId="23" fillId="0" borderId="0" xfId="0" applyNumberFormat="1" applyFont="1" applyFill="1" applyBorder="1" applyAlignment="1">
      <alignment vertical="top"/>
    </xf>
    <xf numFmtId="0" fontId="0" fillId="0" borderId="0" xfId="195" applyNumberFormat="1" applyFont="1" applyFill="1"/>
    <xf numFmtId="0" fontId="4" fillId="0" borderId="0" xfId="195" applyNumberFormat="1" applyFill="1"/>
    <xf numFmtId="172" fontId="44" fillId="23" borderId="185" xfId="1" applyFont="1" applyFill="1" applyBorder="1"/>
    <xf numFmtId="172" fontId="44" fillId="23" borderId="186" xfId="1" applyFont="1" applyFill="1" applyBorder="1"/>
    <xf numFmtId="172" fontId="23" fillId="23" borderId="186" xfId="0" applyFont="1" applyFill="1" applyBorder="1"/>
    <xf numFmtId="172" fontId="23" fillId="23" borderId="187" xfId="0" applyFont="1" applyFill="1" applyBorder="1"/>
    <xf numFmtId="172" fontId="0" fillId="0" borderId="121" xfId="0" applyFont="1" applyFill="1" applyBorder="1" applyAlignment="1">
      <alignment horizontal="right"/>
    </xf>
    <xf numFmtId="172" fontId="0" fillId="0" borderId="121" xfId="0" applyBorder="1" applyAlignment="1">
      <alignment horizontal="right"/>
    </xf>
    <xf numFmtId="9" fontId="113" fillId="0" borderId="0" xfId="52" applyFont="1"/>
    <xf numFmtId="9" fontId="0" fillId="0" borderId="0" xfId="52" applyFont="1" applyFill="1" applyBorder="1"/>
    <xf numFmtId="172" fontId="5" fillId="0" borderId="0" xfId="0" applyFont="1" applyFill="1" applyBorder="1" applyAlignment="1">
      <alignment horizontal="left" vertical="top" wrapText="1"/>
    </xf>
    <xf numFmtId="172" fontId="23" fillId="0" borderId="121" xfId="0" applyFont="1" applyFill="1" applyBorder="1"/>
    <xf numFmtId="9" fontId="113" fillId="0" borderId="0" xfId="52" applyNumberFormat="1" applyFont="1"/>
    <xf numFmtId="9" fontId="0" fillId="0" borderId="0" xfId="52" applyNumberFormat="1" applyFont="1" applyFill="1" applyBorder="1"/>
    <xf numFmtId="0" fontId="23" fillId="24" borderId="0" xfId="196" applyNumberFormat="1" applyFont="1" applyFill="1"/>
    <xf numFmtId="0" fontId="23" fillId="24" borderId="0" xfId="196" quotePrefix="1" applyNumberFormat="1" applyFont="1" applyFill="1"/>
    <xf numFmtId="0" fontId="23" fillId="25" borderId="0" xfId="196" applyNumberFormat="1" applyFont="1" applyFill="1"/>
    <xf numFmtId="0" fontId="23" fillId="4" borderId="0" xfId="196" applyNumberFormat="1" applyFont="1" applyFill="1"/>
    <xf numFmtId="17" fontId="23" fillId="24" borderId="0" xfId="196" quotePrefix="1" applyNumberFormat="1" applyFont="1" applyFill="1"/>
    <xf numFmtId="0" fontId="23" fillId="24" borderId="0" xfId="196" applyNumberFormat="1" applyFont="1" applyFill="1" applyAlignment="1"/>
    <xf numFmtId="0" fontId="4" fillId="4" borderId="0" xfId="196" applyNumberFormat="1" applyFill="1"/>
    <xf numFmtId="0" fontId="4" fillId="25" borderId="0" xfId="196" applyNumberFormat="1" applyFill="1"/>
    <xf numFmtId="0" fontId="0" fillId="4" borderId="0" xfId="196" applyNumberFormat="1" applyFont="1" applyFill="1"/>
    <xf numFmtId="0" fontId="4" fillId="24" borderId="0" xfId="196" applyNumberFormat="1" applyFill="1"/>
    <xf numFmtId="17" fontId="4" fillId="24" borderId="0" xfId="196" quotePrefix="1" applyNumberFormat="1" applyFill="1"/>
    <xf numFmtId="0" fontId="23" fillId="24" borderId="0" xfId="196" quotePrefix="1" applyNumberFormat="1" applyFont="1" applyFill="1" applyAlignment="1">
      <alignment horizontal="left"/>
    </xf>
    <xf numFmtId="3" fontId="6" fillId="13" borderId="183" xfId="0" applyNumberFormat="1" applyFont="1" applyFill="1" applyBorder="1" applyAlignment="1">
      <alignment horizontal="center"/>
    </xf>
    <xf numFmtId="172" fontId="23" fillId="0" borderId="0" xfId="0" applyFont="1" applyBorder="1"/>
    <xf numFmtId="177" fontId="0" fillId="0" borderId="0" xfId="0" applyNumberFormat="1" applyBorder="1"/>
    <xf numFmtId="3" fontId="119" fillId="12" borderId="28" xfId="0" applyNumberFormat="1" applyFont="1" applyFill="1" applyBorder="1" applyAlignment="1">
      <alignment horizontal="center" vertical="center" wrapText="1"/>
    </xf>
    <xf numFmtId="3" fontId="22" fillId="0" borderId="0" xfId="0" applyNumberFormat="1" applyFont="1"/>
    <xf numFmtId="3" fontId="119" fillId="12" borderId="183" xfId="0" applyNumberFormat="1" applyFont="1" applyFill="1" applyBorder="1" applyAlignment="1">
      <alignment horizontal="center" vertical="center" wrapText="1"/>
    </xf>
    <xf numFmtId="3" fontId="22" fillId="0" borderId="191" xfId="0" applyNumberFormat="1" applyFont="1" applyBorder="1" applyAlignment="1">
      <alignment horizontal="left" vertical="top"/>
    </xf>
    <xf numFmtId="3" fontId="23" fillId="60" borderId="192" xfId="0" applyNumberFormat="1" applyFont="1" applyFill="1" applyBorder="1" applyAlignment="1">
      <alignment horizontal="left" vertical="top" wrapText="1"/>
    </xf>
    <xf numFmtId="3" fontId="0" fillId="0" borderId="192" xfId="0" applyNumberFormat="1" applyFill="1" applyBorder="1" applyAlignment="1">
      <alignment horizontal="left" vertical="top" wrapText="1"/>
    </xf>
    <xf numFmtId="3" fontId="0" fillId="61" borderId="192" xfId="0" applyNumberFormat="1" applyFill="1" applyBorder="1" applyAlignment="1">
      <alignment horizontal="left" vertical="top" wrapText="1"/>
    </xf>
    <xf numFmtId="3" fontId="23" fillId="62" borderId="192" xfId="0" applyNumberFormat="1" applyFont="1" applyFill="1" applyBorder="1" applyAlignment="1">
      <alignment horizontal="left" vertical="top" wrapText="1"/>
    </xf>
    <xf numFmtId="3" fontId="23" fillId="0" borderId="192" xfId="0" applyNumberFormat="1" applyFont="1" applyFill="1" applyBorder="1" applyAlignment="1">
      <alignment horizontal="left" vertical="top" wrapText="1"/>
    </xf>
    <xf numFmtId="172" fontId="0" fillId="60" borderId="192" xfId="0" applyFill="1" applyBorder="1" applyAlignment="1">
      <alignment horizontal="left" vertical="top" wrapText="1"/>
    </xf>
    <xf numFmtId="172" fontId="0" fillId="60" borderId="193" xfId="0" applyFill="1" applyBorder="1" applyAlignment="1">
      <alignment horizontal="left" vertical="top" wrapText="1"/>
    </xf>
    <xf numFmtId="3" fontId="0" fillId="60" borderId="194" xfId="0" applyNumberFormat="1" applyFill="1" applyBorder="1" applyAlignment="1">
      <alignment horizontal="left" vertical="top" wrapText="1"/>
    </xf>
    <xf numFmtId="3" fontId="22" fillId="0" borderId="188" xfId="0" applyNumberFormat="1" applyFont="1" applyBorder="1" applyAlignment="1">
      <alignment horizontal="left" vertical="top"/>
    </xf>
    <xf numFmtId="3" fontId="23" fillId="60" borderId="189" xfId="0" applyNumberFormat="1" applyFont="1" applyFill="1" applyBorder="1" applyAlignment="1">
      <alignment horizontal="left" vertical="top" wrapText="1"/>
    </xf>
    <xf numFmtId="3" fontId="0" fillId="60" borderId="189" xfId="0" applyNumberFormat="1" applyFill="1" applyBorder="1" applyAlignment="1">
      <alignment horizontal="left" vertical="top" wrapText="1"/>
    </xf>
    <xf numFmtId="3" fontId="23" fillId="62" borderId="189" xfId="0" applyNumberFormat="1" applyFont="1" applyFill="1" applyBorder="1" applyAlignment="1">
      <alignment horizontal="left" vertical="top" wrapText="1"/>
    </xf>
    <xf numFmtId="3" fontId="23" fillId="0" borderId="189" xfId="0" applyNumberFormat="1" applyFont="1" applyFill="1" applyBorder="1" applyAlignment="1">
      <alignment horizontal="left" vertical="top" wrapText="1"/>
    </xf>
    <xf numFmtId="172" fontId="0" fillId="60" borderId="189" xfId="0" applyFill="1" applyBorder="1" applyAlignment="1">
      <alignment horizontal="left" vertical="top" wrapText="1"/>
    </xf>
    <xf numFmtId="172" fontId="0" fillId="60" borderId="190" xfId="0" applyFill="1" applyBorder="1" applyAlignment="1">
      <alignment horizontal="left" vertical="top" wrapText="1"/>
    </xf>
    <xf numFmtId="3" fontId="0" fillId="60" borderId="195" xfId="0" applyNumberFormat="1" applyFill="1" applyBorder="1" applyAlignment="1">
      <alignment horizontal="left" vertical="top" wrapText="1"/>
    </xf>
    <xf numFmtId="3" fontId="23" fillId="61" borderId="189" xfId="0" applyNumberFormat="1" applyFont="1" applyFill="1" applyBorder="1" applyAlignment="1">
      <alignment horizontal="left" vertical="top" wrapText="1"/>
    </xf>
    <xf numFmtId="3" fontId="0" fillId="0" borderId="189" xfId="0" applyNumberFormat="1" applyFill="1" applyBorder="1" applyAlignment="1">
      <alignment horizontal="left" vertical="top" wrapText="1"/>
    </xf>
    <xf numFmtId="3" fontId="23" fillId="0" borderId="189" xfId="0" applyNumberFormat="1" applyFont="1" applyBorder="1" applyAlignment="1">
      <alignment horizontal="left" vertical="top" wrapText="1"/>
    </xf>
    <xf numFmtId="3" fontId="23" fillId="0" borderId="190" xfId="0" applyNumberFormat="1" applyFont="1" applyBorder="1" applyAlignment="1">
      <alignment horizontal="left" vertical="top" wrapText="1"/>
    </xf>
    <xf numFmtId="3" fontId="0" fillId="61" borderId="195" xfId="0" applyNumberFormat="1" applyFill="1" applyBorder="1" applyAlignment="1">
      <alignment horizontal="left" vertical="top" wrapText="1"/>
    </xf>
    <xf numFmtId="3" fontId="0" fillId="0" borderId="189" xfId="0" applyNumberFormat="1" applyBorder="1" applyAlignment="1">
      <alignment horizontal="left" vertical="top" wrapText="1"/>
    </xf>
    <xf numFmtId="3" fontId="0" fillId="0" borderId="190" xfId="0" applyNumberFormat="1" applyFill="1" applyBorder="1" applyAlignment="1">
      <alignment horizontal="left" vertical="top" wrapText="1"/>
    </xf>
    <xf numFmtId="3" fontId="120" fillId="0" borderId="188" xfId="0" applyNumberFormat="1" applyFont="1" applyBorder="1" applyAlignment="1">
      <alignment horizontal="left" vertical="top"/>
    </xf>
    <xf numFmtId="3" fontId="23" fillId="0" borderId="190" xfId="0" applyNumberFormat="1" applyFont="1" applyFill="1" applyBorder="1" applyAlignment="1">
      <alignment horizontal="left" vertical="top" wrapText="1"/>
    </xf>
    <xf numFmtId="3" fontId="23" fillId="62" borderId="8" xfId="0" applyNumberFormat="1" applyFont="1" applyFill="1" applyBorder="1" applyAlignment="1">
      <alignment horizontal="left" vertical="top" wrapText="1"/>
    </xf>
    <xf numFmtId="3" fontId="0" fillId="0" borderId="189" xfId="0" applyNumberFormat="1" applyBorder="1"/>
    <xf numFmtId="3" fontId="22" fillId="0" borderId="10" xfId="0" applyNumberFormat="1" applyFont="1" applyBorder="1" applyAlignment="1">
      <alignment horizontal="left" vertical="top"/>
    </xf>
    <xf numFmtId="3" fontId="121" fillId="0" borderId="27" xfId="0" applyNumberFormat="1" applyFont="1" applyBorder="1"/>
    <xf numFmtId="3" fontId="6" fillId="0" borderId="196" xfId="0" applyNumberFormat="1" applyFont="1" applyBorder="1"/>
    <xf numFmtId="3" fontId="6" fillId="0" borderId="183" xfId="0" applyNumberFormat="1" applyFont="1" applyBorder="1"/>
    <xf numFmtId="3" fontId="0" fillId="0" borderId="197" xfId="0" applyNumberFormat="1" applyBorder="1"/>
    <xf numFmtId="3" fontId="6" fillId="61" borderId="0" xfId="0" applyNumberFormat="1" applyFont="1" applyFill="1" applyAlignment="1">
      <alignment horizontal="left"/>
    </xf>
    <xf numFmtId="3" fontId="6" fillId="60" borderId="0" xfId="0" applyNumberFormat="1" applyFont="1" applyFill="1" applyAlignment="1">
      <alignment horizontal="left"/>
    </xf>
    <xf numFmtId="3" fontId="6" fillId="62" borderId="0" xfId="0" applyNumberFormat="1" applyFont="1" applyFill="1" applyAlignment="1">
      <alignment horizontal="left"/>
    </xf>
    <xf numFmtId="3" fontId="121" fillId="0" borderId="0" xfId="0" applyNumberFormat="1" applyFont="1" applyAlignment="1">
      <alignment vertical="top"/>
    </xf>
    <xf numFmtId="3" fontId="0" fillId="61" borderId="0" xfId="0" applyNumberFormat="1" applyFont="1" applyFill="1" applyAlignment="1">
      <alignment horizontal="left" vertical="top" wrapText="1"/>
    </xf>
    <xf numFmtId="3" fontId="122" fillId="60" borderId="0" xfId="0" applyNumberFormat="1" applyFont="1" applyFill="1" applyAlignment="1">
      <alignment horizontal="left" vertical="top" wrapText="1"/>
    </xf>
    <xf numFmtId="3" fontId="0" fillId="62" borderId="0" xfId="0" applyNumberFormat="1" applyFill="1" applyAlignment="1">
      <alignment vertical="top"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57" fillId="12" borderId="72" xfId="0" applyNumberFormat="1" applyFont="1" applyFill="1" applyBorder="1" applyAlignment="1">
      <alignment horizontal="center" vertical="center" wrapText="1"/>
    </xf>
    <xf numFmtId="1" fontId="57" fillId="12" borderId="76" xfId="0" applyNumberFormat="1" applyFont="1" applyFill="1" applyBorder="1" applyAlignment="1">
      <alignment horizontal="center" vertical="center" wrapText="1"/>
    </xf>
    <xf numFmtId="1" fontId="28" fillId="0" borderId="0" xfId="0" applyNumberFormat="1" applyFont="1" applyBorder="1" applyAlignment="1">
      <alignment horizontal="justify"/>
    </xf>
    <xf numFmtId="1" fontId="57" fillId="12" borderId="36"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0" fontId="38" fillId="12" borderId="38" xfId="0" applyNumberFormat="1" applyFont="1" applyFill="1" applyBorder="1" applyAlignment="1" applyProtection="1">
      <alignment horizontal="center" vertical="center" wrapText="1"/>
    </xf>
    <xf numFmtId="2" fontId="42" fillId="21" borderId="34" xfId="0" applyNumberFormat="1" applyFont="1" applyFill="1" applyBorder="1" applyAlignment="1" applyProtection="1">
      <alignment horizontal="center" vertical="center"/>
    </xf>
    <xf numFmtId="2" fontId="42" fillId="21" borderId="33" xfId="0" applyNumberFormat="1" applyFont="1" applyFill="1" applyBorder="1" applyAlignment="1" applyProtection="1">
      <alignment horizontal="center" vertical="center"/>
    </xf>
    <xf numFmtId="3" fontId="42" fillId="0" borderId="183" xfId="0" applyNumberFormat="1" applyFont="1" applyFill="1" applyBorder="1" applyAlignment="1" applyProtection="1">
      <alignment horizontal="right" vertical="center"/>
    </xf>
    <xf numFmtId="3" fontId="31" fillId="0" borderId="183" xfId="0" applyNumberFormat="1" applyFont="1" applyFill="1" applyBorder="1" applyAlignment="1" applyProtection="1">
      <alignment horizontal="right" vertical="center" wrapText="1"/>
    </xf>
    <xf numFmtId="3" fontId="38" fillId="3" borderId="186" xfId="0" applyNumberFormat="1" applyFont="1" applyFill="1" applyBorder="1" applyAlignment="1" applyProtection="1">
      <alignment horizontal="right" vertical="center"/>
    </xf>
    <xf numFmtId="3" fontId="42" fillId="0" borderId="198" xfId="0" applyNumberFormat="1" applyFont="1" applyFill="1" applyBorder="1" applyAlignment="1" applyProtection="1">
      <alignment horizontal="right" vertical="center"/>
    </xf>
    <xf numFmtId="3" fontId="38" fillId="19" borderId="26" xfId="0" applyNumberFormat="1" applyFont="1" applyFill="1" applyBorder="1" applyAlignment="1" applyProtection="1">
      <alignment horizontal="right" vertical="center"/>
    </xf>
    <xf numFmtId="172" fontId="6" fillId="17" borderId="183" xfId="0" applyFont="1" applyFill="1" applyBorder="1" applyProtection="1"/>
    <xf numFmtId="174" fontId="0" fillId="17" borderId="183" xfId="0" applyNumberFormat="1" applyFill="1" applyBorder="1" applyAlignment="1" applyProtection="1">
      <alignment horizontal="center"/>
    </xf>
    <xf numFmtId="3" fontId="42" fillId="0" borderId="33" xfId="0" applyNumberFormat="1" applyFont="1" applyFill="1" applyBorder="1" applyAlignment="1" applyProtection="1">
      <alignment horizontal="right" vertical="center"/>
    </xf>
    <xf numFmtId="3" fontId="42" fillId="0" borderId="12" xfId="0" applyNumberFormat="1" applyFont="1" applyFill="1" applyBorder="1" applyAlignment="1" applyProtection="1">
      <alignment horizontal="right" vertical="center"/>
    </xf>
    <xf numFmtId="1" fontId="60" fillId="0" borderId="21" xfId="0" applyNumberFormat="1" applyFont="1" applyFill="1" applyBorder="1" applyAlignment="1">
      <alignment vertical="center"/>
    </xf>
    <xf numFmtId="1" fontId="60" fillId="0" borderId="199" xfId="0" applyNumberFormat="1" applyFont="1" applyFill="1" applyBorder="1" applyAlignment="1">
      <alignment vertical="center"/>
    </xf>
    <xf numFmtId="1" fontId="60" fillId="0" borderId="8" xfId="0" applyNumberFormat="1" applyFont="1" applyFill="1" applyBorder="1" applyAlignment="1" applyProtection="1">
      <alignment horizontal="center" vertical="center"/>
      <protection locked="0"/>
    </xf>
    <xf numFmtId="1" fontId="60" fillId="0" borderId="0" xfId="0" applyNumberFormat="1" applyFont="1" applyFill="1" applyBorder="1" applyAlignment="1" applyProtection="1">
      <alignment horizontal="center" vertical="center"/>
      <protection locked="0"/>
    </xf>
    <xf numFmtId="1" fontId="57" fillId="18" borderId="152"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80" xfId="0" applyNumberFormat="1" applyFont="1" applyFill="1" applyBorder="1" applyAlignment="1"/>
    <xf numFmtId="1" fontId="60" fillId="0" borderId="31" xfId="0" applyNumberFormat="1" applyFont="1" applyFill="1" applyBorder="1" applyAlignment="1" applyProtection="1">
      <alignment horizontal="center" vertical="center"/>
      <protection locked="0"/>
    </xf>
    <xf numFmtId="1" fontId="60" fillId="0" borderId="187" xfId="0" applyNumberFormat="1" applyFont="1" applyFill="1" applyBorder="1" applyAlignment="1" applyProtection="1">
      <alignment horizontal="center" vertical="center"/>
      <protection locked="0"/>
    </xf>
    <xf numFmtId="1" fontId="60" fillId="0" borderId="186" xfId="0" applyNumberFormat="1" applyFont="1" applyFill="1" applyBorder="1" applyAlignment="1" applyProtection="1">
      <alignment horizontal="center" vertical="center"/>
      <protection locked="0"/>
    </xf>
    <xf numFmtId="171" fontId="60" fillId="19" borderId="55" xfId="0" applyNumberFormat="1" applyFont="1" applyFill="1" applyBorder="1" applyAlignment="1" applyProtection="1">
      <alignment horizontal="center" vertical="center"/>
      <protection locked="0"/>
    </xf>
    <xf numFmtId="1" fontId="57" fillId="12" borderId="45" xfId="0" applyNumberFormat="1" applyFont="1" applyFill="1" applyBorder="1" applyAlignment="1">
      <alignment vertical="center" wrapText="1"/>
    </xf>
    <xf numFmtId="1" fontId="57" fillId="12" borderId="34" xfId="0" applyNumberFormat="1" applyFont="1" applyFill="1" applyBorder="1" applyAlignment="1">
      <alignment vertical="center" wrapText="1"/>
    </xf>
    <xf numFmtId="1" fontId="57" fillId="12" borderId="64" xfId="0" applyNumberFormat="1" applyFont="1" applyFill="1" applyBorder="1" applyAlignment="1">
      <alignment horizontal="center" vertical="center" wrapText="1"/>
    </xf>
    <xf numFmtId="1" fontId="57" fillId="12" borderId="9" xfId="0" applyNumberFormat="1" applyFont="1" applyFill="1" applyBorder="1" applyAlignment="1">
      <alignment horizontal="center" vertical="center" wrapText="1"/>
    </xf>
    <xf numFmtId="1" fontId="57" fillId="12" borderId="101" xfId="0" applyNumberFormat="1" applyFont="1" applyFill="1" applyBorder="1" applyAlignment="1">
      <alignment horizontal="center" vertical="center" wrapText="1"/>
    </xf>
    <xf numFmtId="1" fontId="57" fillId="12" borderId="41" xfId="0" applyNumberFormat="1" applyFont="1" applyFill="1" applyBorder="1" applyAlignment="1">
      <alignment vertical="center" wrapText="1"/>
    </xf>
    <xf numFmtId="1" fontId="9" fillId="17" borderId="173"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17" borderId="200" xfId="0" applyNumberFormat="1" applyFont="1" applyFill="1" applyBorder="1" applyAlignment="1">
      <alignment horizontal="center" vertical="center"/>
    </xf>
    <xf numFmtId="1" fontId="60" fillId="0" borderId="200" xfId="0" applyNumberFormat="1" applyFont="1" applyFill="1" applyBorder="1" applyAlignment="1" applyProtection="1">
      <alignment horizontal="center" vertical="center"/>
      <protection locked="0"/>
    </xf>
    <xf numFmtId="1" fontId="60" fillId="0" borderId="13" xfId="0" applyNumberFormat="1" applyFont="1" applyFill="1" applyBorder="1" applyAlignment="1" applyProtection="1">
      <alignment horizontal="center" vertical="center"/>
      <protection locked="0"/>
    </xf>
    <xf numFmtId="1" fontId="60" fillId="0" borderId="88" xfId="0" applyNumberFormat="1" applyFont="1" applyFill="1" applyBorder="1" applyAlignment="1" applyProtection="1">
      <alignment horizontal="center" vertical="center"/>
      <protection locked="0"/>
    </xf>
    <xf numFmtId="1" fontId="9" fillId="21" borderId="99" xfId="0" applyNumberFormat="1" applyFont="1" applyFill="1" applyBorder="1" applyAlignment="1">
      <alignment horizontal="center" vertical="center"/>
    </xf>
    <xf numFmtId="3" fontId="38" fillId="12" borderId="183" xfId="0" applyNumberFormat="1" applyFont="1" applyFill="1" applyBorder="1" applyAlignment="1">
      <alignment horizontal="center" vertical="center" wrapText="1"/>
    </xf>
    <xf numFmtId="3" fontId="0" fillId="0" borderId="187" xfId="0" applyNumberFormat="1" applyBorder="1"/>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37" xfId="0" applyNumberFormat="1" applyFont="1" applyFill="1" applyBorder="1" applyAlignment="1" applyProtection="1">
      <alignment horizontal="center" vertical="center" wrapText="1"/>
    </xf>
    <xf numFmtId="3" fontId="0" fillId="0" borderId="203" xfId="0" applyNumberFormat="1" applyBorder="1"/>
    <xf numFmtId="3" fontId="0" fillId="0" borderId="204" xfId="0" applyNumberFormat="1" applyBorder="1"/>
    <xf numFmtId="3" fontId="23" fillId="61" borderId="13" xfId="0" applyNumberFormat="1" applyFont="1" applyFill="1" applyBorder="1" applyAlignment="1">
      <alignment horizontal="left" vertical="top" wrapText="1"/>
    </xf>
    <xf numFmtId="1" fontId="44" fillId="12" borderId="183" xfId="0" applyNumberFormat="1" applyFont="1" applyFill="1" applyBorder="1" applyAlignment="1">
      <alignment horizontal="center" vertical="center" wrapText="1"/>
    </xf>
    <xf numFmtId="1" fontId="124" fillId="0" borderId="183" xfId="0" applyNumberFormat="1" applyFont="1" applyFill="1" applyBorder="1" applyAlignment="1">
      <alignment horizontal="left"/>
    </xf>
    <xf numFmtId="1" fontId="125" fillId="0" borderId="183" xfId="0" applyNumberFormat="1" applyFont="1" applyFill="1" applyBorder="1" applyAlignment="1">
      <alignment horizontal="center"/>
    </xf>
    <xf numFmtId="1" fontId="23" fillId="0" borderId="183" xfId="0" applyNumberFormat="1" applyFont="1" applyFill="1" applyBorder="1" applyAlignment="1" applyProtection="1">
      <alignment horizontal="center" vertical="center"/>
      <protection locked="0"/>
    </xf>
    <xf numFmtId="1" fontId="44" fillId="0" borderId="183" xfId="0" applyNumberFormat="1" applyFont="1" applyFill="1" applyBorder="1" applyAlignment="1">
      <alignment horizontal="left"/>
    </xf>
    <xf numFmtId="1" fontId="44" fillId="0" borderId="183" xfId="0" applyNumberFormat="1" applyFont="1" applyFill="1" applyBorder="1" applyAlignment="1" applyProtection="1">
      <alignment horizontal="left" wrapText="1"/>
      <protection locked="0"/>
    </xf>
    <xf numFmtId="1" fontId="44" fillId="0" borderId="183" xfId="0" applyNumberFormat="1" applyFont="1" applyFill="1" applyBorder="1" applyAlignment="1" applyProtection="1">
      <alignment horizontal="center" vertical="center"/>
      <protection locked="0"/>
    </xf>
    <xf numFmtId="172" fontId="0" fillId="0" borderId="0" xfId="0" applyFont="1"/>
    <xf numFmtId="1" fontId="124" fillId="0" borderId="183" xfId="0" applyNumberFormat="1" applyFont="1" applyBorder="1" applyAlignment="1">
      <alignment horizontal="left" vertical="center"/>
    </xf>
    <xf numFmtId="1" fontId="23" fillId="0" borderId="183" xfId="0" applyNumberFormat="1" applyFont="1" applyBorder="1" applyAlignment="1" applyProtection="1">
      <alignment horizontal="center" vertical="center"/>
      <protection locked="0"/>
    </xf>
    <xf numFmtId="1" fontId="44" fillId="0" borderId="183" xfId="0" applyNumberFormat="1" applyFont="1" applyBorder="1" applyAlignment="1">
      <alignment horizontal="left" vertical="center"/>
    </xf>
    <xf numFmtId="1" fontId="44" fillId="0" borderId="183" xfId="0" applyNumberFormat="1" applyFont="1" applyFill="1" applyBorder="1" applyAlignment="1">
      <alignment horizontal="left" vertical="center"/>
    </xf>
    <xf numFmtId="1" fontId="124" fillId="0" borderId="183" xfId="0" applyNumberFormat="1" applyFont="1" applyFill="1" applyBorder="1" applyAlignment="1">
      <alignment horizontal="left" vertical="top"/>
    </xf>
    <xf numFmtId="1" fontId="125" fillId="15" borderId="183" xfId="0" applyNumberFormat="1" applyFont="1" applyFill="1" applyBorder="1" applyAlignment="1">
      <alignment horizontal="left" vertical="top" wrapText="1"/>
    </xf>
    <xf numFmtId="1" fontId="125" fillId="0" borderId="183" xfId="0" applyNumberFormat="1" applyFont="1" applyFill="1" applyBorder="1" applyAlignment="1">
      <alignment horizontal="left" vertical="top"/>
    </xf>
    <xf numFmtId="1" fontId="23"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lignment horizontal="left" vertical="top"/>
    </xf>
    <xf numFmtId="1" fontId="23" fillId="15" borderId="183" xfId="0" applyNumberFormat="1" applyFont="1" applyFill="1" applyBorder="1" applyAlignment="1" applyProtection="1">
      <alignment horizontal="left" vertical="top"/>
      <protection locked="0"/>
    </xf>
    <xf numFmtId="1" fontId="44" fillId="0" borderId="183" xfId="0" applyNumberFormat="1" applyFont="1" applyFill="1" applyBorder="1" applyAlignment="1" applyProtection="1">
      <alignment horizontal="left" vertical="top" wrapText="1"/>
      <protection locked="0"/>
    </xf>
    <xf numFmtId="1" fontId="44" fillId="0" borderId="183"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3" fillId="15" borderId="183" xfId="0" applyNumberFormat="1" applyFont="1" applyFill="1" applyBorder="1" applyAlignment="1" applyProtection="1">
      <alignment horizontal="center" vertical="center"/>
      <protection locked="0"/>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4" fillId="12" borderId="86" xfId="0" applyNumberFormat="1" applyFont="1" applyFill="1" applyBorder="1" applyAlignment="1">
      <alignment horizontal="center" vertical="center" wrapText="1"/>
    </xf>
    <xf numFmtId="0" fontId="74" fillId="12" borderId="16" xfId="0" applyNumberFormat="1" applyFont="1" applyFill="1" applyBorder="1" applyAlignment="1">
      <alignment horizontal="center" vertical="center" wrapText="1"/>
    </xf>
    <xf numFmtId="3" fontId="52" fillId="0" borderId="0" xfId="0" applyNumberFormat="1" applyFont="1" applyAlignment="1">
      <alignment horizontal="justify" wrapText="1"/>
    </xf>
    <xf numFmtId="3" fontId="56" fillId="0" borderId="0" xfId="0" applyNumberFormat="1" applyFont="1" applyFill="1" applyBorder="1" applyAlignment="1">
      <alignment horizontal="left" vertical="center" wrapText="1"/>
    </xf>
    <xf numFmtId="3" fontId="52" fillId="12" borderId="102" xfId="0" applyNumberFormat="1" applyFont="1" applyFill="1" applyBorder="1" applyAlignment="1">
      <alignment horizontal="center" vertical="center" wrapText="1"/>
    </xf>
    <xf numFmtId="3" fontId="52" fillId="12" borderId="21" xfId="0" applyNumberFormat="1" applyFont="1" applyFill="1" applyBorder="1" applyAlignment="1">
      <alignment horizontal="center" vertical="center" wrapText="1"/>
    </xf>
    <xf numFmtId="3" fontId="52" fillId="12" borderId="167" xfId="0" applyNumberFormat="1" applyFont="1" applyFill="1" applyBorder="1" applyAlignment="1">
      <alignment horizontal="center" vertical="center" wrapText="1"/>
    </xf>
    <xf numFmtId="3" fontId="52" fillId="12" borderId="104" xfId="0" applyNumberFormat="1" applyFont="1" applyFill="1" applyBorder="1" applyAlignment="1">
      <alignment horizontal="center" vertical="top" wrapText="1"/>
    </xf>
    <xf numFmtId="3" fontId="52" fillId="12" borderId="105" xfId="0" applyNumberFormat="1" applyFont="1" applyFill="1" applyBorder="1" applyAlignment="1">
      <alignment horizontal="center" vertical="top" wrapText="1"/>
    </xf>
    <xf numFmtId="3" fontId="52" fillId="12" borderId="75" xfId="0" applyNumberFormat="1" applyFont="1" applyFill="1" applyBorder="1" applyAlignment="1">
      <alignment horizontal="center" vertical="top" wrapText="1"/>
    </xf>
    <xf numFmtId="3" fontId="57" fillId="12" borderId="32" xfId="0" applyNumberFormat="1" applyFont="1" applyFill="1" applyBorder="1" applyAlignment="1">
      <alignment horizontal="center" vertical="center" wrapText="1"/>
    </xf>
    <xf numFmtId="3" fontId="57" fillId="12" borderId="36" xfId="0" applyNumberFormat="1" applyFont="1" applyFill="1" applyBorder="1" applyAlignment="1">
      <alignment horizontal="center" vertical="center" wrapText="1"/>
    </xf>
    <xf numFmtId="3" fontId="57" fillId="12" borderId="152" xfId="0" applyNumberFormat="1" applyFont="1" applyFill="1" applyBorder="1" applyAlignment="1">
      <alignment horizontal="center" vertical="center" wrapText="1"/>
    </xf>
    <xf numFmtId="3" fontId="57" fillId="12" borderId="37" xfId="0" applyNumberFormat="1" applyFont="1" applyFill="1" applyBorder="1" applyAlignment="1">
      <alignment horizontal="center" vertical="center" wrapText="1"/>
    </xf>
    <xf numFmtId="3" fontId="57" fillId="12" borderId="10" xfId="0" applyNumberFormat="1" applyFont="1" applyFill="1" applyBorder="1" applyAlignment="1">
      <alignment horizontal="center" vertical="center" wrapText="1"/>
    </xf>
    <xf numFmtId="3" fontId="57" fillId="12" borderId="12" xfId="0" applyNumberFormat="1" applyFont="1" applyFill="1" applyBorder="1" applyAlignment="1">
      <alignment horizontal="center" vertical="center" wrapText="1"/>
    </xf>
    <xf numFmtId="3" fontId="57" fillId="12" borderId="11" xfId="0" applyNumberFormat="1" applyFont="1" applyFill="1" applyBorder="1" applyAlignment="1">
      <alignment horizontal="center" vertical="center" wrapText="1"/>
    </xf>
    <xf numFmtId="3" fontId="57" fillId="12" borderId="156" xfId="0" applyNumberFormat="1" applyFont="1" applyFill="1" applyBorder="1" applyAlignment="1">
      <alignment horizontal="center" vertical="center" wrapText="1"/>
    </xf>
    <xf numFmtId="3" fontId="57" fillId="12" borderId="157" xfId="0" applyNumberFormat="1" applyFont="1" applyFill="1" applyBorder="1" applyAlignment="1">
      <alignment horizontal="center" vertical="center" wrapText="1"/>
    </xf>
    <xf numFmtId="1" fontId="60" fillId="21" borderId="65" xfId="0" applyNumberFormat="1" applyFont="1" applyFill="1" applyBorder="1" applyAlignment="1">
      <alignment horizontal="center" vertical="center"/>
    </xf>
    <xf numFmtId="1" fontId="60" fillId="21" borderId="186" xfId="0" applyNumberFormat="1" applyFont="1" applyFill="1" applyBorder="1" applyAlignment="1">
      <alignment horizontal="center" vertical="center"/>
    </xf>
    <xf numFmtId="1" fontId="60" fillId="21" borderId="66" xfId="0" applyNumberFormat="1" applyFont="1" applyFill="1" applyBorder="1" applyAlignment="1">
      <alignment horizontal="center" vertical="center"/>
    </xf>
    <xf numFmtId="1" fontId="60" fillId="21" borderId="0" xfId="0" applyNumberFormat="1" applyFont="1" applyFill="1" applyBorder="1" applyAlignment="1">
      <alignment horizontal="center" vertical="center"/>
    </xf>
    <xf numFmtId="3" fontId="59" fillId="18" borderId="43" xfId="0" applyNumberFormat="1" applyFont="1" applyFill="1" applyBorder="1" applyAlignment="1">
      <alignment horizontal="center" vertical="center"/>
    </xf>
    <xf numFmtId="1" fontId="60" fillId="18" borderId="52" xfId="0" applyNumberFormat="1" applyFont="1" applyFill="1" applyBorder="1" applyAlignment="1">
      <alignment horizontal="center" vertical="center"/>
    </xf>
    <xf numFmtId="1" fontId="28" fillId="0" borderId="0" xfId="0" applyNumberFormat="1" applyFont="1" applyBorder="1" applyAlignment="1">
      <alignment horizontal="justify"/>
    </xf>
    <xf numFmtId="1" fontId="56" fillId="0" borderId="0" xfId="0" applyNumberFormat="1" applyFont="1" applyFill="1" applyBorder="1" applyAlignment="1">
      <alignment horizontal="left" vertical="center" wrapText="1"/>
    </xf>
    <xf numFmtId="1" fontId="52" fillId="12" borderId="29" xfId="0" applyNumberFormat="1" applyFont="1" applyFill="1" applyBorder="1" applyAlignment="1">
      <alignment horizontal="center" vertical="center" wrapText="1"/>
    </xf>
    <xf numFmtId="1" fontId="52" fillId="12" borderId="66" xfId="0" applyNumberFormat="1" applyFont="1" applyFill="1" applyBorder="1" applyAlignment="1">
      <alignment horizontal="center" vertical="center" wrapText="1"/>
    </xf>
    <xf numFmtId="1" fontId="52" fillId="12" borderId="25" xfId="0" applyNumberFormat="1" applyFont="1" applyFill="1" applyBorder="1" applyAlignment="1">
      <alignment horizontal="center" vertical="top" wrapText="1"/>
    </xf>
    <xf numFmtId="1" fontId="52" fillId="12" borderId="26" xfId="0" applyNumberFormat="1" applyFont="1" applyFill="1" applyBorder="1" applyAlignment="1">
      <alignment horizontal="center" vertical="top" wrapText="1"/>
    </xf>
    <xf numFmtId="1" fontId="52" fillId="12" borderId="30" xfId="0" applyNumberFormat="1" applyFont="1" applyFill="1" applyBorder="1" applyAlignment="1">
      <alignment horizontal="center" vertical="top" wrapText="1"/>
    </xf>
    <xf numFmtId="1" fontId="57" fillId="12" borderId="32" xfId="0" applyNumberFormat="1" applyFont="1" applyFill="1" applyBorder="1" applyAlignment="1">
      <alignment horizontal="center" vertical="center" wrapText="1"/>
    </xf>
    <xf numFmtId="1" fontId="57" fillId="12" borderId="36" xfId="0" applyNumberFormat="1" applyFont="1" applyFill="1" applyBorder="1" applyAlignment="1">
      <alignment horizontal="center" vertical="center" wrapText="1"/>
    </xf>
    <xf numFmtId="1" fontId="57" fillId="12" borderId="152" xfId="0" applyNumberFormat="1" applyFont="1" applyFill="1" applyBorder="1" applyAlignment="1">
      <alignment horizontal="center" vertical="center" wrapText="1"/>
    </xf>
    <xf numFmtId="1" fontId="57" fillId="12" borderId="37" xfId="0" applyNumberFormat="1" applyFont="1" applyFill="1" applyBorder="1" applyAlignment="1">
      <alignment horizontal="center" vertical="center" wrapText="1"/>
    </xf>
    <xf numFmtId="1" fontId="57" fillId="12" borderId="10" xfId="0" applyNumberFormat="1" applyFont="1" applyFill="1" applyBorder="1" applyAlignment="1">
      <alignment horizontal="center" vertical="center" wrapText="1"/>
    </xf>
    <xf numFmtId="1" fontId="57" fillId="12" borderId="12" xfId="0" applyNumberFormat="1" applyFont="1" applyFill="1" applyBorder="1" applyAlignment="1">
      <alignment horizontal="center" vertical="center" wrapText="1"/>
    </xf>
    <xf numFmtId="1" fontId="57" fillId="12" borderId="11" xfId="0" applyNumberFormat="1" applyFont="1" applyFill="1" applyBorder="1" applyAlignment="1">
      <alignment horizontal="center" vertical="center" wrapText="1"/>
    </xf>
    <xf numFmtId="1" fontId="57" fillId="12" borderId="42" xfId="0" applyNumberFormat="1" applyFont="1" applyFill="1" applyBorder="1" applyAlignment="1">
      <alignment horizontal="center" vertical="center" wrapText="1"/>
    </xf>
    <xf numFmtId="1" fontId="57" fillId="12" borderId="35" xfId="0" applyNumberFormat="1" applyFont="1" applyFill="1" applyBorder="1" applyAlignment="1">
      <alignment horizontal="center" vertical="center" wrapText="1"/>
    </xf>
    <xf numFmtId="1" fontId="57" fillId="12" borderId="31" xfId="0" applyNumberFormat="1" applyFont="1" applyFill="1" applyBorder="1" applyAlignment="1">
      <alignment horizontal="center" vertical="center" wrapText="1"/>
    </xf>
    <xf numFmtId="1" fontId="57" fillId="12" borderId="29" xfId="0" applyNumberFormat="1" applyFont="1" applyFill="1" applyBorder="1" applyAlignment="1">
      <alignment horizontal="center" vertical="center" wrapText="1"/>
    </xf>
    <xf numFmtId="1" fontId="57" fillId="12" borderId="45" xfId="0" applyNumberFormat="1" applyFont="1" applyFill="1" applyBorder="1" applyAlignment="1">
      <alignment horizontal="center" vertical="center" wrapText="1"/>
    </xf>
    <xf numFmtId="1" fontId="57" fillId="12" borderId="72" xfId="0" applyNumberFormat="1" applyFont="1" applyFill="1" applyBorder="1" applyAlignment="1">
      <alignment horizontal="center" vertical="center" wrapText="1"/>
    </xf>
    <xf numFmtId="1" fontId="57" fillId="12" borderId="41" xfId="0" applyNumberFormat="1" applyFont="1" applyFill="1" applyBorder="1" applyAlignment="1">
      <alignment horizontal="center" vertical="center" wrapText="1"/>
    </xf>
    <xf numFmtId="1" fontId="52" fillId="12" borderId="69" xfId="0" applyNumberFormat="1" applyFont="1" applyFill="1" applyBorder="1" applyAlignment="1">
      <alignment horizontal="center" vertical="center"/>
    </xf>
    <xf numFmtId="1" fontId="52" fillId="12" borderId="70" xfId="0" applyNumberFormat="1" applyFont="1" applyFill="1" applyBorder="1" applyAlignment="1">
      <alignment horizontal="center" vertical="center"/>
    </xf>
    <xf numFmtId="1" fontId="52" fillId="12" borderId="71" xfId="0" applyNumberFormat="1" applyFont="1" applyFill="1" applyBorder="1" applyAlignment="1">
      <alignment horizontal="center" vertical="center"/>
    </xf>
    <xf numFmtId="1" fontId="57" fillId="12" borderId="25" xfId="0" applyNumberFormat="1" applyFont="1" applyFill="1" applyBorder="1" applyAlignment="1">
      <alignment horizontal="center" vertical="center" wrapText="1"/>
    </xf>
    <xf numFmtId="1" fontId="57" fillId="12" borderId="30" xfId="0" applyNumberFormat="1" applyFont="1" applyFill="1" applyBorder="1" applyAlignment="1">
      <alignment horizontal="center" vertical="center" wrapText="1"/>
    </xf>
    <xf numFmtId="1" fontId="60" fillId="12" borderId="48" xfId="0" applyNumberFormat="1" applyFont="1" applyFill="1" applyBorder="1" applyAlignment="1">
      <alignment horizontal="center" vertical="center" wrapText="1"/>
    </xf>
    <xf numFmtId="1" fontId="60" fillId="12" borderId="61" xfId="0" applyNumberFormat="1" applyFont="1" applyFill="1" applyBorder="1" applyAlignment="1">
      <alignment horizontal="center" vertical="center" wrapText="1"/>
    </xf>
    <xf numFmtId="1" fontId="60" fillId="12" borderId="18" xfId="0" applyNumberFormat="1" applyFont="1" applyFill="1" applyBorder="1" applyAlignment="1">
      <alignment horizontal="center" vertical="center" wrapText="1"/>
    </xf>
    <xf numFmtId="1" fontId="9" fillId="21" borderId="56" xfId="0" applyNumberFormat="1" applyFont="1" applyFill="1" applyBorder="1" applyAlignment="1">
      <alignment horizontal="center" vertical="center"/>
    </xf>
    <xf numFmtId="1" fontId="9" fillId="21" borderId="0" xfId="0" applyNumberFormat="1" applyFont="1" applyFill="1" applyBorder="1" applyAlignment="1">
      <alignment horizontal="center" vertical="center"/>
    </xf>
    <xf numFmtId="1" fontId="9" fillId="21" borderId="61" xfId="0" applyNumberFormat="1" applyFont="1" applyFill="1" applyBorder="1" applyAlignment="1">
      <alignment horizontal="center" vertical="center"/>
    </xf>
    <xf numFmtId="1" fontId="9" fillId="21" borderId="45" xfId="0" applyNumberFormat="1" applyFont="1" applyFill="1" applyBorder="1" applyAlignment="1">
      <alignment horizontal="center" vertical="center"/>
    </xf>
    <xf numFmtId="1" fontId="9" fillId="21" borderId="34" xfId="0" applyNumberFormat="1" applyFont="1" applyFill="1" applyBorder="1" applyAlignment="1">
      <alignment horizontal="center" vertical="center"/>
    </xf>
    <xf numFmtId="1" fontId="9" fillId="21" borderId="199" xfId="0" applyNumberFormat="1" applyFont="1" applyFill="1" applyBorder="1" applyAlignment="1">
      <alignment horizontal="center" vertical="center"/>
    </xf>
    <xf numFmtId="1" fontId="57" fillId="12" borderId="56" xfId="0" applyNumberFormat="1" applyFont="1" applyFill="1" applyBorder="1" applyAlignment="1">
      <alignment horizontal="center" vertical="center" wrapText="1"/>
    </xf>
    <xf numFmtId="1" fontId="57" fillId="12" borderId="66" xfId="0" applyNumberFormat="1" applyFont="1" applyFill="1" applyBorder="1" applyAlignment="1">
      <alignment horizontal="center" vertical="center" wrapText="1"/>
    </xf>
    <xf numFmtId="1" fontId="57" fillId="12" borderId="34" xfId="0" applyNumberFormat="1" applyFont="1" applyFill="1" applyBorder="1" applyAlignment="1">
      <alignment horizontal="center" vertical="center" wrapText="1"/>
    </xf>
    <xf numFmtId="1" fontId="52" fillId="12" borderId="19" xfId="0" applyNumberFormat="1" applyFont="1" applyFill="1" applyBorder="1" applyAlignment="1">
      <alignment horizontal="center" vertical="center"/>
    </xf>
    <xf numFmtId="1" fontId="52" fillId="12" borderId="86" xfId="0" applyNumberFormat="1" applyFont="1" applyFill="1" applyBorder="1" applyAlignment="1">
      <alignment horizontal="center" vertical="center"/>
    </xf>
    <xf numFmtId="1" fontId="52" fillId="12" borderId="16" xfId="0" applyNumberFormat="1" applyFont="1" applyFill="1" applyBorder="1" applyAlignment="1">
      <alignment horizontal="center" vertical="center"/>
    </xf>
    <xf numFmtId="1" fontId="57" fillId="21" borderId="52" xfId="0" applyNumberFormat="1" applyFont="1" applyFill="1" applyBorder="1" applyAlignment="1">
      <alignment horizontal="center" vertical="center" wrapText="1"/>
    </xf>
    <xf numFmtId="1" fontId="57" fillId="21" borderId="0" xfId="0" applyNumberFormat="1" applyFont="1" applyFill="1" applyBorder="1" applyAlignment="1">
      <alignment horizontal="center" vertical="center" wrapText="1"/>
    </xf>
    <xf numFmtId="1" fontId="57" fillId="21" borderId="61" xfId="0" applyNumberFormat="1" applyFont="1" applyFill="1" applyBorder="1" applyAlignment="1">
      <alignment horizontal="center" vertical="center" wrapText="1"/>
    </xf>
    <xf numFmtId="1" fontId="9" fillId="21" borderId="101" xfId="0" applyNumberFormat="1" applyFont="1" applyFill="1" applyBorder="1" applyAlignment="1">
      <alignment horizontal="center" vertical="center"/>
    </xf>
    <xf numFmtId="1" fontId="9" fillId="21" borderId="80" xfId="0" applyNumberFormat="1" applyFont="1" applyFill="1" applyBorder="1" applyAlignment="1">
      <alignment horizontal="center" vertical="center"/>
    </xf>
    <xf numFmtId="1" fontId="9" fillId="21" borderId="18" xfId="0" applyNumberFormat="1" applyFont="1" applyFill="1" applyBorder="1" applyAlignment="1">
      <alignment horizontal="center" vertical="center"/>
    </xf>
    <xf numFmtId="1" fontId="9" fillId="21" borderId="79" xfId="0" applyNumberFormat="1" applyFont="1" applyFill="1" applyBorder="1" applyAlignment="1">
      <alignment horizontal="center" vertical="center"/>
    </xf>
    <xf numFmtId="1" fontId="9" fillId="21" borderId="21" xfId="0" applyNumberFormat="1" applyFont="1" applyFill="1" applyBorder="1" applyAlignment="1">
      <alignment horizontal="center" vertical="center"/>
    </xf>
    <xf numFmtId="1" fontId="9" fillId="21" borderId="103" xfId="0" applyNumberFormat="1" applyFont="1" applyFill="1" applyBorder="1" applyAlignment="1">
      <alignment horizontal="center" vertical="center"/>
    </xf>
    <xf numFmtId="1" fontId="9" fillId="21" borderId="102" xfId="0" applyNumberFormat="1" applyFont="1" applyFill="1" applyBorder="1" applyAlignment="1">
      <alignment horizontal="center" vertical="center"/>
    </xf>
    <xf numFmtId="1" fontId="9" fillId="21" borderId="52" xfId="0" applyNumberFormat="1" applyFont="1" applyFill="1" applyBorder="1" applyAlignment="1">
      <alignment horizontal="center" vertical="center"/>
    </xf>
    <xf numFmtId="1" fontId="9" fillId="21" borderId="42" xfId="0" applyNumberFormat="1" applyFont="1" applyFill="1" applyBorder="1" applyAlignment="1">
      <alignment horizontal="center" vertical="center"/>
    </xf>
    <xf numFmtId="1" fontId="9" fillId="21" borderId="31" xfId="0" applyNumberFormat="1" applyFont="1" applyFill="1" applyBorder="1" applyAlignment="1">
      <alignment horizontal="center" vertical="center"/>
    </xf>
    <xf numFmtId="1" fontId="9" fillId="21" borderId="35" xfId="0" applyNumberFormat="1" applyFont="1" applyFill="1" applyBorder="1" applyAlignment="1">
      <alignment horizontal="center" vertical="center"/>
    </xf>
    <xf numFmtId="1" fontId="60" fillId="12" borderId="49" xfId="0" applyNumberFormat="1" applyFont="1" applyFill="1" applyBorder="1" applyAlignment="1">
      <alignment horizontal="center" vertical="center" wrapText="1"/>
    </xf>
    <xf numFmtId="1" fontId="60" fillId="12" borderId="86" xfId="0" applyNumberFormat="1" applyFont="1" applyFill="1" applyBorder="1" applyAlignment="1">
      <alignment horizontal="center" vertical="center" wrapText="1"/>
    </xf>
    <xf numFmtId="1" fontId="60" fillId="12" borderId="16" xfId="0" applyNumberFormat="1" applyFont="1" applyFill="1" applyBorder="1" applyAlignment="1">
      <alignment horizontal="center" vertical="center" wrapText="1"/>
    </xf>
    <xf numFmtId="1" fontId="57" fillId="12" borderId="201" xfId="0" applyNumberFormat="1" applyFont="1" applyFill="1" applyBorder="1" applyAlignment="1">
      <alignment horizontal="center" vertical="center" wrapText="1"/>
    </xf>
    <xf numFmtId="1" fontId="57" fillId="12" borderId="202" xfId="0" applyNumberFormat="1" applyFont="1" applyFill="1" applyBorder="1" applyAlignment="1">
      <alignment horizontal="center" vertical="center" wrapText="1"/>
    </xf>
    <xf numFmtId="1" fontId="57" fillId="12" borderId="38" xfId="0" applyNumberFormat="1" applyFont="1" applyFill="1" applyBorder="1" applyAlignment="1">
      <alignment horizontal="center" vertical="center" wrapText="1"/>
    </xf>
    <xf numFmtId="1" fontId="57" fillId="12" borderId="60" xfId="0" applyNumberFormat="1" applyFont="1" applyFill="1" applyBorder="1" applyAlignment="1">
      <alignment horizontal="center" vertical="center" wrapText="1"/>
    </xf>
    <xf numFmtId="1" fontId="57" fillId="12" borderId="59" xfId="0" applyNumberFormat="1" applyFont="1" applyFill="1" applyBorder="1" applyAlignment="1">
      <alignment horizontal="center" vertical="center" wrapText="1"/>
    </xf>
    <xf numFmtId="1" fontId="57" fillId="12" borderId="68" xfId="0" applyNumberFormat="1" applyFont="1" applyFill="1" applyBorder="1" applyAlignment="1">
      <alignment horizontal="center" vertical="center" wrapText="1"/>
    </xf>
    <xf numFmtId="1" fontId="57" fillId="12" borderId="63" xfId="0" applyNumberFormat="1" applyFont="1" applyFill="1" applyBorder="1" applyAlignment="1">
      <alignment horizontal="center" vertical="center" wrapText="1"/>
    </xf>
    <xf numFmtId="1" fontId="69" fillId="12" borderId="76" xfId="0" applyNumberFormat="1" applyFont="1" applyFill="1" applyBorder="1" applyAlignment="1">
      <alignment horizontal="center" vertical="center" wrapText="1"/>
    </xf>
    <xf numFmtId="3" fontId="37" fillId="12" borderId="183" xfId="0" applyNumberFormat="1" applyFont="1" applyFill="1" applyBorder="1" applyAlignment="1">
      <alignment horizontal="center" vertical="center" wrapText="1"/>
    </xf>
    <xf numFmtId="3" fontId="37" fillId="12" borderId="14" xfId="0" applyNumberFormat="1" applyFont="1" applyFill="1" applyBorder="1" applyAlignment="1">
      <alignment horizontal="center" vertical="top" wrapText="1"/>
    </xf>
    <xf numFmtId="3" fontId="37" fillId="12" borderId="28" xfId="0" applyNumberFormat="1" applyFont="1" applyFill="1" applyBorder="1" applyAlignment="1">
      <alignment horizontal="center" vertical="top" wrapText="1"/>
    </xf>
    <xf numFmtId="3" fontId="38" fillId="12" borderId="8" xfId="0" applyNumberFormat="1" applyFont="1" applyFill="1" applyBorder="1" applyAlignment="1">
      <alignment horizontal="center" vertical="center" wrapText="1"/>
    </xf>
    <xf numFmtId="3" fontId="38" fillId="12" borderId="11" xfId="0" applyNumberFormat="1" applyFont="1" applyFill="1" applyBorder="1" applyAlignment="1">
      <alignment horizontal="center" vertical="center" wrapText="1"/>
    </xf>
    <xf numFmtId="3" fontId="38" fillId="12" borderId="9" xfId="0" applyNumberFormat="1" applyFont="1" applyFill="1" applyBorder="1" applyAlignment="1">
      <alignment horizontal="center" vertical="center" wrapText="1"/>
    </xf>
    <xf numFmtId="3" fontId="38" fillId="12" borderId="13" xfId="0" applyNumberFormat="1" applyFont="1" applyFill="1" applyBorder="1" applyAlignment="1">
      <alignment horizontal="center" vertical="center" wrapText="1"/>
    </xf>
    <xf numFmtId="3" fontId="38" fillId="12" borderId="10" xfId="0" applyNumberFormat="1" applyFont="1" applyFill="1" applyBorder="1" applyAlignment="1">
      <alignment horizontal="center" vertical="center" wrapText="1"/>
    </xf>
    <xf numFmtId="3" fontId="38" fillId="12" borderId="12" xfId="0" applyNumberFormat="1" applyFont="1" applyFill="1" applyBorder="1" applyAlignment="1">
      <alignment horizontal="center" vertical="center" wrapText="1"/>
    </xf>
    <xf numFmtId="3" fontId="119" fillId="12" borderId="183" xfId="0" applyNumberFormat="1" applyFont="1" applyFill="1" applyBorder="1" applyAlignment="1">
      <alignment horizontal="center" vertical="center" wrapText="1"/>
    </xf>
    <xf numFmtId="3" fontId="119" fillId="12" borderId="14" xfId="0" applyNumberFormat="1" applyFont="1" applyFill="1" applyBorder="1" applyAlignment="1">
      <alignment horizontal="center" vertical="top" wrapText="1"/>
    </xf>
    <xf numFmtId="3" fontId="119" fillId="12" borderId="28" xfId="0" applyNumberFormat="1" applyFont="1" applyFill="1" applyBorder="1" applyAlignment="1">
      <alignment horizontal="center" vertical="top" wrapText="1"/>
    </xf>
    <xf numFmtId="3" fontId="119" fillId="12" borderId="8" xfId="0" applyNumberFormat="1" applyFont="1" applyFill="1" applyBorder="1" applyAlignment="1">
      <alignment horizontal="center" vertical="center" wrapText="1"/>
    </xf>
    <xf numFmtId="3" fontId="119" fillId="12" borderId="11" xfId="0" applyNumberFormat="1" applyFont="1" applyFill="1" applyBorder="1" applyAlignment="1">
      <alignment horizontal="center" vertical="center" wrapText="1"/>
    </xf>
    <xf numFmtId="3" fontId="119" fillId="12" borderId="9" xfId="0" applyNumberFormat="1" applyFont="1" applyFill="1" applyBorder="1" applyAlignment="1">
      <alignment horizontal="center" vertical="center" wrapText="1"/>
    </xf>
    <xf numFmtId="3" fontId="119" fillId="12" borderId="13" xfId="0" applyNumberFormat="1" applyFont="1" applyFill="1" applyBorder="1" applyAlignment="1">
      <alignment horizontal="center" vertical="center" wrapText="1"/>
    </xf>
    <xf numFmtId="3" fontId="119" fillId="12" borderId="10" xfId="0" applyNumberFormat="1" applyFont="1" applyFill="1" applyBorder="1" applyAlignment="1">
      <alignment horizontal="center" vertical="center" wrapText="1"/>
    </xf>
    <xf numFmtId="3" fontId="119" fillId="12" borderId="12" xfId="0" applyNumberFormat="1" applyFont="1" applyFill="1" applyBorder="1" applyAlignment="1">
      <alignment horizontal="center" vertical="center" wrapText="1"/>
    </xf>
    <xf numFmtId="1" fontId="44" fillId="12" borderId="183" xfId="0" applyNumberFormat="1" applyFont="1" applyFill="1" applyBorder="1" applyAlignment="1">
      <alignment horizontal="center" vertical="center" wrapText="1"/>
    </xf>
    <xf numFmtId="1" fontId="127" fillId="12" borderId="183" xfId="0" applyNumberFormat="1" applyFont="1" applyFill="1" applyBorder="1" applyAlignment="1">
      <alignment horizontal="center" vertical="center" wrapText="1"/>
    </xf>
    <xf numFmtId="1" fontId="44" fillId="12" borderId="183" xfId="0" applyNumberFormat="1" applyFont="1" applyFill="1" applyBorder="1" applyAlignment="1">
      <alignment horizontal="left" vertical="center" wrapText="1"/>
    </xf>
    <xf numFmtId="1" fontId="123" fillId="12" borderId="183" xfId="0" applyNumberFormat="1" applyFont="1" applyFill="1" applyBorder="1" applyAlignment="1">
      <alignment horizontal="center" vertical="center"/>
    </xf>
    <xf numFmtId="1" fontId="23" fillId="12" borderId="183" xfId="0" applyNumberFormat="1" applyFont="1" applyFill="1" applyBorder="1" applyAlignment="1">
      <alignment horizontal="center" vertical="center" wrapText="1"/>
    </xf>
    <xf numFmtId="3" fontId="37" fillId="12" borderId="15" xfId="0" applyNumberFormat="1" applyFont="1" applyFill="1" applyBorder="1" applyAlignment="1">
      <alignment horizontal="center" vertical="center" wrapText="1"/>
    </xf>
    <xf numFmtId="3" fontId="37" fillId="12" borderId="25" xfId="0" applyNumberFormat="1" applyFont="1" applyFill="1" applyBorder="1" applyAlignment="1">
      <alignment horizontal="center" vertical="top" wrapText="1"/>
    </xf>
    <xf numFmtId="3" fontId="37" fillId="12" borderId="26" xfId="0" applyNumberFormat="1" applyFont="1" applyFill="1" applyBorder="1" applyAlignment="1">
      <alignment horizontal="center" vertical="top" wrapText="1"/>
    </xf>
    <xf numFmtId="3" fontId="38" fillId="12" borderId="6" xfId="0" applyNumberFormat="1" applyFont="1" applyFill="1" applyBorder="1" applyAlignment="1">
      <alignment horizontal="center" vertical="center" wrapText="1"/>
    </xf>
    <xf numFmtId="3" fontId="38" fillId="12" borderId="27" xfId="0" applyNumberFormat="1" applyFont="1" applyFill="1" applyBorder="1" applyAlignment="1">
      <alignment horizontal="center" vertical="center" wrapText="1"/>
    </xf>
    <xf numFmtId="3" fontId="38" fillId="12" borderId="14" xfId="0" applyNumberFormat="1" applyFont="1" applyFill="1" applyBorder="1" applyAlignment="1">
      <alignment horizontal="center" vertical="center" wrapText="1"/>
    </xf>
    <xf numFmtId="3" fontId="38" fillId="12" borderId="28" xfId="0" applyNumberFormat="1" applyFont="1" applyFill="1" applyBorder="1" applyAlignment="1">
      <alignment horizontal="center" vertical="center" wrapText="1"/>
    </xf>
    <xf numFmtId="3" fontId="87" fillId="0" borderId="0" xfId="0" applyNumberFormat="1" applyFont="1" applyBorder="1" applyAlignment="1">
      <alignment horizontal="center" vertical="top"/>
    </xf>
    <xf numFmtId="3" fontId="60" fillId="0" borderId="0" xfId="0" applyNumberFormat="1" applyFont="1" applyFill="1" applyBorder="1" applyAlignment="1">
      <alignment horizontal="center" vertical="center" wrapText="1"/>
    </xf>
    <xf numFmtId="3" fontId="99" fillId="0" borderId="0" xfId="0" applyNumberFormat="1" applyFont="1" applyFill="1" applyBorder="1" applyAlignment="1">
      <alignment horizontal="center" vertical="center" wrapText="1"/>
    </xf>
    <xf numFmtId="0" fontId="7" fillId="23" borderId="3" xfId="2" applyNumberFormat="1" applyFont="1" applyFill="1" applyBorder="1" applyAlignment="1">
      <alignment horizontal="center" vertical="center"/>
    </xf>
    <xf numFmtId="0" fontId="8" fillId="23" borderId="5" xfId="2" applyNumberFormat="1" applyFont="1" applyFill="1" applyBorder="1" applyAlignment="1">
      <alignment horizontal="center" vertical="center"/>
    </xf>
    <xf numFmtId="0" fontId="8" fillId="23" borderId="7" xfId="2" applyNumberFormat="1" applyFont="1" applyFill="1" applyBorder="1" applyAlignment="1">
      <alignment horizontal="center" vertical="center"/>
    </xf>
    <xf numFmtId="0" fontId="8" fillId="23" borderId="0" xfId="2" applyNumberFormat="1" applyFont="1" applyFill="1" applyBorder="1" applyAlignment="1">
      <alignment horizontal="center" vertical="center"/>
    </xf>
    <xf numFmtId="0" fontId="8" fillId="23" borderId="10" xfId="2" applyNumberFormat="1" applyFont="1" applyFill="1" applyBorder="1" applyAlignment="1">
      <alignment horizontal="center" vertical="center"/>
    </xf>
    <xf numFmtId="0" fontId="8" fillId="23" borderId="12" xfId="2" applyNumberFormat="1" applyFont="1" applyFill="1" applyBorder="1" applyAlignment="1">
      <alignment horizontal="center" vertical="center"/>
    </xf>
    <xf numFmtId="172" fontId="52" fillId="12" borderId="19" xfId="0" applyFont="1" applyFill="1" applyBorder="1" applyAlignment="1">
      <alignment horizontal="left" vertical="center" wrapText="1"/>
    </xf>
    <xf numFmtId="172" fontId="52" fillId="12" borderId="86" xfId="0" applyFont="1" applyFill="1" applyBorder="1" applyAlignment="1">
      <alignment horizontal="left" vertical="center" wrapText="1"/>
    </xf>
    <xf numFmtId="0" fontId="37" fillId="12" borderId="15" xfId="0" applyNumberFormat="1" applyFont="1" applyFill="1" applyBorder="1" applyAlignment="1">
      <alignment horizontal="center" vertical="center" wrapText="1"/>
    </xf>
    <xf numFmtId="0" fontId="37" fillId="12" borderId="25" xfId="0" applyNumberFormat="1" applyFont="1" applyFill="1" applyBorder="1" applyAlignment="1">
      <alignment horizontal="center" vertical="top" wrapText="1"/>
    </xf>
    <xf numFmtId="0" fontId="37" fillId="12" borderId="26" xfId="0" applyNumberFormat="1" applyFont="1" applyFill="1" applyBorder="1" applyAlignment="1">
      <alignment horizontal="center" vertical="top" wrapText="1"/>
    </xf>
    <xf numFmtId="0" fontId="38" fillId="12" borderId="6" xfId="0" applyNumberFormat="1" applyFont="1" applyFill="1" applyBorder="1" applyAlignment="1">
      <alignment horizontal="center" vertical="center" wrapText="1"/>
    </xf>
    <xf numFmtId="0" fontId="38" fillId="12" borderId="13" xfId="0" applyNumberFormat="1" applyFont="1" applyFill="1" applyBorder="1" applyAlignment="1">
      <alignment horizontal="center" vertical="center" wrapText="1"/>
    </xf>
    <xf numFmtId="0" fontId="38" fillId="12" borderId="27" xfId="0" applyNumberFormat="1" applyFont="1" applyFill="1" applyBorder="1" applyAlignment="1">
      <alignment horizontal="center" vertical="center" wrapText="1"/>
    </xf>
    <xf numFmtId="0" fontId="38" fillId="12" borderId="14" xfId="0" applyNumberFormat="1" applyFont="1" applyFill="1" applyBorder="1" applyAlignment="1">
      <alignment horizontal="center" vertical="center" wrapText="1"/>
    </xf>
    <xf numFmtId="0" fontId="38" fillId="12" borderId="28" xfId="0" applyNumberFormat="1" applyFont="1" applyFill="1" applyBorder="1" applyAlignment="1">
      <alignment horizontal="center" vertical="center" wrapText="1"/>
    </xf>
    <xf numFmtId="172" fontId="37" fillId="12" borderId="89" xfId="0" applyFont="1" applyFill="1" applyBorder="1" applyAlignment="1">
      <alignment horizontal="center" vertical="center" wrapText="1"/>
    </xf>
    <xf numFmtId="172" fontId="37" fillId="12" borderId="91" xfId="0" applyFont="1" applyFill="1" applyBorder="1" applyAlignment="1">
      <alignment horizontal="center" vertical="center" wrapText="1"/>
    </xf>
    <xf numFmtId="172" fontId="37" fillId="12" borderId="93" xfId="0" applyFont="1" applyFill="1" applyBorder="1" applyAlignment="1">
      <alignment horizontal="center" vertical="center" wrapText="1"/>
    </xf>
    <xf numFmtId="172" fontId="37" fillId="12" borderId="90" xfId="0" applyFont="1" applyFill="1" applyBorder="1" applyAlignment="1">
      <alignment horizontal="center" vertical="center" wrapText="1"/>
    </xf>
    <xf numFmtId="172" fontId="37" fillId="12" borderId="92" xfId="0" applyFont="1" applyFill="1" applyBorder="1" applyAlignment="1">
      <alignment horizontal="center" vertical="center" wrapText="1"/>
    </xf>
    <xf numFmtId="172" fontId="37" fillId="12" borderId="17" xfId="0" applyFont="1" applyFill="1" applyBorder="1" applyAlignment="1">
      <alignment horizontal="center" vertical="center" wrapText="1"/>
    </xf>
    <xf numFmtId="172" fontId="37" fillId="12" borderId="15" xfId="0" applyFont="1" applyFill="1" applyBorder="1" applyAlignment="1">
      <alignment horizontal="center" vertical="center" wrapText="1"/>
    </xf>
    <xf numFmtId="172" fontId="37" fillId="12" borderId="25" xfId="0" applyFont="1" applyFill="1" applyBorder="1" applyAlignment="1">
      <alignment horizontal="center" vertical="top" wrapText="1"/>
    </xf>
    <xf numFmtId="172" fontId="37" fillId="12" borderId="26" xfId="0" applyFont="1" applyFill="1" applyBorder="1" applyAlignment="1">
      <alignment horizontal="center" vertical="top" wrapText="1"/>
    </xf>
    <xf numFmtId="172" fontId="38" fillId="12" borderId="6" xfId="0" applyFont="1" applyFill="1" applyBorder="1" applyAlignment="1">
      <alignment horizontal="center" vertical="center" wrapText="1"/>
    </xf>
    <xf numFmtId="172" fontId="38" fillId="12" borderId="13" xfId="0" applyFont="1" applyFill="1" applyBorder="1" applyAlignment="1">
      <alignment horizontal="center" vertical="center" wrapText="1"/>
    </xf>
    <xf numFmtId="172" fontId="38" fillId="12" borderId="27" xfId="0" applyFont="1" applyFill="1" applyBorder="1" applyAlignment="1">
      <alignment horizontal="center" vertical="center" wrapText="1"/>
    </xf>
    <xf numFmtId="172" fontId="38" fillId="12" borderId="14" xfId="0" applyFont="1" applyFill="1" applyBorder="1" applyAlignment="1">
      <alignment horizontal="center" vertical="center" wrapText="1"/>
    </xf>
    <xf numFmtId="172" fontId="38" fillId="12" borderId="28" xfId="0" applyFont="1" applyFill="1" applyBorder="1" applyAlignment="1">
      <alignment horizontal="center" vertical="center" wrapText="1"/>
    </xf>
    <xf numFmtId="0" fontId="38" fillId="12" borderId="42" xfId="0" applyNumberFormat="1" applyFont="1" applyFill="1" applyBorder="1" applyAlignment="1" applyProtection="1">
      <alignment horizontal="center" vertical="center" wrapText="1"/>
    </xf>
    <xf numFmtId="0" fontId="38" fillId="12" borderId="31" xfId="0" applyNumberFormat="1" applyFont="1" applyFill="1" applyBorder="1" applyAlignment="1" applyProtection="1">
      <alignment horizontal="center" vertical="center" wrapText="1"/>
    </xf>
    <xf numFmtId="0" fontId="38" fillId="12" borderId="35" xfId="0" applyNumberFormat="1" applyFont="1" applyFill="1" applyBorder="1" applyAlignment="1" applyProtection="1">
      <alignment horizontal="center" vertical="center" wrapText="1"/>
    </xf>
    <xf numFmtId="0" fontId="38" fillId="12" borderId="29" xfId="0" applyNumberFormat="1" applyFont="1" applyFill="1" applyBorder="1" applyAlignment="1" applyProtection="1">
      <alignment horizontal="center" vertical="center" wrapText="1"/>
    </xf>
    <xf numFmtId="0" fontId="38" fillId="12" borderId="72" xfId="0" applyNumberFormat="1" applyFont="1" applyFill="1" applyBorder="1" applyAlignment="1" applyProtection="1">
      <alignment horizontal="center" vertical="center" wrapText="1"/>
    </xf>
    <xf numFmtId="172" fontId="31" fillId="12" borderId="48" xfId="0" applyFont="1" applyFill="1" applyBorder="1" applyAlignment="1" applyProtection="1">
      <alignment horizontal="center" vertical="center" wrapText="1"/>
    </xf>
    <xf numFmtId="172" fontId="31" fillId="12" borderId="61" xfId="0" applyFont="1" applyFill="1" applyBorder="1" applyAlignment="1" applyProtection="1">
      <alignment horizontal="center" vertical="center" wrapText="1"/>
    </xf>
    <xf numFmtId="172" fontId="31" fillId="12" borderId="18" xfId="0" applyFont="1" applyFill="1" applyBorder="1" applyAlignment="1" applyProtection="1">
      <alignment horizontal="center" vertical="center" wrapText="1"/>
    </xf>
    <xf numFmtId="0" fontId="38" fillId="12" borderId="8" xfId="0" applyNumberFormat="1" applyFont="1" applyFill="1" applyBorder="1" applyAlignment="1" applyProtection="1">
      <alignment horizontal="center" vertical="center" wrapText="1"/>
    </xf>
    <xf numFmtId="0" fontId="38" fillId="12" borderId="68" xfId="0" applyNumberFormat="1" applyFont="1" applyFill="1" applyBorder="1" applyAlignment="1" applyProtection="1">
      <alignment horizontal="center" vertical="center" wrapText="1"/>
    </xf>
    <xf numFmtId="0" fontId="38" fillId="12" borderId="9" xfId="0" applyNumberFormat="1" applyFont="1" applyFill="1" applyBorder="1" applyAlignment="1" applyProtection="1">
      <alignment horizontal="center" vertical="center" wrapText="1"/>
    </xf>
    <xf numFmtId="0" fontId="38" fillId="12" borderId="37" xfId="0" applyNumberFormat="1" applyFont="1" applyFill="1" applyBorder="1" applyAlignment="1" applyProtection="1">
      <alignment horizontal="center" vertical="center" wrapText="1"/>
    </xf>
    <xf numFmtId="0" fontId="37" fillId="12" borderId="19" xfId="0" applyNumberFormat="1" applyFont="1" applyFill="1" applyBorder="1" applyAlignment="1" applyProtection="1">
      <alignment horizontal="center" vertical="center"/>
    </xf>
    <xf numFmtId="0" fontId="37" fillId="12" borderId="86" xfId="0" applyNumberFormat="1" applyFont="1" applyFill="1" applyBorder="1" applyAlignment="1" applyProtection="1">
      <alignment horizontal="center" vertical="center"/>
    </xf>
    <xf numFmtId="0" fontId="37" fillId="12" borderId="16" xfId="0" applyNumberFormat="1" applyFont="1" applyFill="1" applyBorder="1" applyAlignment="1" applyProtection="1">
      <alignment horizontal="center" vertical="center"/>
    </xf>
    <xf numFmtId="0" fontId="38" fillId="12" borderId="45" xfId="0" applyNumberFormat="1" applyFont="1" applyFill="1" applyBorder="1" applyAlignment="1" applyProtection="1">
      <alignment horizontal="center" vertical="center" wrapText="1"/>
    </xf>
    <xf numFmtId="0" fontId="38" fillId="12" borderId="34" xfId="0" applyNumberFormat="1" applyFont="1" applyFill="1" applyBorder="1" applyAlignment="1" applyProtection="1">
      <alignment horizontal="center" vertical="center" wrapText="1"/>
    </xf>
    <xf numFmtId="0" fontId="38" fillId="12" borderId="41" xfId="0" applyNumberFormat="1" applyFont="1" applyFill="1" applyBorder="1" applyAlignment="1" applyProtection="1">
      <alignment horizontal="center" vertical="center" wrapText="1"/>
    </xf>
    <xf numFmtId="0" fontId="38" fillId="12" borderId="66" xfId="0" applyNumberFormat="1" applyFont="1" applyFill="1" applyBorder="1" applyAlignment="1" applyProtection="1">
      <alignment horizontal="center" vertical="center" wrapText="1"/>
    </xf>
    <xf numFmtId="172" fontId="38" fillId="19" borderId="97" xfId="0" applyFont="1" applyFill="1" applyBorder="1" applyAlignment="1" applyProtection="1">
      <alignment horizontal="center" vertical="center"/>
    </xf>
    <xf numFmtId="172" fontId="38" fillId="19" borderId="96" xfId="0" applyFont="1" applyFill="1" applyBorder="1" applyAlignment="1" applyProtection="1">
      <alignment horizontal="center" vertical="center"/>
    </xf>
    <xf numFmtId="172" fontId="38" fillId="0" borderId="0" xfId="0" applyFont="1" applyFill="1" applyBorder="1" applyAlignment="1" applyProtection="1">
      <alignment horizontal="center" vertical="center" wrapText="1"/>
    </xf>
    <xf numFmtId="172" fontId="38" fillId="19" borderId="81" xfId="0" applyFont="1" applyFill="1" applyBorder="1" applyAlignment="1" applyProtection="1">
      <alignment horizontal="center" vertical="center"/>
    </xf>
    <xf numFmtId="172" fontId="38" fillId="19" borderId="46" xfId="0" applyFont="1" applyFill="1" applyBorder="1" applyAlignment="1" applyProtection="1">
      <alignment horizontal="center" vertical="center"/>
    </xf>
    <xf numFmtId="0" fontId="38" fillId="12" borderId="63" xfId="0" applyNumberFormat="1" applyFont="1" applyFill="1" applyBorder="1" applyAlignment="1" applyProtection="1">
      <alignment horizontal="center" vertical="center" wrapText="1"/>
    </xf>
    <xf numFmtId="0" fontId="38" fillId="12" borderId="76" xfId="0" applyNumberFormat="1" applyFont="1" applyFill="1" applyBorder="1" applyAlignment="1" applyProtection="1">
      <alignment horizontal="center" vertical="center" wrapText="1"/>
    </xf>
    <xf numFmtId="2" fontId="42" fillId="21" borderId="29" xfId="0" applyNumberFormat="1" applyFont="1" applyFill="1" applyBorder="1" applyAlignment="1" applyProtection="1">
      <alignment horizontal="center" vertical="center"/>
    </xf>
    <xf numFmtId="2" fontId="42" fillId="21" borderId="66" xfId="0" applyNumberFormat="1" applyFont="1" applyFill="1" applyBorder="1" applyAlignment="1" applyProtection="1">
      <alignment horizontal="center" vertical="center"/>
    </xf>
    <xf numFmtId="2" fontId="42" fillId="21" borderId="67" xfId="0" applyNumberFormat="1" applyFont="1" applyFill="1" applyBorder="1" applyAlignment="1" applyProtection="1">
      <alignment horizontal="center" vertical="center"/>
    </xf>
    <xf numFmtId="2" fontId="42" fillId="21" borderId="56" xfId="0" applyNumberFormat="1" applyFont="1" applyFill="1" applyBorder="1" applyAlignment="1" applyProtection="1">
      <alignment horizontal="center" vertical="center"/>
    </xf>
    <xf numFmtId="2" fontId="42" fillId="21" borderId="0" xfId="0" applyNumberFormat="1" applyFont="1" applyFill="1" applyBorder="1" applyAlignment="1" applyProtection="1">
      <alignment horizontal="center" vertical="center"/>
    </xf>
    <xf numFmtId="2" fontId="42" fillId="21" borderId="12" xfId="0" applyNumberFormat="1" applyFont="1" applyFill="1" applyBorder="1" applyAlignment="1" applyProtection="1">
      <alignment horizontal="center" vertical="center"/>
    </xf>
    <xf numFmtId="2" fontId="38" fillId="21" borderId="56" xfId="0" applyNumberFormat="1" applyFont="1" applyFill="1" applyBorder="1" applyAlignment="1" applyProtection="1">
      <alignment horizontal="center" vertical="center" wrapText="1"/>
    </xf>
    <xf numFmtId="2" fontId="38" fillId="21" borderId="0" xfId="0" applyNumberFormat="1" applyFont="1" applyFill="1" applyBorder="1" applyAlignment="1" applyProtection="1">
      <alignment horizontal="center" vertical="center" wrapText="1"/>
    </xf>
    <xf numFmtId="2" fontId="38" fillId="21" borderId="12" xfId="0" applyNumberFormat="1" applyFont="1" applyFill="1" applyBorder="1" applyAlignment="1" applyProtection="1">
      <alignment horizontal="center" vertical="center" wrapText="1"/>
    </xf>
    <xf numFmtId="2" fontId="42" fillId="21" borderId="78" xfId="0" applyNumberFormat="1" applyFont="1" applyFill="1" applyBorder="1" applyAlignment="1" applyProtection="1">
      <alignment horizontal="center" vertical="center"/>
    </xf>
    <xf numFmtId="2" fontId="42" fillId="21" borderId="80" xfId="0" applyNumberFormat="1" applyFont="1" applyFill="1" applyBorder="1" applyAlignment="1" applyProtection="1">
      <alignment horizontal="center" vertical="center"/>
    </xf>
    <xf numFmtId="2" fontId="42" fillId="21" borderId="82" xfId="0" applyNumberFormat="1" applyFont="1" applyFill="1" applyBorder="1" applyAlignment="1" applyProtection="1">
      <alignment horizontal="center" vertical="center"/>
    </xf>
    <xf numFmtId="2" fontId="42" fillId="21" borderId="79" xfId="0" applyNumberFormat="1" applyFont="1" applyFill="1" applyBorder="1" applyAlignment="1" applyProtection="1">
      <alignment horizontal="center" vertical="center"/>
    </xf>
    <xf numFmtId="2" fontId="42" fillId="21" borderId="21" xfId="0" applyNumberFormat="1" applyFont="1" applyFill="1" applyBorder="1" applyAlignment="1" applyProtection="1">
      <alignment horizontal="center" vertical="center"/>
    </xf>
    <xf numFmtId="2" fontId="42" fillId="21" borderId="83" xfId="0" applyNumberFormat="1" applyFont="1" applyFill="1" applyBorder="1" applyAlignment="1" applyProtection="1">
      <alignment horizontal="center" vertical="center"/>
    </xf>
    <xf numFmtId="172" fontId="38" fillId="19" borderId="155" xfId="0" applyFont="1" applyFill="1" applyBorder="1" applyAlignment="1" applyProtection="1">
      <alignment horizontal="center" vertical="center"/>
    </xf>
    <xf numFmtId="172" fontId="38" fillId="19" borderId="44" xfId="0" applyFont="1" applyFill="1" applyBorder="1" applyAlignment="1" applyProtection="1">
      <alignment horizontal="center" vertical="center"/>
    </xf>
    <xf numFmtId="172" fontId="38" fillId="0" borderId="0" xfId="0" applyFont="1" applyFill="1" applyBorder="1" applyAlignment="1" applyProtection="1">
      <alignment horizontal="right" vertical="center"/>
    </xf>
    <xf numFmtId="0" fontId="37" fillId="12" borderId="29" xfId="0" applyNumberFormat="1" applyFont="1" applyFill="1" applyBorder="1" applyAlignment="1" applyProtection="1">
      <alignment horizontal="center" vertical="center"/>
    </xf>
    <xf numFmtId="0" fontId="37" fillId="12" borderId="56" xfId="0" applyNumberFormat="1" applyFont="1" applyFill="1" applyBorder="1" applyAlignment="1" applyProtection="1">
      <alignment horizontal="center" vertical="center"/>
    </xf>
    <xf numFmtId="0" fontId="37" fillId="12" borderId="45" xfId="0" applyNumberFormat="1" applyFont="1" applyFill="1" applyBorder="1" applyAlignment="1" applyProtection="1">
      <alignment horizontal="center" vertical="center"/>
    </xf>
    <xf numFmtId="0" fontId="31" fillId="12" borderId="49" xfId="0" applyNumberFormat="1" applyFont="1" applyFill="1" applyBorder="1" applyAlignment="1" applyProtection="1">
      <alignment horizontal="center" vertical="center" wrapText="1"/>
    </xf>
    <xf numFmtId="0" fontId="31" fillId="12" borderId="86" xfId="0" applyNumberFormat="1" applyFont="1" applyFill="1" applyBorder="1" applyAlignment="1" applyProtection="1">
      <alignment horizontal="center" vertical="center" wrapText="1"/>
    </xf>
    <xf numFmtId="0" fontId="31" fillId="12" borderId="16" xfId="0" applyNumberFormat="1" applyFont="1" applyFill="1" applyBorder="1" applyAlignment="1" applyProtection="1">
      <alignment horizontal="center" vertical="center" wrapText="1"/>
    </xf>
    <xf numFmtId="0" fontId="38" fillId="12" borderId="59" xfId="0" applyNumberFormat="1" applyFont="1" applyFill="1" applyBorder="1" applyAlignment="1" applyProtection="1">
      <alignment horizontal="center" vertical="center" wrapText="1"/>
    </xf>
    <xf numFmtId="172" fontId="42" fillId="0" borderId="66" xfId="0" applyFont="1" applyBorder="1" applyAlignment="1" applyProtection="1">
      <alignment horizontal="right" vertical="center"/>
    </xf>
    <xf numFmtId="172" fontId="42" fillId="0" borderId="0" xfId="0" applyFont="1" applyBorder="1" applyAlignment="1" applyProtection="1">
      <alignment horizontal="right" vertical="center"/>
    </xf>
    <xf numFmtId="172" fontId="42" fillId="0" borderId="0" xfId="0" applyFont="1" applyFill="1" applyBorder="1" applyAlignment="1" applyProtection="1">
      <alignment horizontal="right" vertical="center"/>
    </xf>
    <xf numFmtId="172" fontId="38" fillId="0" borderId="0" xfId="0" applyFont="1" applyFill="1" applyBorder="1" applyAlignment="1" applyProtection="1">
      <alignment horizontal="center" vertical="center"/>
    </xf>
    <xf numFmtId="172" fontId="38" fillId="19" borderId="28" xfId="0" applyFont="1" applyFill="1" applyBorder="1" applyAlignment="1" applyProtection="1">
      <alignment horizontal="right" vertical="center"/>
    </xf>
    <xf numFmtId="172" fontId="38" fillId="19" borderId="54" xfId="0" applyFont="1" applyFill="1" applyBorder="1" applyAlignment="1" applyProtection="1">
      <alignment horizontal="right" vertical="center"/>
    </xf>
    <xf numFmtId="172" fontId="38" fillId="19" borderId="100" xfId="0" applyFont="1" applyFill="1" applyBorder="1" applyAlignment="1" applyProtection="1">
      <alignment horizontal="right" vertical="center"/>
    </xf>
    <xf numFmtId="172" fontId="38" fillId="19" borderId="40" xfId="0" applyFont="1" applyFill="1" applyBorder="1" applyAlignment="1" applyProtection="1">
      <alignment horizontal="right" vertical="center"/>
    </xf>
    <xf numFmtId="172" fontId="38" fillId="19" borderId="11" xfId="0" applyFont="1" applyFill="1" applyBorder="1" applyAlignment="1" applyProtection="1">
      <alignment horizontal="center" vertical="center"/>
    </xf>
    <xf numFmtId="172" fontId="38" fillId="19" borderId="88" xfId="0" applyFont="1" applyFill="1" applyBorder="1" applyAlignment="1" applyProtection="1">
      <alignment horizontal="center" vertical="center"/>
    </xf>
    <xf numFmtId="0" fontId="44" fillId="23" borderId="123" xfId="221" applyFont="1" applyFill="1" applyBorder="1"/>
    <xf numFmtId="0" fontId="44" fillId="23" borderId="131" xfId="221" applyFont="1" applyFill="1" applyBorder="1"/>
    <xf numFmtId="0" fontId="83" fillId="0" borderId="0" xfId="220" applyFont="1" applyBorder="1"/>
    <xf numFmtId="0" fontId="84" fillId="0" borderId="0" xfId="204" applyFont="1" applyBorder="1"/>
    <xf numFmtId="0" fontId="89" fillId="23" borderId="102" xfId="220" applyFont="1" applyFill="1" applyBorder="1"/>
    <xf numFmtId="0" fontId="44" fillId="23" borderId="122" xfId="221" applyFont="1" applyFill="1" applyBorder="1"/>
    <xf numFmtId="0" fontId="44" fillId="23" borderId="123" xfId="221" applyFont="1" applyFill="1" applyBorder="1" applyAlignment="1">
      <alignment horizontal="left"/>
    </xf>
    <xf numFmtId="0" fontId="23" fillId="0" borderId="111" xfId="222" applyFont="1" applyBorder="1"/>
    <xf numFmtId="0" fontId="44" fillId="23" borderId="124" xfId="221" applyFont="1" applyFill="1" applyBorder="1"/>
    <xf numFmtId="0" fontId="44" fillId="23" borderId="125" xfId="221" applyFont="1" applyFill="1" applyBorder="1"/>
    <xf numFmtId="0" fontId="44" fillId="23" borderId="126" xfId="221" applyFont="1" applyFill="1" applyBorder="1"/>
    <xf numFmtId="0" fontId="23" fillId="0" borderId="0" xfId="222" applyFont="1"/>
    <xf numFmtId="0" fontId="23" fillId="0" borderId="0" xfId="222" applyFont="1" applyBorder="1"/>
    <xf numFmtId="0" fontId="44" fillId="23" borderId="127" xfId="222" applyFont="1" applyFill="1" applyBorder="1"/>
    <xf numFmtId="0" fontId="44" fillId="23" borderId="117" xfId="222" applyFont="1" applyFill="1" applyBorder="1"/>
    <xf numFmtId="0" fontId="44" fillId="23" borderId="128" xfId="222" applyFont="1" applyFill="1" applyBorder="1"/>
    <xf numFmtId="0" fontId="44" fillId="23" borderId="124" xfId="222" applyFont="1" applyFill="1" applyBorder="1"/>
    <xf numFmtId="0" fontId="44" fillId="23" borderId="125" xfId="222" applyFont="1" applyFill="1" applyBorder="1"/>
    <xf numFmtId="0" fontId="44" fillId="23" borderId="126" xfId="222" applyFont="1" applyFill="1" applyBorder="1"/>
    <xf numFmtId="0" fontId="89" fillId="23" borderId="21" xfId="220" applyFont="1" applyFill="1" applyBorder="1"/>
    <xf numFmtId="0" fontId="44" fillId="23" borderId="125" xfId="265" applyNumberFormat="1" applyFont="1" applyFill="1" applyBorder="1" applyAlignment="1">
      <alignment horizontal="left"/>
    </xf>
    <xf numFmtId="0" fontId="44" fillId="23" borderId="125" xfId="221" applyFont="1" applyFill="1" applyBorder="1" applyAlignment="1">
      <alignment horizontal="left"/>
    </xf>
    <xf numFmtId="0" fontId="4" fillId="0" borderId="0" xfId="217" applyNumberFormat="1"/>
    <xf numFmtId="0" fontId="80" fillId="0" borderId="0" xfId="222" applyFont="1"/>
    <xf numFmtId="0" fontId="23" fillId="23" borderId="52" xfId="222" applyFont="1" applyFill="1" applyBorder="1"/>
    <xf numFmtId="0" fontId="3" fillId="0" borderId="0" xfId="222"/>
    <xf numFmtId="1" fontId="0" fillId="0" borderId="0" xfId="0" applyNumberFormat="1"/>
    <xf numFmtId="0" fontId="23" fillId="0" borderId="205" xfId="222" applyFont="1" applyBorder="1"/>
    <xf numFmtId="0" fontId="0" fillId="0" borderId="205" xfId="0" applyNumberFormat="1" applyBorder="1"/>
  </cellXfs>
  <cellStyles count="266">
    <cellStyle name="20% - Accent1" xfId="172" builtinId="30" customBuiltin="1"/>
    <cellStyle name="20% - Accent1 2" xfId="207"/>
    <cellStyle name="20% - Accent2" xfId="176" builtinId="34" customBuiltin="1"/>
    <cellStyle name="20% - Accent3" xfId="180" builtinId="38" customBuiltin="1"/>
    <cellStyle name="20% - Accent4" xfId="184" builtinId="42" customBuiltin="1"/>
    <cellStyle name="20% - Accent5" xfId="188" builtinId="46" customBuiltin="1"/>
    <cellStyle name="20% - Accent6" xfId="192" builtinId="50" customBuiltin="1"/>
    <cellStyle name="2x indented GHG Textfiels" xfId="223"/>
    <cellStyle name="40% - Accent1" xfId="173" builtinId="31" customBuiltin="1"/>
    <cellStyle name="40% - Accent2" xfId="177" builtinId="35" customBuiltin="1"/>
    <cellStyle name="40% - Accent3" xfId="181" builtinId="39" customBuiltin="1"/>
    <cellStyle name="40% - Accent4" xfId="185" builtinId="43" customBuiltin="1"/>
    <cellStyle name="40% - Accent5" xfId="189" builtinId="47" customBuiltin="1"/>
    <cellStyle name="40% - Accent6" xfId="193" builtinId="51" customBuiltin="1"/>
    <cellStyle name="5x indented GHG Textfiels" xfId="224"/>
    <cellStyle name="60% - Accent1" xfId="174" builtinId="32" customBuiltin="1"/>
    <cellStyle name="60% - Accent2" xfId="178" builtinId="36" customBuiltin="1"/>
    <cellStyle name="60% - Accent3" xfId="182" builtinId="40" customBuiltin="1"/>
    <cellStyle name="60% - Accent4" xfId="186" builtinId="44" customBuiltin="1"/>
    <cellStyle name="60% - Accent5" xfId="190" builtinId="48" customBuiltin="1"/>
    <cellStyle name="60% - Accent6" xfId="194" builtinId="52" customBuiltin="1"/>
    <cellStyle name="Accent1" xfId="171" builtinId="29" customBuiltin="1"/>
    <cellStyle name="Accent2" xfId="175" builtinId="33" customBuiltin="1"/>
    <cellStyle name="Accent3" xfId="179" builtinId="37" customBuiltin="1"/>
    <cellStyle name="Accent4" xfId="183" builtinId="41" customBuiltin="1"/>
    <cellStyle name="Accent5" xfId="187" builtinId="45" customBuiltin="1"/>
    <cellStyle name="Accent6" xfId="191" builtinId="49" customBuiltin="1"/>
    <cellStyle name="AggCels_T(2)" xfId="6"/>
    <cellStyle name="Background table" xfId="7"/>
    <cellStyle name="Bad" xfId="160" builtinId="27" customBuiltin="1"/>
    <cellStyle name="Bad 3" xfId="8"/>
    <cellStyle name="Bold GHG Numbers (0.00)" xfId="225"/>
    <cellStyle name="Bron" xfId="9"/>
    <cellStyle name="Calc cel" xfId="10"/>
    <cellStyle name="Calc cel 2" xfId="11"/>
    <cellStyle name="Calc cel 2 2" xfId="250"/>
    <cellStyle name="Calc cel 3" xfId="12"/>
    <cellStyle name="Calc cel 3 2" xfId="251"/>
    <cellStyle name="Calc cel 4" xfId="249"/>
    <cellStyle name="Calculation" xfId="164" builtinId="22" customBuiltin="1"/>
    <cellStyle name="Check Cell" xfId="166" builtinId="23" customBuiltin="1"/>
    <cellStyle name="Comma 2" xfId="13"/>
    <cellStyle name="Comma 3" xfId="157"/>
    <cellStyle name="Comma 4" xfId="201"/>
    <cellStyle name="Cover" xfId="14"/>
    <cellStyle name="Currency 0,0" xfId="15"/>
    <cellStyle name="Dezimal [0]_Input" xfId="16"/>
    <cellStyle name="Dezimal_Input" xfId="17"/>
    <cellStyle name="Euro" xfId="18"/>
    <cellStyle name="Explanatory Text" xfId="169" builtinId="53" customBuiltin="1"/>
    <cellStyle name="Good" xfId="159" builtinId="26" customBuiltin="1"/>
    <cellStyle name="Heading 1 2" xfId="153"/>
    <cellStyle name="Heading 1 3" xfId="198"/>
    <cellStyle name="Heading 1 4" xfId="220"/>
    <cellStyle name="Heading 2" xfId="158" builtinId="17" customBuiltin="1"/>
    <cellStyle name="Heading 2 2" xfId="205"/>
    <cellStyle name="Heading 3 2" xfId="154"/>
    <cellStyle name="Heading 3 2 2" xfId="265"/>
    <cellStyle name="Heading 3 3" xfId="199"/>
    <cellStyle name="Heading 3 4" xfId="221"/>
    <cellStyle name="Heading 4" xfId="1" builtinId="19"/>
    <cellStyle name="Heading 4 2" xfId="155"/>
    <cellStyle name="Heading 4 3" xfId="200"/>
    <cellStyle name="Heading 4 4" xfId="222"/>
    <cellStyle name="Headline" xfId="226"/>
    <cellStyle name="Hyperlink" xfId="148" builtinId="8"/>
    <cellStyle name="Hyperlink 2" xfId="19"/>
    <cellStyle name="Hyperlink 2 2" xfId="227"/>
    <cellStyle name="Hyperlink 3" xfId="215"/>
    <cellStyle name="Input" xfId="162" builtinId="20" customBuiltin="1"/>
    <cellStyle name="Input cel" xfId="20"/>
    <cellStyle name="Input cel 2" xfId="21"/>
    <cellStyle name="Input cel 2 2" xfId="253"/>
    <cellStyle name="Input cel 3" xfId="22"/>
    <cellStyle name="Input cel 3 2" xfId="254"/>
    <cellStyle name="Input cel 4" xfId="252"/>
    <cellStyle name="Input cel new" xfId="23"/>
    <cellStyle name="Input cel new 2" xfId="24"/>
    <cellStyle name="Input cel new 2 2" xfId="212"/>
    <cellStyle name="Input cel new 2 2 2" xfId="259"/>
    <cellStyle name="Input cel new 2 3" xfId="256"/>
    <cellStyle name="Input cel new 3" xfId="25"/>
    <cellStyle name="Input cel new 3 2" xfId="213"/>
    <cellStyle name="Input cel new 3 2 2" xfId="260"/>
    <cellStyle name="Input cel new 3 3" xfId="257"/>
    <cellStyle name="Input cel new 4" xfId="211"/>
    <cellStyle name="Input cel new 4 2" xfId="258"/>
    <cellStyle name="Input cel new 5" xfId="255"/>
    <cellStyle name="Komma 2" xfId="26"/>
    <cellStyle name="KP_thin_border_dark_grey" xfId="228"/>
    <cellStyle name="Linked Cell" xfId="165" builtinId="24" customBuiltin="1"/>
    <cellStyle name="Menu" xfId="27"/>
    <cellStyle name="Milliers [0]_Oilques" xfId="28"/>
    <cellStyle name="Milliers_Oilques" xfId="29"/>
    <cellStyle name="Monétaire [0]_Oilques" xfId="30"/>
    <cellStyle name="Monétaire_Oilques" xfId="31"/>
    <cellStyle name="Neutral" xfId="161" builtinId="28" customBuiltin="1"/>
    <cellStyle name="Neutral 2" xfId="206"/>
    <cellStyle name="Normal" xfId="0" builtinId="0"/>
    <cellStyle name="Normal 10" xfId="150"/>
    <cellStyle name="Normal 10 2" xfId="209"/>
    <cellStyle name="Normal 10 3" xfId="229"/>
    <cellStyle name="Normal 11" xfId="156"/>
    <cellStyle name="Normal 12" xfId="202"/>
    <cellStyle name="Normal 13" xfId="203"/>
    <cellStyle name="Normal 14" xfId="196"/>
    <cellStyle name="Normal 15" xfId="217"/>
    <cellStyle name="Normal 16" xfId="218"/>
    <cellStyle name="Normal 17" xfId="195"/>
    <cellStyle name="Normal 18" xfId="261"/>
    <cellStyle name="Normal 19" xfId="262"/>
    <cellStyle name="Normal 2" xfId="3"/>
    <cellStyle name="Normal 2 2" xfId="32"/>
    <cellStyle name="Normal 2 3" xfId="230"/>
    <cellStyle name="Normal 20" xfId="264"/>
    <cellStyle name="Normal 21" xfId="263"/>
    <cellStyle name="Normal 23" xfId="231"/>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210"/>
    <cellStyle name="Normal 9" xfId="151"/>
    <cellStyle name="Normal GHG Numbers (0.00)" xfId="37"/>
    <cellStyle name="Normal GHG Numbers (0.00) 2" xfId="232"/>
    <cellStyle name="Normal GHG Textfiels Bold" xfId="233"/>
    <cellStyle name="Normal GHG whole table" xfId="234"/>
    <cellStyle name="Normal GHG-Shade" xfId="235"/>
    <cellStyle name="Normál_Munka1" xfId="236"/>
    <cellStyle name="Normal_Sheet1" xfId="5"/>
    <cellStyle name="Note" xfId="168" builtinId="10" customBuiltin="1"/>
    <cellStyle name="Note 2" xfId="38"/>
    <cellStyle name="Output" xfId="163" builtinId="21" customBuiltin="1"/>
    <cellStyle name="Pattern" xfId="237"/>
    <cellStyle name="Percent" xfId="52" builtinId="5"/>
    <cellStyle name="Percent 2" xfId="39"/>
    <cellStyle name="Percent 2 2" xfId="40"/>
    <cellStyle name="Percent 3" xfId="41"/>
    <cellStyle name="Percent 4" xfId="42"/>
    <cellStyle name="Percent 5" xfId="208"/>
    <cellStyle name="Percent 5 2" xfId="214"/>
    <cellStyle name="Percent 6" xfId="216"/>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40"/>
    <cellStyle name="Standaard 2 2 3" xfId="239"/>
    <cellStyle name="Standaard 2 3" xfId="120"/>
    <cellStyle name="Standaard 2 4" xfId="121"/>
    <cellStyle name="Standaard 2 5" xfId="238"/>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42"/>
    <cellStyle name="Standaard 3 3" xfId="243"/>
    <cellStyle name="Standaard 3 4" xfId="241"/>
    <cellStyle name="Standaard 4" xfId="139"/>
    <cellStyle name="Standaard 4 2" xfId="140"/>
    <cellStyle name="Standaard 4 3" xfId="244"/>
    <cellStyle name="Standaard 5" xfId="141"/>
    <cellStyle name="Standaard 6" xfId="142"/>
    <cellStyle name="Standaard 7" xfId="143"/>
    <cellStyle name="Standaard 7 2" xfId="144"/>
    <cellStyle name="Standaard 8" xfId="145"/>
    <cellStyle name="Standaard 8 2" xfId="146"/>
    <cellStyle name="Standaard 9" xfId="147"/>
    <cellStyle name="Standard 2" xfId="245"/>
    <cellStyle name="Standard 3" xfId="246"/>
    <cellStyle name="Standard 3 2" xfId="247"/>
    <cellStyle name="Standard_Aggregate CO2 balance" xfId="44"/>
    <cellStyle name="Tabeltitel" xfId="45"/>
    <cellStyle name="Titel" xfId="46"/>
    <cellStyle name="Title 2" xfId="152"/>
    <cellStyle name="Title 3" xfId="204"/>
    <cellStyle name="Title 4" xfId="197"/>
    <cellStyle name="Title 5" xfId="219"/>
    <cellStyle name="Total" xfId="170" builtinId="25" customBuiltin="1"/>
    <cellStyle name="W?rung [0]_Input" xfId="47"/>
    <cellStyle name="W?rung_Input" xfId="48"/>
    <cellStyle name="Währung [0]_Input" xfId="49"/>
    <cellStyle name="Währung_Input" xfId="50"/>
    <cellStyle name="Warning Text" xfId="167" builtinId="11" customBuiltin="1"/>
    <cellStyle name="Year" xfId="51"/>
    <cellStyle name="Обычный_CRF Software v1.20" xfId="248"/>
  </cellStyles>
  <dxfs count="20">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relativeIndent="255"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xmlns="" id="{00000000-0008-0000-1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xmlns="" id="{1EA7B157-C527-452B-939A-EBAFE0DD1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17</xdr:col>
      <xdr:colOff>1130399</xdr:colOff>
      <xdr:row>0</xdr:row>
      <xdr:rowOff>0</xdr:rowOff>
    </xdr:from>
    <xdr:to>
      <xdr:col>23</xdr:col>
      <xdr:colOff>717254</xdr:colOff>
      <xdr:row>22</xdr:row>
      <xdr:rowOff>149677</xdr:rowOff>
    </xdr:to>
    <xdr:pic>
      <xdr:nvPicPr>
        <xdr:cNvPr id="4" name="Picture 3">
          <a:extLst>
            <a:ext uri="{FF2B5EF4-FFF2-40B4-BE49-F238E27FC236}">
              <a16:creationId xmlns:a16="http://schemas.microsoft.com/office/drawing/2014/main" xmlns="" id="{BFBC20CC-E194-42A2-811B-EF1D83C067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3" cstate="print"/>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5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xmlns="" id="{00000000-0008-0000-06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xmlns="" id="{00000000-0008-0000-07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xmlns="" id="{00000000-0008-0000-0A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xmlns="" id="{00000000-0008-0000-0A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1364086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xmlns="" id="{00000000-0008-0000-1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xmlns="" id="{00000000-0008-0000-13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tables/table1.xml><?xml version="1.0" encoding="utf-8"?>
<table xmlns="http://schemas.openxmlformats.org/spreadsheetml/2006/main" id="1" name="TableECFTransport" displayName="TableECFTransport" ref="A1:F33" totalsRowShown="0" headerRowDxfId="19" dataDxfId="17" headerRowBorderDxfId="18" tableBorderDxfId="16">
  <autoFilter ref="A1:F33"/>
  <tableColumns count="6">
    <tableColumn id="1" name="Index" dataDxfId="15">
      <calculatedColumnFormula>CONCATENATE(TableECFTransport[[#This Row],[Voertuigtype]],"_",TableECFTransport[[#This Row],[Wegtype]],"_",TableECFTransport[[#This Row],[Brandstoftechnologie]],"_",TableECFTransport[[#This Row],[Brandstof]])</calculatedColumnFormula>
    </tableColumn>
    <tableColumn id="2" name="Voertuigtype" dataDxfId="14"/>
    <tableColumn id="3" name="Wegtype" dataDxfId="13"/>
    <tableColumn id="4" name="Brandstoftechnologie" dataDxfId="12"/>
    <tableColumn id="5" name="Brandstof" dataDxfId="11"/>
    <tableColumn id="6" name="EnergieConsumptieFactor (PJ per km)" dataDxfId="10"/>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9" dataDxfId="7" headerRowBorderDxfId="8" tableBorderDxfId="6">
  <autoFilter ref="A23:L25"/>
  <tableColumns count="12">
    <tableColumn id="1" name="Voertuigtype" dataDxfId="5"/>
    <tableColumn id="2" name="CNG" dataCellStyle="Percent"/>
    <tableColumn id="3" name="DIESEL" dataCellStyle="Percent"/>
    <tableColumn id="4" name="DIESEL HYBRID CS" dataDxfId="4" dataCellStyle="Percent"/>
    <tableColumn id="5" name="DIESEL HYBRID PHEV" dataCellStyle="Percent"/>
    <tableColumn id="6" name="E85" dataCellStyle="Percent"/>
    <tableColumn id="7" name="ELECTRIC"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22.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mailto:kaat.jespers@vito.be" TargetMode="External"/><Relationship Id="rId3" Type="http://schemas.openxmlformats.org/officeDocument/2006/relationships/hyperlink" Target="mailto:tine.tanghe@vea.be"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3.bin"/><Relationship Id="rId4" Type="http://schemas.openxmlformats.org/officeDocument/2006/relationships/hyperlink" Target="http://www4.vlaanderen.be/dar/svr/Pages/2011-01-24-studiedag-projecties.aspx" TargetMode="External"/><Relationship Id="rId9" Type="http://schemas.openxmlformats.org/officeDocument/2006/relationships/hyperlink" Target="mailto:marlies.vanhulsel@vito.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heet23"/>
  <dimension ref="A1:G38"/>
  <sheetViews>
    <sheetView showGridLines="0" tabSelected="1" zoomScaleNormal="100" workbookViewId="0">
      <selection activeCell="A4" sqref="A4"/>
    </sheetView>
  </sheetViews>
  <sheetFormatPr defaultRowHeight="15"/>
  <cols>
    <col min="1" max="1" width="51" customWidth="1"/>
    <col min="2" max="2" width="81.5703125" customWidth="1"/>
    <col min="3" max="3" width="140.5703125" customWidth="1"/>
  </cols>
  <sheetData>
    <row r="1" spans="1:7" ht="15.75" thickBot="1"/>
    <row r="2" spans="1:7" s="388" customFormat="1" ht="20.25" customHeight="1">
      <c r="A2" s="400" t="s">
        <v>740</v>
      </c>
      <c r="B2" s="401"/>
      <c r="C2" s="402"/>
    </row>
    <row r="3" spans="1:7" s="12" customFormat="1" ht="15" customHeight="1">
      <c r="A3" s="94"/>
      <c r="B3" s="75"/>
      <c r="C3" s="95"/>
    </row>
    <row r="4" spans="1:7" s="12" customFormat="1" ht="15.75" customHeight="1" thickBot="1">
      <c r="A4" s="106" t="s">
        <v>918</v>
      </c>
      <c r="B4" s="107"/>
      <c r="C4" s="108"/>
    </row>
    <row r="5" spans="1:7" s="395" customFormat="1" ht="15.75" customHeight="1">
      <c r="A5" s="392" t="s">
        <v>0</v>
      </c>
      <c r="B5" s="393"/>
      <c r="C5" s="394"/>
    </row>
    <row r="6" spans="1:7" s="395" customFormat="1" ht="15" customHeight="1">
      <c r="A6" s="396" t="str">
        <f>txtNIS</f>
        <v>11009</v>
      </c>
      <c r="B6" s="397"/>
      <c r="C6" s="398"/>
    </row>
    <row r="7" spans="1:7" s="395" customFormat="1" ht="15.75" customHeight="1">
      <c r="A7" s="399" t="str">
        <f>txtMunicipality</f>
        <v>BRECHT</v>
      </c>
      <c r="B7" s="397"/>
      <c r="C7" s="398"/>
    </row>
    <row r="8" spans="1:7" ht="15.75" thickBot="1">
      <c r="A8" s="46"/>
      <c r="B8" s="109"/>
      <c r="C8" s="110"/>
    </row>
    <row r="9" spans="1:7" s="388" customFormat="1" ht="15.75" thickBot="1">
      <c r="A9" s="412" t="s">
        <v>357</v>
      </c>
      <c r="B9" s="415"/>
      <c r="C9" s="416"/>
    </row>
    <row r="10" spans="1:7" s="16" customFormat="1" ht="57.75" customHeight="1" thickBot="1">
      <c r="A10" s="1057" t="s">
        <v>686</v>
      </c>
      <c r="B10" s="1058"/>
      <c r="C10" s="1059"/>
    </row>
    <row r="11" spans="1:7" s="389" customFormat="1" ht="15.75" thickBot="1">
      <c r="A11" s="412" t="s">
        <v>360</v>
      </c>
      <c r="B11" s="415"/>
      <c r="C11" s="416"/>
      <c r="G11" s="390"/>
    </row>
    <row r="12" spans="1:7">
      <c r="A12" s="45"/>
      <c r="B12" s="44"/>
      <c r="C12" s="97"/>
    </row>
    <row r="13" spans="1:7" s="389" customFormat="1">
      <c r="A13" s="767" t="s">
        <v>634</v>
      </c>
      <c r="B13" s="386"/>
      <c r="C13" s="387"/>
      <c r="D13" s="388"/>
      <c r="E13" s="388"/>
      <c r="G13" s="390"/>
    </row>
    <row r="14" spans="1:7" s="389" customFormat="1">
      <c r="A14" s="391"/>
      <c r="B14" s="386"/>
      <c r="C14" s="387"/>
      <c r="D14" s="388"/>
      <c r="E14" s="388"/>
      <c r="G14" s="390"/>
    </row>
    <row r="15" spans="1:7" s="16" customFormat="1" ht="15.75" thickBot="1">
      <c r="A15" s="98"/>
      <c r="B15" s="44"/>
      <c r="C15" s="97"/>
      <c r="D15"/>
      <c r="E15"/>
      <c r="G15" s="69"/>
    </row>
    <row r="16" spans="1:7" s="388" customFormat="1" ht="32.25" customHeight="1" thickBot="1">
      <c r="A16" s="412" t="s">
        <v>361</v>
      </c>
      <c r="B16" s="1060" t="s">
        <v>538</v>
      </c>
      <c r="C16" s="1061"/>
    </row>
    <row r="17" spans="1:3" s="16" customFormat="1" ht="15.75">
      <c r="A17" s="99"/>
      <c r="B17" s="71"/>
      <c r="C17" s="100"/>
    </row>
    <row r="18" spans="1:3">
      <c r="A18" s="96" t="s">
        <v>364</v>
      </c>
      <c r="B18" s="70" t="s">
        <v>376</v>
      </c>
      <c r="C18" s="101" t="s">
        <v>375</v>
      </c>
    </row>
    <row r="19" spans="1:3" s="341" customFormat="1">
      <c r="A19" s="379" t="s">
        <v>362</v>
      </c>
      <c r="B19" s="380" t="s">
        <v>684</v>
      </c>
      <c r="C19" s="381" t="s">
        <v>536</v>
      </c>
    </row>
    <row r="20" spans="1:3" s="341" customFormat="1">
      <c r="A20" s="382"/>
      <c r="B20" s="338"/>
      <c r="C20" s="383"/>
    </row>
    <row r="21" spans="1:3" s="341" customFormat="1">
      <c r="A21" s="384" t="s">
        <v>363</v>
      </c>
      <c r="B21" s="380" t="s">
        <v>533</v>
      </c>
      <c r="C21" s="381" t="s">
        <v>537</v>
      </c>
    </row>
    <row r="22" spans="1:3" s="341" customFormat="1">
      <c r="A22" s="385"/>
      <c r="B22" s="338"/>
      <c r="C22" s="383"/>
    </row>
    <row r="23" spans="1:3" s="341" customFormat="1" ht="30">
      <c r="A23" s="379" t="s">
        <v>450</v>
      </c>
      <c r="B23" s="452" t="s">
        <v>454</v>
      </c>
      <c r="C23" s="381" t="s">
        <v>534</v>
      </c>
    </row>
    <row r="24" spans="1:3" s="341" customFormat="1">
      <c r="A24" s="385"/>
      <c r="B24" s="338"/>
      <c r="C24" s="383"/>
    </row>
    <row r="25" spans="1:3" s="341" customFormat="1">
      <c r="A25" s="379" t="s">
        <v>452</v>
      </c>
      <c r="B25" s="380" t="s">
        <v>451</v>
      </c>
      <c r="C25" s="381" t="s">
        <v>535</v>
      </c>
    </row>
    <row r="26" spans="1:3" s="341" customFormat="1">
      <c r="A26" s="385"/>
      <c r="B26" s="338"/>
      <c r="C26" s="383"/>
    </row>
    <row r="27" spans="1:3" s="341" customFormat="1">
      <c r="A27" s="379" t="s">
        <v>423</v>
      </c>
      <c r="B27" s="380" t="s">
        <v>449</v>
      </c>
      <c r="C27" s="381"/>
    </row>
    <row r="28" spans="1:3" s="341" customFormat="1">
      <c r="A28" s="385"/>
      <c r="B28" s="338" t="s">
        <v>591</v>
      </c>
      <c r="C28" s="383"/>
    </row>
    <row r="29" spans="1:3" ht="15.75" thickBot="1">
      <c r="A29" s="45"/>
      <c r="B29" s="44"/>
      <c r="C29" s="97"/>
    </row>
    <row r="30" spans="1:3" s="388" customFormat="1" ht="15.75" thickBot="1">
      <c r="A30" s="412" t="s">
        <v>373</v>
      </c>
      <c r="B30" s="413"/>
      <c r="C30" s="414"/>
    </row>
    <row r="31" spans="1:3" s="16" customFormat="1" ht="15.75">
      <c r="A31" s="99"/>
      <c r="B31" s="72"/>
      <c r="C31" s="103"/>
    </row>
    <row r="32" spans="1:3" s="16" customFormat="1">
      <c r="A32" s="104" t="s">
        <v>374</v>
      </c>
      <c r="B32" s="74" t="s">
        <v>376</v>
      </c>
      <c r="C32" s="105"/>
    </row>
    <row r="33" spans="1:3" s="406" customFormat="1">
      <c r="A33" s="403" t="s">
        <v>365</v>
      </c>
      <c r="B33" s="404" t="s">
        <v>377</v>
      </c>
      <c r="C33" s="405"/>
    </row>
    <row r="34" spans="1:3" s="406" customFormat="1">
      <c r="A34" s="407" t="s">
        <v>366</v>
      </c>
      <c r="B34" s="408" t="s">
        <v>367</v>
      </c>
      <c r="C34" s="409"/>
    </row>
    <row r="35" spans="1:3" s="406" customFormat="1">
      <c r="A35" s="410" t="s">
        <v>368</v>
      </c>
      <c r="B35" s="408" t="s">
        <v>369</v>
      </c>
      <c r="C35" s="409"/>
    </row>
    <row r="36" spans="1:3" s="406" customFormat="1">
      <c r="A36" s="411" t="s">
        <v>370</v>
      </c>
      <c r="B36" s="408" t="s">
        <v>371</v>
      </c>
      <c r="C36" s="409"/>
    </row>
    <row r="37" spans="1:3" s="406" customFormat="1" ht="30">
      <c r="A37" s="440" t="s">
        <v>372</v>
      </c>
      <c r="B37" s="408" t="s">
        <v>482</v>
      </c>
      <c r="C37" s="409"/>
    </row>
    <row r="38" spans="1:3" ht="15.75" thickBot="1">
      <c r="A38" s="441"/>
      <c r="B38" s="442"/>
      <c r="C38" s="443"/>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6.5703125" style="459" bestFit="1" customWidth="1"/>
    <col min="8" max="8" width="8.14062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26.42578125" style="459" bestFit="1"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478"/>
      <c r="B4" s="476"/>
      <c r="C4" s="508"/>
      <c r="D4" s="508"/>
      <c r="E4" s="508"/>
      <c r="F4" s="508"/>
      <c r="G4" s="508"/>
      <c r="H4" s="508"/>
      <c r="I4" s="508"/>
      <c r="J4" s="508"/>
      <c r="K4" s="508"/>
      <c r="L4" s="508"/>
      <c r="M4" s="508"/>
      <c r="N4" s="508"/>
      <c r="O4" s="508"/>
      <c r="P4" s="508"/>
    </row>
    <row r="5" spans="1:16" outlineLevel="1">
      <c r="A5" s="478"/>
      <c r="B5" s="476"/>
      <c r="C5" s="508"/>
      <c r="D5" s="508"/>
      <c r="E5" s="508"/>
      <c r="F5" s="508"/>
      <c r="G5" s="508"/>
      <c r="H5" s="508"/>
      <c r="I5" s="508"/>
      <c r="J5" s="508"/>
      <c r="K5" s="508"/>
      <c r="L5" s="508"/>
      <c r="M5" s="508"/>
      <c r="N5" s="508"/>
      <c r="O5" s="508"/>
      <c r="P5" s="508"/>
    </row>
    <row r="6" spans="1:16" outlineLevel="1">
      <c r="A6" s="478"/>
      <c r="B6" s="476"/>
      <c r="C6" s="508"/>
      <c r="D6" s="508"/>
      <c r="E6" s="508"/>
      <c r="F6" s="508"/>
      <c r="G6" s="508"/>
      <c r="H6" s="508"/>
      <c r="I6" s="508"/>
      <c r="J6" s="508"/>
      <c r="K6" s="508"/>
      <c r="L6" s="508"/>
      <c r="M6" s="508"/>
      <c r="N6" s="508"/>
      <c r="O6" s="508"/>
      <c r="P6" s="508"/>
    </row>
    <row r="7" spans="1:16" outlineLevel="1">
      <c r="A7" s="478"/>
      <c r="B7" s="476"/>
      <c r="C7" s="508"/>
      <c r="D7" s="508"/>
      <c r="E7" s="508"/>
      <c r="F7" s="508"/>
      <c r="G7" s="508"/>
      <c r="H7" s="508"/>
      <c r="I7" s="508"/>
      <c r="J7" s="508"/>
      <c r="K7" s="508"/>
      <c r="L7" s="508"/>
      <c r="M7" s="508"/>
      <c r="N7" s="508"/>
      <c r="O7" s="508"/>
      <c r="P7" s="508"/>
    </row>
    <row r="8" spans="1:16" outlineLevel="1">
      <c r="A8" s="684"/>
      <c r="B8" s="476"/>
      <c r="C8" s="508"/>
      <c r="D8" s="508"/>
      <c r="E8" s="508"/>
      <c r="F8" s="508"/>
      <c r="G8" s="508"/>
      <c r="H8" s="508"/>
      <c r="I8" s="508"/>
      <c r="J8" s="508"/>
      <c r="K8" s="508"/>
      <c r="L8" s="508"/>
      <c r="M8" s="508"/>
      <c r="N8" s="508"/>
      <c r="O8" s="508"/>
      <c r="P8" s="508"/>
    </row>
    <row r="9" spans="1:16" outlineLevel="1">
      <c r="A9" s="478"/>
      <c r="B9" s="476"/>
      <c r="C9" s="508"/>
      <c r="D9" s="508"/>
      <c r="E9" s="508"/>
      <c r="F9" s="508"/>
      <c r="G9" s="508"/>
      <c r="H9" s="508"/>
      <c r="I9" s="508"/>
      <c r="J9" s="508"/>
      <c r="K9" s="508"/>
      <c r="L9" s="508"/>
      <c r="M9" s="508"/>
      <c r="N9" s="508"/>
      <c r="O9" s="508"/>
      <c r="P9" s="508"/>
    </row>
    <row r="10" spans="1:16" outlineLevel="1">
      <c r="A10" s="478"/>
      <c r="B10" s="476"/>
      <c r="C10" s="508"/>
      <c r="D10" s="508"/>
      <c r="E10" s="508"/>
      <c r="F10" s="508"/>
      <c r="G10" s="508"/>
      <c r="H10" s="508"/>
      <c r="I10" s="508"/>
      <c r="J10" s="508"/>
      <c r="K10" s="508"/>
      <c r="L10" s="508"/>
      <c r="M10" s="508"/>
      <c r="N10" s="508"/>
      <c r="O10" s="508"/>
      <c r="P10" s="508"/>
    </row>
    <row r="11" spans="1:16" outlineLevel="1">
      <c r="A11" s="478"/>
      <c r="B11" s="476"/>
      <c r="C11" s="508"/>
      <c r="D11" s="508"/>
      <c r="E11" s="508"/>
      <c r="F11" s="508"/>
      <c r="G11" s="508"/>
      <c r="H11" s="508"/>
      <c r="I11" s="508"/>
      <c r="J11" s="508"/>
      <c r="K11" s="508"/>
      <c r="L11" s="508"/>
      <c r="M11" s="508"/>
      <c r="N11" s="508"/>
      <c r="O11" s="508"/>
      <c r="P11" s="508"/>
    </row>
    <row r="12" spans="1:16" ht="15.75" outlineLevel="1" thickBot="1">
      <c r="A12" s="478"/>
      <c r="B12" s="476"/>
      <c r="C12" s="508"/>
      <c r="D12" s="508"/>
      <c r="E12" s="508"/>
      <c r="F12" s="508"/>
      <c r="G12" s="508"/>
      <c r="H12" s="508"/>
      <c r="I12" s="508"/>
      <c r="J12" s="508"/>
      <c r="K12" s="508"/>
      <c r="L12" s="508"/>
      <c r="M12" s="508"/>
      <c r="N12" s="508"/>
      <c r="O12" s="508"/>
      <c r="P12" s="508"/>
    </row>
    <row r="13" spans="1:16" ht="25.5" customHeight="1" outlineLevel="1" thickBot="1">
      <c r="A13" s="479" t="s">
        <v>594</v>
      </c>
      <c r="B13" s="461"/>
      <c r="C13" s="480"/>
      <c r="D13" s="480"/>
      <c r="E13" s="480"/>
      <c r="F13" s="480"/>
      <c r="G13" s="480"/>
      <c r="H13" s="480"/>
      <c r="I13" s="480"/>
      <c r="J13" s="480"/>
      <c r="K13" s="480"/>
      <c r="L13" s="480"/>
      <c r="M13" s="480"/>
      <c r="N13" s="480"/>
      <c r="O13" s="1181"/>
      <c r="P13" s="1181"/>
    </row>
    <row r="14" spans="1:16" outlineLevel="1">
      <c r="A14" s="478"/>
      <c r="B14" s="53"/>
      <c r="C14" s="508"/>
      <c r="D14" s="508"/>
      <c r="E14" s="508"/>
      <c r="F14" s="508"/>
      <c r="G14" s="508"/>
      <c r="H14" s="508"/>
      <c r="I14" s="508"/>
      <c r="J14" s="508"/>
      <c r="K14" s="508"/>
      <c r="L14" s="508"/>
      <c r="M14" s="508"/>
      <c r="N14" s="508"/>
      <c r="O14" s="508"/>
      <c r="P14" s="508"/>
    </row>
    <row r="15" spans="1:16" s="473" customFormat="1" outlineLevel="1">
      <c r="A15" s="481" t="s">
        <v>306</v>
      </c>
      <c r="B15" s="482">
        <f>SUM(B4:B12)</f>
        <v>0</v>
      </c>
      <c r="C15" s="483"/>
      <c r="D15" s="483"/>
      <c r="E15" s="483"/>
      <c r="F15" s="483"/>
      <c r="G15" s="483"/>
      <c r="H15" s="483"/>
      <c r="I15" s="483"/>
      <c r="J15" s="483"/>
      <c r="K15" s="483"/>
      <c r="L15" s="483"/>
      <c r="M15" s="483"/>
      <c r="N15" s="483"/>
      <c r="O15" s="484"/>
      <c r="P15" s="484"/>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0.16752363209235635</v>
      </c>
      <c r="C17" s="510">
        <f ca="1">'EF ele_warmte'!B22</f>
        <v>0.23727688128042965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c r="D19" s="487"/>
      <c r="E19" s="487"/>
      <c r="F19" s="487"/>
      <c r="G19" s="487"/>
      <c r="H19" s="487"/>
      <c r="I19" s="487"/>
      <c r="J19" s="487"/>
      <c r="K19" s="487"/>
      <c r="L19" s="487"/>
      <c r="M19" s="487"/>
      <c r="N19" s="487"/>
      <c r="O19" s="487"/>
      <c r="P19" s="487"/>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3">
    <tabColor theme="8"/>
  </sheetPr>
  <dimension ref="A1:P31"/>
  <sheetViews>
    <sheetView showGridLines="0" topLeftCell="A7" workbookViewId="0">
      <selection activeCell="M27" sqref="M27"/>
    </sheetView>
  </sheetViews>
  <sheetFormatPr defaultColWidth="9.140625" defaultRowHeight="15"/>
  <cols>
    <col min="1" max="1" width="34.7109375" style="459" customWidth="1"/>
    <col min="2" max="2" width="14.140625" style="459" customWidth="1"/>
    <col min="3" max="3" width="16.42578125" style="459" customWidth="1"/>
    <col min="4" max="4" width="15" style="459" customWidth="1"/>
    <col min="5" max="5" width="13.85546875" style="459" customWidth="1"/>
    <col min="6" max="6" width="14.85546875" style="459" customWidth="1"/>
    <col min="7" max="7" width="14.7109375" style="459" customWidth="1"/>
    <col min="8" max="8" width="14.28515625" style="459"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16.140625" style="459" customWidth="1"/>
    <col min="16" max="16" width="17.5703125" style="459" customWidth="1"/>
    <col min="17" max="17" width="9.140625" style="459"/>
    <col min="18" max="18" width="20.42578125" style="459" customWidth="1"/>
    <col min="19" max="16384" width="9.140625" style="459"/>
  </cols>
  <sheetData>
    <row r="1" spans="1:16" ht="15.75" customHeight="1" thickTop="1" thickBot="1">
      <c r="A1" s="1174" t="s">
        <v>328</v>
      </c>
      <c r="B1" s="1175" t="s">
        <v>195</v>
      </c>
      <c r="C1" s="1176"/>
      <c r="D1" s="1176"/>
      <c r="E1" s="1176"/>
      <c r="F1" s="1176"/>
      <c r="G1" s="1176"/>
      <c r="H1" s="1176"/>
      <c r="I1" s="1176"/>
      <c r="J1" s="1176"/>
      <c r="K1" s="1176"/>
      <c r="L1" s="1176"/>
      <c r="M1" s="1176"/>
      <c r="N1" s="1176"/>
      <c r="O1" s="1176"/>
      <c r="P1" s="1176"/>
    </row>
    <row r="2" spans="1:16" ht="15" customHeight="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c r="B4" s="476"/>
      <c r="C4" s="508"/>
      <c r="D4" s="477"/>
      <c r="E4" s="477"/>
      <c r="F4" s="508"/>
      <c r="G4" s="477"/>
      <c r="H4" s="477"/>
      <c r="I4" s="508"/>
      <c r="J4" s="508"/>
      <c r="K4" s="508"/>
      <c r="L4" s="508"/>
      <c r="M4" s="508"/>
      <c r="N4" s="508"/>
      <c r="O4" s="508"/>
      <c r="P4" s="508"/>
    </row>
    <row r="5" spans="1:16">
      <c r="B5" s="476"/>
      <c r="C5" s="53"/>
      <c r="D5" s="476"/>
      <c r="E5" s="476"/>
      <c r="F5" s="53"/>
      <c r="G5" s="476"/>
      <c r="H5" s="476"/>
      <c r="I5" s="53"/>
      <c r="J5" s="53"/>
      <c r="K5" s="53"/>
      <c r="L5" s="53"/>
      <c r="M5" s="53"/>
      <c r="N5" s="53"/>
      <c r="O5" s="53"/>
      <c r="P5" s="53"/>
    </row>
    <row r="6" spans="1:16">
      <c r="B6" s="476"/>
      <c r="C6" s="53"/>
      <c r="D6" s="476"/>
      <c r="E6" s="476"/>
      <c r="F6" s="53"/>
      <c r="G6" s="476"/>
      <c r="H6" s="476"/>
      <c r="I6" s="53"/>
      <c r="J6" s="53"/>
      <c r="K6" s="53"/>
      <c r="L6" s="53"/>
      <c r="M6" s="53"/>
      <c r="N6" s="53"/>
      <c r="O6" s="53"/>
      <c r="P6" s="53"/>
    </row>
    <row r="7" spans="1:16">
      <c r="B7" s="476"/>
      <c r="C7" s="53"/>
      <c r="D7" s="476"/>
      <c r="E7" s="476"/>
      <c r="F7" s="53"/>
      <c r="G7" s="476"/>
      <c r="H7" s="476"/>
      <c r="I7" s="53"/>
      <c r="J7" s="53"/>
      <c r="K7" s="53"/>
      <c r="L7" s="53"/>
      <c r="M7" s="53"/>
      <c r="N7" s="53"/>
      <c r="O7" s="53"/>
      <c r="P7" s="53"/>
    </row>
    <row r="8" spans="1:16">
      <c r="A8" s="473"/>
      <c r="B8" s="476"/>
      <c r="C8" s="53"/>
      <c r="D8" s="476"/>
      <c r="E8" s="476"/>
      <c r="F8" s="53"/>
      <c r="G8" s="476"/>
      <c r="H8" s="476"/>
      <c r="I8" s="53"/>
      <c r="J8" s="53"/>
      <c r="K8" s="53"/>
      <c r="L8" s="53"/>
      <c r="M8" s="53"/>
      <c r="N8" s="53"/>
      <c r="O8" s="53"/>
      <c r="P8" s="53"/>
    </row>
    <row r="9" spans="1:16">
      <c r="B9" s="476"/>
      <c r="C9" s="53"/>
      <c r="D9" s="476"/>
      <c r="E9" s="476"/>
      <c r="F9" s="53"/>
      <c r="G9" s="476"/>
      <c r="H9" s="476"/>
      <c r="I9" s="53"/>
      <c r="J9" s="53"/>
      <c r="K9" s="53"/>
      <c r="L9" s="53"/>
      <c r="M9" s="53"/>
      <c r="N9" s="53"/>
      <c r="O9" s="53"/>
      <c r="P9" s="53"/>
    </row>
    <row r="10" spans="1:16">
      <c r="B10" s="476"/>
      <c r="C10" s="53"/>
      <c r="D10" s="476"/>
      <c r="E10" s="476"/>
      <c r="F10" s="53"/>
      <c r="G10" s="476"/>
      <c r="H10" s="476"/>
      <c r="I10" s="53"/>
      <c r="J10" s="53"/>
      <c r="K10" s="53"/>
      <c r="L10" s="53"/>
      <c r="M10" s="53"/>
      <c r="N10" s="53"/>
      <c r="O10" s="53"/>
      <c r="P10" s="53"/>
    </row>
    <row r="11" spans="1:16">
      <c r="B11" s="476"/>
      <c r="C11" s="53"/>
      <c r="D11" s="476"/>
      <c r="E11" s="476"/>
      <c r="F11" s="53"/>
      <c r="G11" s="476"/>
      <c r="H11" s="476"/>
      <c r="I11" s="53"/>
      <c r="J11" s="53"/>
      <c r="K11" s="53"/>
      <c r="L11" s="53"/>
      <c r="M11" s="53"/>
      <c r="N11" s="53"/>
      <c r="O11" s="53"/>
      <c r="P11" s="53"/>
    </row>
    <row r="12" spans="1:16">
      <c r="B12" s="476"/>
      <c r="C12" s="53"/>
      <c r="D12" s="476"/>
      <c r="E12" s="476"/>
      <c r="F12" s="53"/>
      <c r="G12" s="476"/>
      <c r="H12" s="476"/>
      <c r="I12" s="53"/>
      <c r="J12" s="53"/>
      <c r="K12" s="53"/>
      <c r="L12" s="53"/>
      <c r="M12" s="53"/>
      <c r="N12" s="53"/>
      <c r="O12" s="53"/>
      <c r="P12" s="53"/>
    </row>
    <row r="13" spans="1:16">
      <c r="B13" s="476"/>
      <c r="C13" s="53"/>
      <c r="D13" s="476"/>
      <c r="E13" s="476"/>
      <c r="F13" s="53"/>
      <c r="G13" s="476"/>
      <c r="H13" s="476"/>
      <c r="I13" s="53"/>
      <c r="J13" s="53"/>
      <c r="K13" s="53"/>
      <c r="L13" s="53"/>
      <c r="M13" s="53"/>
      <c r="N13" s="53"/>
      <c r="O13" s="53"/>
      <c r="P13" s="53"/>
    </row>
    <row r="14" spans="1:16">
      <c r="B14" s="476"/>
      <c r="C14" s="53"/>
      <c r="D14" s="476"/>
      <c r="E14" s="476"/>
      <c r="F14" s="53"/>
      <c r="G14" s="476"/>
      <c r="H14" s="476"/>
      <c r="I14" s="53"/>
      <c r="J14" s="53"/>
      <c r="K14" s="53"/>
      <c r="L14" s="53"/>
      <c r="M14" s="53"/>
      <c r="N14" s="53"/>
      <c r="O14" s="53"/>
      <c r="P14" s="53"/>
    </row>
    <row r="15" spans="1:16">
      <c r="B15" s="476"/>
      <c r="C15" s="53"/>
      <c r="D15" s="476"/>
      <c r="E15" s="476"/>
      <c r="F15" s="53"/>
      <c r="G15" s="476"/>
      <c r="H15" s="476"/>
      <c r="I15" s="53"/>
      <c r="J15" s="53"/>
      <c r="K15" s="53"/>
      <c r="L15" s="53"/>
      <c r="M15" s="53"/>
      <c r="N15" s="53"/>
      <c r="O15" s="53"/>
      <c r="P15" s="53"/>
    </row>
    <row r="16" spans="1:16">
      <c r="B16" s="476"/>
      <c r="C16" s="53"/>
      <c r="D16" s="476"/>
      <c r="E16" s="476"/>
      <c r="F16" s="53"/>
      <c r="G16" s="476"/>
      <c r="H16" s="476"/>
      <c r="I16" s="53"/>
      <c r="J16" s="53"/>
      <c r="K16" s="53"/>
      <c r="L16" s="53"/>
      <c r="M16" s="53"/>
      <c r="N16" s="53"/>
      <c r="O16" s="53"/>
      <c r="P16" s="53"/>
    </row>
    <row r="17" spans="1:16">
      <c r="B17" s="476"/>
      <c r="C17" s="53"/>
      <c r="D17" s="476"/>
      <c r="E17" s="476"/>
      <c r="F17" s="53"/>
      <c r="G17" s="476"/>
      <c r="H17" s="476"/>
      <c r="I17" s="53"/>
      <c r="J17" s="53"/>
      <c r="K17" s="53"/>
      <c r="L17" s="53"/>
      <c r="M17" s="53"/>
      <c r="N17" s="53"/>
      <c r="O17" s="53"/>
      <c r="P17" s="53"/>
    </row>
    <row r="18" spans="1:16">
      <c r="B18" s="476"/>
      <c r="C18" s="53"/>
      <c r="D18" s="476"/>
      <c r="E18" s="476"/>
      <c r="F18" s="53"/>
      <c r="G18" s="476"/>
      <c r="H18" s="476"/>
      <c r="I18" s="53"/>
      <c r="J18" s="53"/>
      <c r="K18" s="53"/>
      <c r="L18" s="53"/>
      <c r="M18" s="53"/>
      <c r="N18" s="53"/>
      <c r="O18" s="53"/>
      <c r="P18" s="53"/>
    </row>
    <row r="19" spans="1:16">
      <c r="B19" s="476"/>
      <c r="C19" s="53"/>
      <c r="D19" s="476"/>
      <c r="E19" s="476"/>
      <c r="F19" s="53"/>
      <c r="G19" s="476"/>
      <c r="H19" s="476"/>
      <c r="I19" s="53"/>
      <c r="J19" s="53"/>
      <c r="K19" s="53"/>
      <c r="L19" s="53"/>
      <c r="M19" s="53"/>
      <c r="N19" s="53"/>
      <c r="O19" s="53"/>
      <c r="P19" s="53"/>
    </row>
    <row r="20" spans="1:16">
      <c r="B20" s="476"/>
      <c r="C20" s="53"/>
      <c r="D20" s="476"/>
      <c r="E20" s="476"/>
      <c r="F20" s="53"/>
      <c r="G20" s="476"/>
      <c r="H20" s="476"/>
      <c r="I20" s="53"/>
      <c r="J20" s="53"/>
      <c r="K20" s="53"/>
      <c r="L20" s="53"/>
      <c r="M20" s="53"/>
      <c r="N20" s="53"/>
      <c r="O20" s="53"/>
      <c r="P20" s="53"/>
    </row>
    <row r="21" spans="1:16">
      <c r="B21" s="476"/>
      <c r="C21" s="53"/>
      <c r="D21" s="476"/>
      <c r="E21" s="476"/>
      <c r="F21" s="53"/>
      <c r="G21" s="476"/>
      <c r="H21" s="476"/>
      <c r="I21" s="53"/>
      <c r="J21" s="53"/>
      <c r="K21" s="53"/>
      <c r="L21" s="53"/>
      <c r="M21" s="53"/>
      <c r="N21" s="53"/>
      <c r="O21" s="53"/>
      <c r="P21" s="53"/>
    </row>
    <row r="22" spans="1:16">
      <c r="B22" s="476"/>
      <c r="C22" s="53"/>
      <c r="D22" s="476"/>
      <c r="E22" s="476"/>
      <c r="F22" s="53"/>
      <c r="G22" s="476"/>
      <c r="H22" s="476"/>
      <c r="I22" s="53"/>
      <c r="J22" s="53"/>
      <c r="K22" s="53"/>
      <c r="L22" s="53"/>
      <c r="M22" s="53"/>
      <c r="N22" s="53"/>
      <c r="O22" s="53"/>
      <c r="P22" s="53"/>
    </row>
    <row r="23" spans="1:16" ht="15.75" thickBot="1">
      <c r="B23" s="476"/>
      <c r="C23" s="53"/>
      <c r="D23" s="476"/>
      <c r="E23" s="476"/>
      <c r="F23" s="53"/>
      <c r="G23" s="476"/>
      <c r="H23" s="476"/>
      <c r="I23" s="53"/>
      <c r="J23" s="53"/>
      <c r="K23" s="53"/>
      <c r="L23" s="53"/>
      <c r="M23" s="53"/>
      <c r="N23" s="53"/>
      <c r="O23" s="53"/>
      <c r="P23" s="53"/>
    </row>
    <row r="24" spans="1:16" ht="15.75" thickBot="1">
      <c r="A24" s="479" t="s">
        <v>594</v>
      </c>
    </row>
    <row r="26" spans="1:16" s="473" customFormat="1">
      <c r="A26" s="481" t="s">
        <v>543</v>
      </c>
      <c r="B26" s="481">
        <f t="shared" ref="B26:H26" si="0">SUM(B4:B23)</f>
        <v>0</v>
      </c>
      <c r="C26" s="481"/>
      <c r="D26" s="481">
        <f t="shared" si="0"/>
        <v>0</v>
      </c>
      <c r="E26" s="481">
        <f t="shared" si="0"/>
        <v>0</v>
      </c>
      <c r="F26" s="481"/>
      <c r="G26" s="481">
        <f t="shared" si="0"/>
        <v>0</v>
      </c>
      <c r="H26" s="481">
        <f t="shared" si="0"/>
        <v>0</v>
      </c>
      <c r="I26" s="481"/>
      <c r="J26" s="481"/>
      <c r="K26" s="481"/>
      <c r="L26" s="481"/>
      <c r="M26" s="481"/>
      <c r="N26" s="481"/>
      <c r="O26" s="481"/>
      <c r="P26" s="481"/>
    </row>
    <row r="27" spans="1:16" s="473" customFormat="1">
      <c r="A27" s="481" t="s">
        <v>612</v>
      </c>
      <c r="B27" s="481">
        <f>B26</f>
        <v>0</v>
      </c>
      <c r="C27" s="481"/>
      <c r="D27" s="481">
        <f>D26</f>
        <v>0</v>
      </c>
      <c r="E27" s="481">
        <f>E26</f>
        <v>0</v>
      </c>
      <c r="F27" s="481"/>
      <c r="G27" s="481">
        <f>(1-transport!C35)*'Eigen vloot'!G26</f>
        <v>0</v>
      </c>
      <c r="H27" s="481">
        <f>(1-transport!C42)*'Eigen vloot'!H26</f>
        <v>0</v>
      </c>
      <c r="I27" s="481"/>
      <c r="J27" s="481"/>
      <c r="K27" s="481"/>
      <c r="L27" s="481"/>
      <c r="M27" s="685">
        <f>G26*transport!C35+'Eigen vloot'!H26*transport!C42</f>
        <v>0</v>
      </c>
      <c r="N27" s="481"/>
      <c r="O27" s="481"/>
      <c r="P27" s="481"/>
    </row>
    <row r="29" spans="1:16">
      <c r="A29" s="486" t="s">
        <v>621</v>
      </c>
      <c r="B29" s="511">
        <f ca="1">'EF ele_warmte'!B12</f>
        <v>0.16752363209235635</v>
      </c>
      <c r="C29" s="511">
        <f ca="1">'EF ele_warmte'!B22</f>
        <v>0.23727688128042965</v>
      </c>
      <c r="D29" s="511">
        <f>EF_CO2_aardgas</f>
        <v>0.20200000000000001</v>
      </c>
      <c r="E29" s="511">
        <f>EF_VLgas_CO2</f>
        <v>0.22700000000000001</v>
      </c>
      <c r="F29" s="511">
        <f>EF_stookolie_CO2</f>
        <v>0.26700000000000002</v>
      </c>
      <c r="G29" s="511">
        <f>EF_diesel_CO2</f>
        <v>0.26700000000000002</v>
      </c>
      <c r="H29" s="511">
        <f>EF_benzine_CO2</f>
        <v>0.249</v>
      </c>
      <c r="I29" s="511">
        <f>EF_bruinkool_CO2</f>
        <v>0.35099999999999998</v>
      </c>
      <c r="J29" s="511">
        <f>EF_steenkool_CO2</f>
        <v>0.35399999999999998</v>
      </c>
      <c r="K29" s="511">
        <f>EF_anderfossiel_CO2</f>
        <v>0.26400000000000001</v>
      </c>
      <c r="L29" s="511">
        <f>'EF brandstof'!J4</f>
        <v>0</v>
      </c>
      <c r="M29" s="511">
        <f>'EF brandstof'!K4</f>
        <v>0</v>
      </c>
      <c r="N29" s="511">
        <f>'EF brandstof'!L4</f>
        <v>0</v>
      </c>
      <c r="O29" s="511">
        <v>0</v>
      </c>
      <c r="P29" s="511">
        <v>0</v>
      </c>
    </row>
    <row r="31" spans="1:16">
      <c r="A31" s="481" t="s">
        <v>213</v>
      </c>
      <c r="B31" s="686">
        <f ca="1">B27*B29</f>
        <v>0</v>
      </c>
      <c r="C31" s="686"/>
      <c r="D31" s="686">
        <f>D27*D29</f>
        <v>0</v>
      </c>
      <c r="E31" s="686">
        <f>E27*E29</f>
        <v>0</v>
      </c>
      <c r="F31" s="686"/>
      <c r="G31" s="686">
        <f>G27*G29</f>
        <v>0</v>
      </c>
      <c r="H31" s="686">
        <f>H27*H29</f>
        <v>0</v>
      </c>
      <c r="I31" s="686"/>
      <c r="J31" s="686"/>
      <c r="K31" s="686"/>
      <c r="L31" s="686"/>
      <c r="M31" s="686">
        <f>M27*M29</f>
        <v>0</v>
      </c>
      <c r="N31" s="509"/>
      <c r="O31" s="509"/>
      <c r="P31" s="50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sheetPr codeName="Sheet22">
    <tabColor theme="8"/>
  </sheetPr>
  <dimension ref="A1:K63"/>
  <sheetViews>
    <sheetView showGridLines="0" topLeftCell="A34" workbookViewId="0">
      <selection activeCell="D44" sqref="D44"/>
    </sheetView>
  </sheetViews>
  <sheetFormatPr defaultRowHeight="15"/>
  <cols>
    <col min="1" max="1" width="54" bestFit="1" customWidth="1"/>
    <col min="2" max="2" width="26" style="459" bestFit="1" customWidth="1"/>
    <col min="3" max="3" width="26" customWidth="1"/>
    <col min="4" max="4" width="69.42578125" customWidth="1"/>
  </cols>
  <sheetData>
    <row r="1" spans="1:11" s="44" customFormat="1" ht="15.75" thickBot="1">
      <c r="B1" s="461"/>
    </row>
    <row r="2" spans="1:11" s="44" customFormat="1">
      <c r="A2" s="187" t="s">
        <v>540</v>
      </c>
      <c r="B2" s="512"/>
      <c r="C2" s="188"/>
      <c r="D2" s="189"/>
    </row>
    <row r="3" spans="1:11">
      <c r="A3" s="102"/>
      <c r="B3" s="513"/>
      <c r="C3" s="143" t="s">
        <v>182</v>
      </c>
      <c r="D3" s="146" t="s">
        <v>393</v>
      </c>
    </row>
    <row r="4" spans="1:11">
      <c r="A4" s="45" t="s">
        <v>455</v>
      </c>
      <c r="B4" s="48"/>
      <c r="C4" s="33"/>
      <c r="D4" s="145" t="s">
        <v>395</v>
      </c>
    </row>
    <row r="5" spans="1:11">
      <c r="A5" s="45"/>
      <c r="B5" s="49"/>
      <c r="C5" s="33"/>
      <c r="D5" s="145"/>
    </row>
    <row r="6" spans="1:11" s="11" customFormat="1" ht="21.75" thickBot="1">
      <c r="A6" s="192" t="s">
        <v>488</v>
      </c>
      <c r="B6" s="514"/>
      <c r="C6" s="193"/>
      <c r="D6" s="194"/>
    </row>
    <row r="7" spans="1:11" s="44" customFormat="1" ht="15.75" thickBot="1">
      <c r="B7" s="461"/>
    </row>
    <row r="8" spans="1:11" s="44" customFormat="1">
      <c r="A8" s="187" t="s">
        <v>553</v>
      </c>
      <c r="B8" s="512"/>
      <c r="C8" s="188"/>
      <c r="D8" s="189"/>
    </row>
    <row r="9" spans="1:11" s="33" customFormat="1">
      <c r="A9" s="47"/>
      <c r="B9" s="515"/>
      <c r="C9" s="43"/>
      <c r="D9" s="305"/>
    </row>
    <row r="10" spans="1:11">
      <c r="A10" s="306" t="s">
        <v>582</v>
      </c>
      <c r="B10" s="513"/>
      <c r="C10" s="143" t="s">
        <v>182</v>
      </c>
      <c r="D10" s="146" t="s">
        <v>393</v>
      </c>
      <c r="I10" s="1182"/>
      <c r="K10" s="59"/>
    </row>
    <row r="11" spans="1:11" s="44" customFormat="1">
      <c r="A11" s="45" t="s">
        <v>583</v>
      </c>
      <c r="B11" s="48"/>
      <c r="D11" s="144" t="s">
        <v>394</v>
      </c>
      <c r="I11" s="1182"/>
      <c r="K11" s="59"/>
    </row>
    <row r="12" spans="1:11" s="44" customFormat="1">
      <c r="A12" s="45" t="s">
        <v>584</v>
      </c>
      <c r="B12" s="48"/>
      <c r="D12" s="144" t="s">
        <v>394</v>
      </c>
      <c r="I12" s="1182"/>
      <c r="K12" s="59"/>
    </row>
    <row r="13" spans="1:11" s="44" customFormat="1">
      <c r="A13" s="45"/>
      <c r="B13" s="461"/>
      <c r="D13" s="97"/>
      <c r="I13" s="1182"/>
    </row>
    <row r="14" spans="1:11" s="44" customFormat="1">
      <c r="A14" s="306" t="s">
        <v>581</v>
      </c>
      <c r="B14" s="513"/>
      <c r="C14" s="143" t="s">
        <v>182</v>
      </c>
      <c r="D14" s="146" t="s">
        <v>393</v>
      </c>
      <c r="I14" s="1182"/>
    </row>
    <row r="15" spans="1:11" s="44" customFormat="1">
      <c r="A15" s="45" t="s">
        <v>71</v>
      </c>
      <c r="B15" s="48"/>
      <c r="D15" s="144" t="s">
        <v>394</v>
      </c>
      <c r="I15" s="1182"/>
      <c r="J15" s="1182"/>
    </row>
    <row r="16" spans="1:11" s="44" customFormat="1">
      <c r="A16" s="45" t="s">
        <v>545</v>
      </c>
      <c r="B16" s="48"/>
      <c r="D16" s="144" t="s">
        <v>394</v>
      </c>
      <c r="I16" s="1182"/>
      <c r="J16" s="1182"/>
    </row>
    <row r="17" spans="1:11" s="44" customFormat="1">
      <c r="A17" s="45" t="s">
        <v>78</v>
      </c>
      <c r="B17" s="48"/>
      <c r="D17" s="144" t="s">
        <v>394</v>
      </c>
      <c r="I17" s="1182"/>
      <c r="J17" s="1182"/>
    </row>
    <row r="18" spans="1:11" s="44" customFormat="1">
      <c r="A18" s="45" t="s">
        <v>546</v>
      </c>
      <c r="B18" s="48"/>
      <c r="D18" s="144" t="s">
        <v>394</v>
      </c>
      <c r="I18" s="1182"/>
      <c r="J18" s="1182"/>
      <c r="K18" s="59"/>
    </row>
    <row r="19" spans="1:11" s="44" customFormat="1">
      <c r="A19" s="45" t="s">
        <v>77</v>
      </c>
      <c r="B19" s="48"/>
      <c r="D19" s="144" t="s">
        <v>394</v>
      </c>
      <c r="I19" s="1182"/>
      <c r="J19" s="1183"/>
      <c r="K19" s="59"/>
    </row>
    <row r="20" spans="1:11" s="44" customFormat="1">
      <c r="A20" s="33" t="s">
        <v>547</v>
      </c>
      <c r="B20" s="48"/>
      <c r="D20" s="144" t="s">
        <v>394</v>
      </c>
      <c r="I20" s="307"/>
      <c r="J20" s="308"/>
      <c r="K20" s="59"/>
    </row>
    <row r="21" spans="1:11" s="44" customFormat="1">
      <c r="A21" s="33" t="s">
        <v>548</v>
      </c>
      <c r="B21" s="48"/>
      <c r="D21" s="144" t="s">
        <v>394</v>
      </c>
      <c r="I21" s="307"/>
      <c r="J21" s="308"/>
      <c r="K21" s="59"/>
    </row>
    <row r="22" spans="1:11" s="44" customFormat="1">
      <c r="A22" s="33" t="s">
        <v>549</v>
      </c>
      <c r="B22" s="48"/>
      <c r="D22" s="144" t="s">
        <v>394</v>
      </c>
      <c r="I22" s="307"/>
      <c r="J22" s="308"/>
      <c r="K22" s="59"/>
    </row>
    <row r="23" spans="1:11">
      <c r="A23" s="33" t="s">
        <v>550</v>
      </c>
      <c r="B23" s="48"/>
      <c r="C23" s="44"/>
      <c r="D23" s="144" t="s">
        <v>394</v>
      </c>
      <c r="I23" s="59"/>
      <c r="J23" s="59"/>
      <c r="K23" s="59"/>
    </row>
    <row r="24" spans="1:11">
      <c r="A24" s="33" t="s">
        <v>551</v>
      </c>
      <c r="B24" s="48"/>
      <c r="C24" s="44"/>
      <c r="D24" s="144" t="s">
        <v>394</v>
      </c>
      <c r="I24" s="59"/>
      <c r="J24" s="59"/>
      <c r="K24" s="59"/>
    </row>
    <row r="25" spans="1:11">
      <c r="A25" s="59"/>
      <c r="B25" s="49"/>
      <c r="C25" s="44"/>
      <c r="D25" s="144"/>
      <c r="I25" s="59"/>
      <c r="J25" s="59"/>
      <c r="K25" s="59"/>
    </row>
    <row r="26" spans="1:11" ht="21.75" thickBot="1">
      <c r="A26" s="192" t="s">
        <v>592</v>
      </c>
      <c r="B26" s="516"/>
      <c r="C26" s="109"/>
      <c r="D26" s="110"/>
      <c r="I26" s="59"/>
      <c r="J26" s="59"/>
      <c r="K26" s="59"/>
    </row>
    <row r="28" spans="1:11" ht="15.75" thickBot="1"/>
    <row r="29" spans="1:11" s="44" customFormat="1">
      <c r="A29" s="187" t="s">
        <v>541</v>
      </c>
      <c r="B29" s="512"/>
      <c r="C29" s="188"/>
      <c r="D29" s="189"/>
    </row>
    <row r="30" spans="1:11" s="33" customFormat="1">
      <c r="A30" s="47"/>
      <c r="B30" s="515"/>
      <c r="C30" s="43"/>
      <c r="D30" s="305"/>
    </row>
    <row r="31" spans="1:11">
      <c r="A31" s="306" t="s">
        <v>582</v>
      </c>
      <c r="B31" s="513"/>
      <c r="C31" s="143" t="s">
        <v>182</v>
      </c>
      <c r="D31" s="146" t="s">
        <v>393</v>
      </c>
    </row>
    <row r="32" spans="1:11">
      <c r="A32" s="451" t="s">
        <v>583</v>
      </c>
      <c r="B32" s="48"/>
      <c r="C32" s="49"/>
      <c r="D32" s="144" t="s">
        <v>394</v>
      </c>
    </row>
    <row r="33" spans="1:11">
      <c r="A33" s="45"/>
      <c r="B33" s="49"/>
      <c r="C33" s="49"/>
      <c r="D33" s="144"/>
    </row>
    <row r="34" spans="1:11" s="44" customFormat="1">
      <c r="A34" s="306" t="s">
        <v>581</v>
      </c>
      <c r="B34" s="513"/>
      <c r="C34" s="143" t="s">
        <v>182</v>
      </c>
      <c r="D34" s="146" t="s">
        <v>393</v>
      </c>
      <c r="I34"/>
    </row>
    <row r="35" spans="1:11" s="44" customFormat="1">
      <c r="A35" s="450" t="s">
        <v>71</v>
      </c>
      <c r="B35" s="48"/>
      <c r="D35" s="144" t="s">
        <v>394</v>
      </c>
      <c r="I35" s="1182"/>
      <c r="J35" s="1182"/>
    </row>
    <row r="36" spans="1:11" s="44" customFormat="1">
      <c r="A36" s="450" t="s">
        <v>545</v>
      </c>
      <c r="B36" s="48"/>
      <c r="D36" s="144" t="s">
        <v>394</v>
      </c>
      <c r="I36" s="1182"/>
      <c r="J36" s="1182"/>
    </row>
    <row r="37" spans="1:11" s="44" customFormat="1">
      <c r="A37" s="450" t="s">
        <v>78</v>
      </c>
      <c r="B37" s="48"/>
      <c r="D37" s="144" t="s">
        <v>394</v>
      </c>
      <c r="I37" s="1182"/>
      <c r="J37" s="1182"/>
    </row>
    <row r="38" spans="1:11" s="44" customFormat="1">
      <c r="A38" s="450" t="s">
        <v>546</v>
      </c>
      <c r="B38" s="48"/>
      <c r="D38" s="144" t="s">
        <v>394</v>
      </c>
      <c r="I38" s="1182"/>
      <c r="J38" s="1182"/>
      <c r="K38" s="59"/>
    </row>
    <row r="39" spans="1:11" s="44" customFormat="1">
      <c r="A39" s="450" t="s">
        <v>77</v>
      </c>
      <c r="B39" s="48"/>
      <c r="D39" s="144" t="s">
        <v>394</v>
      </c>
      <c r="I39" s="1182"/>
      <c r="J39" s="1183"/>
      <c r="K39" s="59"/>
    </row>
    <row r="40" spans="1:11" s="44" customFormat="1">
      <c r="A40" s="184" t="s">
        <v>547</v>
      </c>
      <c r="B40" s="49"/>
      <c r="D40" s="144" t="s">
        <v>394</v>
      </c>
      <c r="I40" s="307"/>
      <c r="J40" s="308"/>
      <c r="K40" s="59"/>
    </row>
    <row r="41" spans="1:11" s="44" customFormat="1">
      <c r="A41" s="184" t="s">
        <v>548</v>
      </c>
      <c r="B41" s="48"/>
      <c r="D41" s="144" t="s">
        <v>394</v>
      </c>
      <c r="I41" s="307"/>
      <c r="J41" s="308"/>
      <c r="K41" s="59"/>
    </row>
    <row r="42" spans="1:11" s="44" customFormat="1">
      <c r="A42" s="184" t="s">
        <v>549</v>
      </c>
      <c r="B42" s="48"/>
      <c r="D42" s="144" t="s">
        <v>394</v>
      </c>
      <c r="I42" s="307"/>
      <c r="J42" s="308"/>
      <c r="K42" s="59"/>
    </row>
    <row r="43" spans="1:11">
      <c r="A43" s="184" t="s">
        <v>550</v>
      </c>
      <c r="B43" s="48"/>
      <c r="C43" s="44"/>
      <c r="D43" s="144" t="s">
        <v>394</v>
      </c>
      <c r="I43" s="59"/>
      <c r="J43" s="59"/>
      <c r="K43" s="59"/>
    </row>
    <row r="44" spans="1:11">
      <c r="A44" s="184" t="s">
        <v>551</v>
      </c>
      <c r="B44" s="48"/>
      <c r="C44" s="44"/>
      <c r="D44" s="144" t="s">
        <v>394</v>
      </c>
      <c r="I44" s="59"/>
      <c r="J44" s="59"/>
      <c r="K44" s="59"/>
    </row>
    <row r="45" spans="1:11" s="16" customFormat="1" ht="21.75" thickBot="1">
      <c r="A45" s="192"/>
      <c r="B45" s="190"/>
      <c r="C45" s="156"/>
      <c r="D45" s="309"/>
      <c r="I45" s="59"/>
      <c r="J45" s="59"/>
      <c r="K45" s="59"/>
    </row>
    <row r="46" spans="1:11" s="16" customFormat="1">
      <c r="A46" s="59"/>
      <c r="B46" s="49"/>
      <c r="C46" s="33"/>
      <c r="D46" s="33"/>
      <c r="I46" s="59"/>
      <c r="J46" s="59"/>
      <c r="K46" s="59"/>
    </row>
    <row r="47" spans="1:11" ht="15.75" thickBot="1"/>
    <row r="48" spans="1:11" s="44" customFormat="1">
      <c r="A48" s="187" t="s">
        <v>392</v>
      </c>
      <c r="B48" s="512"/>
      <c r="C48" s="188"/>
      <c r="D48" s="189"/>
    </row>
    <row r="49" spans="1:4">
      <c r="A49" s="102"/>
      <c r="B49" s="513"/>
      <c r="C49" s="143" t="s">
        <v>182</v>
      </c>
      <c r="D49" s="146" t="s">
        <v>393</v>
      </c>
    </row>
    <row r="50" spans="1:4">
      <c r="A50" s="45" t="s">
        <v>585</v>
      </c>
      <c r="B50" s="48"/>
      <c r="C50" s="33"/>
      <c r="D50" s="145" t="s">
        <v>395</v>
      </c>
    </row>
    <row r="51" spans="1:4">
      <c r="A51" s="45" t="s">
        <v>586</v>
      </c>
      <c r="B51" s="48"/>
      <c r="C51" s="33"/>
      <c r="D51" s="145" t="s">
        <v>395</v>
      </c>
    </row>
    <row r="52" spans="1:4" ht="15.75" thickBot="1">
      <c r="A52" s="46"/>
      <c r="B52" s="190"/>
      <c r="C52" s="156"/>
      <c r="D52" s="195"/>
    </row>
    <row r="54" spans="1:4" ht="15.75" thickBot="1"/>
    <row r="55" spans="1:4" s="44" customFormat="1">
      <c r="A55" s="187" t="s">
        <v>542</v>
      </c>
      <c r="B55" s="512"/>
      <c r="C55" s="188"/>
      <c r="D55" s="189"/>
    </row>
    <row r="56" spans="1:4">
      <c r="A56" s="102"/>
      <c r="B56" s="513"/>
      <c r="C56" s="143" t="s">
        <v>182</v>
      </c>
      <c r="D56" s="146" t="s">
        <v>393</v>
      </c>
    </row>
    <row r="57" spans="1:4">
      <c r="A57" s="45" t="s">
        <v>587</v>
      </c>
      <c r="B57" s="48"/>
      <c r="C57" s="33"/>
      <c r="D57" s="144" t="s">
        <v>155</v>
      </c>
    </row>
    <row r="58" spans="1:4">
      <c r="A58" s="45" t="s">
        <v>588</v>
      </c>
      <c r="B58" s="48"/>
      <c r="C58" s="33"/>
      <c r="D58" s="144" t="s">
        <v>156</v>
      </c>
    </row>
    <row r="59" spans="1:4">
      <c r="A59" s="45" t="s">
        <v>589</v>
      </c>
      <c r="B59" s="48"/>
      <c r="C59" s="49"/>
      <c r="D59" s="144" t="s">
        <v>391</v>
      </c>
    </row>
    <row r="60" spans="1:4">
      <c r="A60" s="45" t="s">
        <v>590</v>
      </c>
      <c r="B60" s="48"/>
      <c r="C60" s="49"/>
      <c r="D60" s="144" t="s">
        <v>112</v>
      </c>
    </row>
    <row r="61" spans="1:4">
      <c r="A61" s="45"/>
      <c r="B61" s="49"/>
      <c r="C61" s="49"/>
      <c r="D61" s="144"/>
    </row>
    <row r="62" spans="1:4" ht="21.75" thickBot="1">
      <c r="A62" s="192" t="s">
        <v>544</v>
      </c>
      <c r="B62" s="190"/>
      <c r="C62" s="190"/>
      <c r="D62" s="191"/>
    </row>
    <row r="63" spans="1:4" s="44" customFormat="1">
      <c r="B63" s="461"/>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sheetPr codeName="Sheet24">
    <tabColor theme="8"/>
  </sheetPr>
  <dimension ref="A1:J36"/>
  <sheetViews>
    <sheetView showGridLines="0" zoomScale="80" zoomScaleNormal="80" workbookViewId="0">
      <selection sqref="A1:E36"/>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47" t="s">
        <v>607</v>
      </c>
      <c r="B1" s="648"/>
      <c r="C1" s="648"/>
      <c r="D1" s="648"/>
      <c r="E1" s="649"/>
    </row>
    <row r="2" spans="1:5">
      <c r="A2" s="660" t="s">
        <v>396</v>
      </c>
      <c r="B2" s="665" t="s">
        <v>532</v>
      </c>
      <c r="C2" s="661"/>
      <c r="D2" s="661"/>
      <c r="E2" s="662"/>
    </row>
    <row r="3" spans="1:5">
      <c r="A3" s="663"/>
      <c r="B3" s="664"/>
      <c r="C3" s="652"/>
      <c r="D3" s="652"/>
      <c r="E3" s="653"/>
    </row>
    <row r="4" spans="1:5" s="335" customFormat="1" ht="45">
      <c r="A4" s="651" t="s">
        <v>611</v>
      </c>
      <c r="B4" s="659" t="s">
        <v>600</v>
      </c>
      <c r="C4" s="680" t="s">
        <v>622</v>
      </c>
      <c r="D4" s="681" t="s">
        <v>623</v>
      </c>
      <c r="E4" s="682" t="s">
        <v>624</v>
      </c>
    </row>
    <row r="5" spans="1:5">
      <c r="A5" s="654" t="s">
        <v>601</v>
      </c>
      <c r="B5" s="646" t="s">
        <v>602</v>
      </c>
      <c r="C5" s="677">
        <v>3.678273E-2</v>
      </c>
      <c r="D5" s="678">
        <v>0.27778000000000003</v>
      </c>
      <c r="E5" s="670">
        <f>C5*D5</f>
        <v>1.0217506739400001E-2</v>
      </c>
    </row>
    <row r="6" spans="1:5">
      <c r="A6" s="654" t="s">
        <v>601</v>
      </c>
      <c r="B6" s="646" t="s">
        <v>603</v>
      </c>
      <c r="C6" s="677">
        <v>4.2278999999999997E-2</v>
      </c>
      <c r="D6" s="678">
        <v>0.27778000000000003</v>
      </c>
      <c r="E6" s="670">
        <f t="shared" ref="E6:E21" si="0">C6*D6</f>
        <v>1.174426062E-2</v>
      </c>
    </row>
    <row r="7" spans="1:5">
      <c r="A7" s="654" t="s">
        <v>601</v>
      </c>
      <c r="B7" s="646" t="s">
        <v>604</v>
      </c>
      <c r="C7" s="677">
        <v>42.279000000000003</v>
      </c>
      <c r="D7" s="678">
        <v>0.27778000000000003</v>
      </c>
      <c r="E7" s="670">
        <f t="shared" si="0"/>
        <v>11.744260620000002</v>
      </c>
    </row>
    <row r="8" spans="1:5">
      <c r="A8" s="654" t="s">
        <v>605</v>
      </c>
      <c r="B8" s="646" t="s">
        <v>602</v>
      </c>
      <c r="C8" s="677">
        <v>3.8573799999999998E-2</v>
      </c>
      <c r="D8" s="678">
        <v>0.27778000000000003</v>
      </c>
      <c r="E8" s="670">
        <f t="shared" si="0"/>
        <v>1.0715030164E-2</v>
      </c>
    </row>
    <row r="9" spans="1:5">
      <c r="A9" s="654" t="s">
        <v>605</v>
      </c>
      <c r="B9" s="646" t="s">
        <v>603</v>
      </c>
      <c r="C9" s="677">
        <v>4.0604000000000001E-2</v>
      </c>
      <c r="D9" s="678">
        <v>0.27778000000000003</v>
      </c>
      <c r="E9" s="670">
        <f t="shared" si="0"/>
        <v>1.1278979120000001E-2</v>
      </c>
    </row>
    <row r="10" spans="1:5">
      <c r="A10" s="654" t="s">
        <v>605</v>
      </c>
      <c r="B10" s="646" t="s">
        <v>604</v>
      </c>
      <c r="C10" s="677">
        <v>40.603999999999999</v>
      </c>
      <c r="D10" s="678">
        <v>0.27778000000000003</v>
      </c>
      <c r="E10" s="670">
        <f t="shared" si="0"/>
        <v>11.278979120000001</v>
      </c>
    </row>
    <row r="11" spans="1:5">
      <c r="A11" s="654" t="s">
        <v>625</v>
      </c>
      <c r="B11" s="646" t="s">
        <v>602</v>
      </c>
      <c r="C11" s="677">
        <v>2.3511000000000001E-2</v>
      </c>
      <c r="D11" s="678">
        <v>0.27778000000000003</v>
      </c>
      <c r="E11" s="670">
        <f t="shared" si="0"/>
        <v>6.5308855800000004E-3</v>
      </c>
    </row>
    <row r="12" spans="1:5">
      <c r="A12" s="654" t="s">
        <v>625</v>
      </c>
      <c r="B12" s="646" t="s">
        <v>603</v>
      </c>
      <c r="C12" s="677">
        <v>4.6100000000000002E-2</v>
      </c>
      <c r="D12" s="678">
        <v>0.27778000000000003</v>
      </c>
      <c r="E12" s="670">
        <f t="shared" si="0"/>
        <v>1.2805658000000001E-2</v>
      </c>
    </row>
    <row r="13" spans="1:5">
      <c r="A13" s="654" t="s">
        <v>625</v>
      </c>
      <c r="B13" s="646" t="s">
        <v>604</v>
      </c>
      <c r="C13" s="677">
        <v>46.1</v>
      </c>
      <c r="D13" s="678">
        <v>0.27778000000000003</v>
      </c>
      <c r="E13" s="670">
        <f t="shared" si="0"/>
        <v>12.805658000000001</v>
      </c>
    </row>
    <row r="14" spans="1:5">
      <c r="A14" s="654" t="s">
        <v>626</v>
      </c>
      <c r="B14" s="646" t="s">
        <v>602</v>
      </c>
      <c r="C14" s="677">
        <v>2.6525139999999999E-2</v>
      </c>
      <c r="D14" s="678">
        <v>0.27778000000000003</v>
      </c>
      <c r="E14" s="670">
        <f t="shared" si="0"/>
        <v>7.3681533892000009E-3</v>
      </c>
    </row>
    <row r="15" spans="1:5">
      <c r="A15" s="654" t="s">
        <v>626</v>
      </c>
      <c r="B15" s="646" t="s">
        <v>603</v>
      </c>
      <c r="C15" s="677">
        <v>4.5733000000000003E-2</v>
      </c>
      <c r="D15" s="678">
        <v>0.27778000000000003</v>
      </c>
      <c r="E15" s="670">
        <f t="shared" si="0"/>
        <v>1.2703712740000001E-2</v>
      </c>
    </row>
    <row r="16" spans="1:5">
      <c r="A16" s="654" t="s">
        <v>626</v>
      </c>
      <c r="B16" s="646" t="s">
        <v>604</v>
      </c>
      <c r="C16" s="677">
        <v>45.732999999999997</v>
      </c>
      <c r="D16" s="678">
        <v>0.27778000000000003</v>
      </c>
      <c r="E16" s="670">
        <f t="shared" si="0"/>
        <v>12.70371274</v>
      </c>
    </row>
    <row r="17" spans="1:10">
      <c r="A17" s="654" t="s">
        <v>609</v>
      </c>
      <c r="B17" s="646" t="s">
        <v>606</v>
      </c>
      <c r="C17" s="677">
        <v>3.2923000000000001E-2</v>
      </c>
      <c r="D17" s="678">
        <f>0.27778</f>
        <v>0.27778000000000003</v>
      </c>
      <c r="E17" s="670">
        <f t="shared" si="0"/>
        <v>9.1453509400000015E-3</v>
      </c>
    </row>
    <row r="18" spans="1:10">
      <c r="A18" s="654" t="s">
        <v>610</v>
      </c>
      <c r="B18" s="646" t="s">
        <v>606</v>
      </c>
      <c r="C18" s="677">
        <v>3.8852400000000002E-2</v>
      </c>
      <c r="D18" s="678">
        <f>0.27778</f>
        <v>0.27778000000000003</v>
      </c>
      <c r="E18" s="670">
        <f t="shared" si="0"/>
        <v>1.0792419672000002E-2</v>
      </c>
    </row>
    <row r="19" spans="1:10">
      <c r="A19" s="654" t="s">
        <v>613</v>
      </c>
      <c r="B19" s="646" t="s">
        <v>602</v>
      </c>
      <c r="C19" s="677">
        <v>2.4812460000000001E-2</v>
      </c>
      <c r="D19" s="678">
        <v>0.27778000000000003</v>
      </c>
      <c r="E19" s="670">
        <f t="shared" si="0"/>
        <v>6.8924051388000009E-3</v>
      </c>
    </row>
    <row r="20" spans="1:10">
      <c r="A20" s="654" t="s">
        <v>613</v>
      </c>
      <c r="B20" s="646" t="s">
        <v>603</v>
      </c>
      <c r="C20" s="677">
        <v>4.5948999999999997E-2</v>
      </c>
      <c r="D20" s="678">
        <v>0.27778000000000003</v>
      </c>
      <c r="E20" s="670">
        <f t="shared" si="0"/>
        <v>1.276371322E-2</v>
      </c>
    </row>
    <row r="21" spans="1:10">
      <c r="A21" s="654" t="s">
        <v>613</v>
      </c>
      <c r="B21" s="646" t="s">
        <v>604</v>
      </c>
      <c r="C21" s="677">
        <v>45.948999999999998</v>
      </c>
      <c r="D21" s="678">
        <v>0.27778000000000003</v>
      </c>
      <c r="E21" s="670">
        <f t="shared" si="0"/>
        <v>12.763713220000001</v>
      </c>
    </row>
    <row r="22" spans="1:10" ht="15.75" thickBot="1">
      <c r="A22" s="675"/>
      <c r="B22" s="657"/>
      <c r="C22" s="679"/>
      <c r="D22" s="679"/>
      <c r="E22" s="658"/>
    </row>
    <row r="23" spans="1:10" ht="15.75" thickBot="1">
      <c r="A23" s="650"/>
      <c r="B23" s="650"/>
      <c r="C23" s="650"/>
      <c r="D23" s="650"/>
      <c r="E23" s="650"/>
    </row>
    <row r="24" spans="1:10" ht="15.75" thickBot="1">
      <c r="A24" s="647" t="s">
        <v>608</v>
      </c>
      <c r="B24" s="648"/>
      <c r="C24" s="648"/>
      <c r="D24" s="648"/>
      <c r="E24" s="649"/>
    </row>
    <row r="25" spans="1:10">
      <c r="A25" s="674" t="s">
        <v>396</v>
      </c>
      <c r="B25" s="652" t="s">
        <v>741</v>
      </c>
      <c r="C25" s="652"/>
      <c r="D25" s="652"/>
      <c r="E25" s="653"/>
    </row>
    <row r="26" spans="1:10">
      <c r="A26" s="45"/>
      <c r="B26" s="44"/>
      <c r="C26" s="44"/>
      <c r="D26" s="44"/>
      <c r="E26" s="97"/>
    </row>
    <row r="27" spans="1:10" s="335" customFormat="1">
      <c r="A27" s="651" t="s">
        <v>611</v>
      </c>
      <c r="B27" s="659" t="s">
        <v>600</v>
      </c>
      <c r="C27" s="667"/>
      <c r="D27" s="666"/>
      <c r="E27" s="682" t="s">
        <v>615</v>
      </c>
    </row>
    <row r="28" spans="1:10">
      <c r="A28" s="654" t="s">
        <v>202</v>
      </c>
      <c r="B28" s="646" t="s">
        <v>602</v>
      </c>
      <c r="C28" s="668"/>
      <c r="D28" s="669"/>
      <c r="E28" s="676">
        <f>E29*0.853</f>
        <v>1.0116343055555555E-2</v>
      </c>
      <c r="G28" s="650"/>
      <c r="H28" s="790"/>
      <c r="I28" s="790"/>
      <c r="J28" s="790"/>
    </row>
    <row r="29" spans="1:10">
      <c r="A29" s="654" t="s">
        <v>202</v>
      </c>
      <c r="B29" s="646" t="s">
        <v>603</v>
      </c>
      <c r="C29" s="668"/>
      <c r="D29" s="669"/>
      <c r="E29" s="676">
        <f>0.042695/3.6</f>
        <v>1.1859722222222221E-2</v>
      </c>
      <c r="G29" s="650"/>
      <c r="H29" s="790"/>
      <c r="I29" s="790"/>
      <c r="J29" s="790"/>
    </row>
    <row r="30" spans="1:10">
      <c r="A30" s="654" t="s">
        <v>120</v>
      </c>
      <c r="B30" s="646" t="s">
        <v>602</v>
      </c>
      <c r="C30" s="668"/>
      <c r="D30" s="669"/>
      <c r="E30" s="676">
        <f>E31*0.755</f>
        <v>9.1803805555555566E-3</v>
      </c>
      <c r="H30" s="790"/>
      <c r="I30" s="790"/>
      <c r="J30" s="790"/>
    </row>
    <row r="31" spans="1:10">
      <c r="A31" s="654" t="s">
        <v>120</v>
      </c>
      <c r="B31" s="646" t="s">
        <v>603</v>
      </c>
      <c r="C31" s="668"/>
      <c r="D31" s="669"/>
      <c r="E31" s="676">
        <f>0.043774/3.6</f>
        <v>1.2159444444444445E-2</v>
      </c>
      <c r="H31" s="790"/>
      <c r="I31" s="790"/>
      <c r="J31" s="790"/>
    </row>
    <row r="32" spans="1:10">
      <c r="A32" s="654" t="s">
        <v>613</v>
      </c>
      <c r="B32" s="646" t="s">
        <v>602</v>
      </c>
      <c r="C32" s="668"/>
      <c r="D32" s="669"/>
      <c r="E32" s="676">
        <f>E33*0.55</f>
        <v>7.1139444444444453E-3</v>
      </c>
      <c r="H32" s="790"/>
    </row>
    <row r="33" spans="1:8">
      <c r="A33" s="654" t="s">
        <v>613</v>
      </c>
      <c r="B33" s="646" t="s">
        <v>603</v>
      </c>
      <c r="C33" s="668"/>
      <c r="D33" s="669"/>
      <c r="E33" s="676">
        <f>0.046564/3.6</f>
        <v>1.2934444444444445E-2</v>
      </c>
      <c r="H33" s="790"/>
    </row>
    <row r="34" spans="1:8">
      <c r="A34" s="654" t="s">
        <v>614</v>
      </c>
      <c r="B34" s="646" t="s">
        <v>602</v>
      </c>
      <c r="C34" s="668"/>
      <c r="D34" s="669"/>
      <c r="E34" s="676">
        <f>E35*0.0007</f>
        <v>9.3333333333333326E-6</v>
      </c>
      <c r="H34" s="790"/>
    </row>
    <row r="35" spans="1:8">
      <c r="A35" s="654" t="s">
        <v>614</v>
      </c>
      <c r="B35" s="646" t="s">
        <v>603</v>
      </c>
      <c r="C35" s="668"/>
      <c r="D35" s="669"/>
      <c r="E35" s="676">
        <f>0.048/3.6</f>
        <v>1.3333333333333332E-2</v>
      </c>
      <c r="H35" s="790"/>
    </row>
    <row r="36" spans="1:8" ht="15.75" thickBot="1">
      <c r="A36" s="655"/>
      <c r="B36" s="656"/>
      <c r="C36" s="671"/>
      <c r="D36" s="672"/>
      <c r="E36" s="673"/>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sheetPr codeName="Sheet25">
    <tabColor theme="0" tint="-0.34998626667073579"/>
  </sheetPr>
  <dimension ref="A1:C29"/>
  <sheetViews>
    <sheetView showGridLines="0" workbookViewId="0">
      <selection activeCell="C19" sqref="C19"/>
    </sheetView>
  </sheetViews>
  <sheetFormatPr defaultRowHeight="15"/>
  <cols>
    <col min="1" max="1" width="54" customWidth="1"/>
    <col min="2" max="2" width="69.85546875" customWidth="1"/>
    <col min="3" max="3" width="132.140625" customWidth="1"/>
  </cols>
  <sheetData>
    <row r="1" spans="1:3" ht="15.75" thickBot="1"/>
    <row r="2" spans="1:3" s="12" customFormat="1" ht="60.75" customHeight="1" thickBot="1">
      <c r="A2" s="136" t="s">
        <v>453</v>
      </c>
      <c r="B2" s="111"/>
      <c r="C2" s="112"/>
    </row>
    <row r="3" spans="1:3" s="16" customFormat="1" ht="15.75">
      <c r="A3" s="99"/>
      <c r="B3" s="71"/>
      <c r="C3" s="100"/>
    </row>
    <row r="4" spans="1:3">
      <c r="A4" s="96" t="s">
        <v>364</v>
      </c>
      <c r="B4" s="70" t="s">
        <v>376</v>
      </c>
      <c r="C4" s="101" t="s">
        <v>375</v>
      </c>
    </row>
    <row r="5" spans="1:3">
      <c r="A5" s="113"/>
      <c r="B5" s="44"/>
      <c r="C5" s="97"/>
    </row>
    <row r="6" spans="1:3" s="12" customFormat="1">
      <c r="A6" s="114" t="s">
        <v>466</v>
      </c>
      <c r="B6" s="131" t="s">
        <v>467</v>
      </c>
      <c r="C6" s="132" t="s">
        <v>469</v>
      </c>
    </row>
    <row r="7" spans="1:3" s="12" customFormat="1">
      <c r="A7" s="124"/>
      <c r="B7" s="161"/>
      <c r="C7" s="162" t="s">
        <v>627</v>
      </c>
    </row>
    <row r="8" spans="1:3" s="12" customFormat="1">
      <c r="A8" s="133"/>
      <c r="B8" s="134"/>
      <c r="C8" s="135"/>
    </row>
    <row r="9" spans="1:3" s="12" customFormat="1">
      <c r="A9" s="114" t="s">
        <v>468</v>
      </c>
      <c r="B9" s="131" t="s">
        <v>471</v>
      </c>
      <c r="C9" s="132" t="s">
        <v>528</v>
      </c>
    </row>
    <row r="10" spans="1:3" s="12" customFormat="1">
      <c r="A10" s="133"/>
      <c r="B10" s="134"/>
      <c r="C10" s="135"/>
    </row>
    <row r="11" spans="1:3" s="12" customFormat="1" ht="18">
      <c r="A11" s="114" t="s">
        <v>470</v>
      </c>
      <c r="B11" s="131" t="s">
        <v>472</v>
      </c>
      <c r="C11" s="159" t="s">
        <v>526</v>
      </c>
    </row>
    <row r="12" spans="1:3" s="12" customFormat="1">
      <c r="A12" s="133"/>
      <c r="B12" s="134"/>
      <c r="C12" s="135"/>
    </row>
    <row r="13" spans="1:3" s="12" customFormat="1" ht="18">
      <c r="A13" s="114" t="s">
        <v>473</v>
      </c>
      <c r="B13" s="131" t="s">
        <v>474</v>
      </c>
      <c r="C13" s="160" t="s">
        <v>527</v>
      </c>
    </row>
    <row r="14" spans="1:3" s="12" customFormat="1">
      <c r="A14" s="133"/>
      <c r="B14" s="134"/>
      <c r="C14" s="135"/>
    </row>
    <row r="15" spans="1:3" s="12" customFormat="1" ht="18">
      <c r="A15" s="114" t="s">
        <v>475</v>
      </c>
      <c r="B15" t="s">
        <v>479</v>
      </c>
      <c r="C15" s="132" t="s">
        <v>529</v>
      </c>
    </row>
    <row r="16" spans="1:3" s="12" customFormat="1">
      <c r="A16" s="133"/>
      <c r="B16" s="134"/>
      <c r="C16" s="135"/>
    </row>
    <row r="17" spans="1:3" s="12" customFormat="1" ht="30">
      <c r="A17" s="114" t="s">
        <v>395</v>
      </c>
      <c r="B17" s="131" t="s">
        <v>480</v>
      </c>
      <c r="C17" s="132" t="s">
        <v>530</v>
      </c>
    </row>
    <row r="18" spans="1:3" s="12" customFormat="1">
      <c r="A18" s="133"/>
      <c r="B18" s="134"/>
      <c r="C18" s="135" t="s">
        <v>476</v>
      </c>
    </row>
    <row r="19" spans="1:3" s="12" customFormat="1" ht="30">
      <c r="A19" s="114" t="s">
        <v>477</v>
      </c>
      <c r="B19" s="131" t="s">
        <v>481</v>
      </c>
      <c r="C19" s="132" t="s">
        <v>531</v>
      </c>
    </row>
    <row r="20" spans="1:3" s="12" customFormat="1">
      <c r="A20" s="133"/>
      <c r="B20" s="134"/>
      <c r="C20" s="135"/>
    </row>
    <row r="21" spans="1:3" s="12" customFormat="1" ht="30">
      <c r="A21" s="114" t="s">
        <v>478</v>
      </c>
      <c r="B21" s="131" t="s">
        <v>670</v>
      </c>
      <c r="C21" s="132" t="s">
        <v>595</v>
      </c>
    </row>
    <row r="22" spans="1:3" s="12" customFormat="1">
      <c r="A22" s="142"/>
      <c r="B22" s="161"/>
      <c r="C22" s="162"/>
    </row>
    <row r="23" spans="1:3" ht="21">
      <c r="A23" s="127" t="s">
        <v>483</v>
      </c>
      <c r="B23" s="126"/>
      <c r="C23" s="123"/>
    </row>
    <row r="29" spans="1:3">
      <c r="B29" t="s">
        <v>236</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codeName="Sheet2">
    <tabColor theme="0" tint="-0.34998626667073579"/>
  </sheetPr>
  <dimension ref="A1:F134"/>
  <sheetViews>
    <sheetView zoomScaleNormal="100" workbookViewId="0">
      <selection sqref="A1:XFD1048576"/>
    </sheetView>
  </sheetViews>
  <sheetFormatPr defaultRowHeight="15"/>
  <cols>
    <col min="1" max="1" width="68.85546875" style="335" bestFit="1" customWidth="1"/>
    <col min="2" max="2" width="59.42578125" style="335" bestFit="1" customWidth="1"/>
    <col min="3" max="4" width="28.7109375" style="335" customWidth="1"/>
    <col min="5" max="5" width="32" style="335" bestFit="1" customWidth="1"/>
    <col min="6" max="6" width="28.7109375" style="335" customWidth="1"/>
    <col min="7" max="16384" width="9.140625" style="335"/>
  </cols>
  <sheetData>
    <row r="1" spans="1:6" ht="62.45" customHeight="1" thickTop="1" thickBot="1">
      <c r="A1" s="137">
        <v>11009</v>
      </c>
      <c r="B1" s="1275"/>
      <c r="C1" s="1275"/>
      <c r="D1" s="1275"/>
      <c r="E1" s="1275"/>
      <c r="F1" s="1276"/>
    </row>
    <row r="3" spans="1:6" ht="19.5">
      <c r="A3" s="1277" t="s">
        <v>0</v>
      </c>
    </row>
    <row r="4" spans="1:6" ht="22.5">
      <c r="A4" s="1278" t="s">
        <v>940</v>
      </c>
    </row>
    <row r="5" spans="1:6" ht="22.5">
      <c r="A5" s="1278" t="s">
        <v>941</v>
      </c>
    </row>
    <row r="6" spans="1:6" ht="15.75" thickBot="1"/>
    <row r="7" spans="1:6" ht="20.25" thickBot="1">
      <c r="A7" s="1279" t="s">
        <v>1</v>
      </c>
      <c r="B7" s="336" t="s">
        <v>396</v>
      </c>
      <c r="C7" s="336" t="s">
        <v>664</v>
      </c>
      <c r="D7" s="336"/>
      <c r="E7" s="336"/>
      <c r="F7" s="337"/>
    </row>
    <row r="8" spans="1:6" ht="16.5" thickTop="1" thickBot="1">
      <c r="A8" s="1280" t="s">
        <v>4</v>
      </c>
      <c r="B8" s="1281">
        <v>2012</v>
      </c>
      <c r="C8" s="1281">
        <v>2020</v>
      </c>
      <c r="D8" s="1275"/>
      <c r="E8" s="1275"/>
      <c r="F8" s="1276"/>
    </row>
    <row r="9" spans="1:6">
      <c r="A9" s="1282" t="s">
        <v>2</v>
      </c>
      <c r="B9" s="338">
        <v>10930</v>
      </c>
      <c r="C9" s="338">
        <v>12313</v>
      </c>
      <c r="D9" s="338"/>
      <c r="E9" s="338"/>
      <c r="F9" s="338"/>
    </row>
    <row r="10" spans="1:6">
      <c r="A10" s="339"/>
    </row>
    <row r="11" spans="1:6" ht="15.75" thickBot="1">
      <c r="A11" s="339"/>
    </row>
    <row r="12" spans="1:6" ht="20.25" thickBot="1">
      <c r="A12" s="1279" t="s">
        <v>3</v>
      </c>
      <c r="B12" s="336" t="s">
        <v>396</v>
      </c>
      <c r="C12" s="336" t="s">
        <v>642</v>
      </c>
      <c r="D12" s="336"/>
      <c r="E12" s="336"/>
      <c r="F12" s="340"/>
    </row>
    <row r="13" spans="1:6" ht="16.5" thickTop="1" thickBot="1">
      <c r="A13" s="1283" t="s">
        <v>4</v>
      </c>
      <c r="B13" s="1284" t="s">
        <v>5</v>
      </c>
      <c r="C13" s="1284"/>
      <c r="D13" s="1284"/>
      <c r="E13" s="1284"/>
      <c r="F13" s="1285"/>
    </row>
    <row r="14" spans="1:6">
      <c r="A14" s="1286" t="s">
        <v>785</v>
      </c>
      <c r="B14" s="335">
        <v>4535</v>
      </c>
    </row>
    <row r="15" spans="1:6">
      <c r="A15" s="1286" t="s">
        <v>184</v>
      </c>
      <c r="B15" s="335">
        <v>7662</v>
      </c>
    </row>
    <row r="16" spans="1:6">
      <c r="A16" s="1286" t="s">
        <v>6</v>
      </c>
      <c r="B16" s="335">
        <v>3998</v>
      </c>
    </row>
    <row r="17" spans="1:6">
      <c r="A17" s="1286" t="s">
        <v>7</v>
      </c>
      <c r="B17" s="335">
        <v>1009</v>
      </c>
    </row>
    <row r="18" spans="1:6">
      <c r="A18" s="1286" t="s">
        <v>8</v>
      </c>
      <c r="B18" s="335">
        <v>2735</v>
      </c>
    </row>
    <row r="19" spans="1:6">
      <c r="A19" s="1286" t="s">
        <v>9</v>
      </c>
      <c r="B19" s="335">
        <v>2623</v>
      </c>
    </row>
    <row r="20" spans="1:6">
      <c r="A20" s="1286" t="s">
        <v>10</v>
      </c>
      <c r="B20" s="335">
        <v>1888</v>
      </c>
    </row>
    <row r="21" spans="1:6">
      <c r="A21" s="1286" t="s">
        <v>11</v>
      </c>
      <c r="B21" s="335">
        <v>11574</v>
      </c>
    </row>
    <row r="22" spans="1:6">
      <c r="A22" s="1286" t="s">
        <v>12</v>
      </c>
      <c r="B22" s="335">
        <v>37585</v>
      </c>
    </row>
    <row r="23" spans="1:6">
      <c r="A23" s="1286" t="s">
        <v>13</v>
      </c>
      <c r="B23" s="335">
        <v>592</v>
      </c>
    </row>
    <row r="24" spans="1:6">
      <c r="A24" s="1286" t="s">
        <v>14</v>
      </c>
      <c r="B24" s="335">
        <v>23</v>
      </c>
    </row>
    <row r="25" spans="1:6">
      <c r="A25" s="1286" t="s">
        <v>15</v>
      </c>
      <c r="B25" s="335">
        <v>2427</v>
      </c>
    </row>
    <row r="26" spans="1:6">
      <c r="A26" s="1286" t="s">
        <v>16</v>
      </c>
      <c r="B26" s="335">
        <v>72</v>
      </c>
    </row>
    <row r="27" spans="1:6">
      <c r="A27" s="1286" t="s">
        <v>17</v>
      </c>
      <c r="B27" s="335">
        <v>623</v>
      </c>
    </row>
    <row r="28" spans="1:6" s="341" customFormat="1">
      <c r="A28" s="1287" t="s">
        <v>18</v>
      </c>
      <c r="B28" s="1287">
        <v>332676</v>
      </c>
    </row>
    <row r="29" spans="1:6">
      <c r="A29" s="1287" t="s">
        <v>942</v>
      </c>
      <c r="B29" s="1287">
        <v>518</v>
      </c>
      <c r="C29" s="341"/>
      <c r="D29" s="341"/>
      <c r="E29" s="341"/>
      <c r="F29" s="341"/>
    </row>
    <row r="30" spans="1:6">
      <c r="A30" s="1282" t="s">
        <v>943</v>
      </c>
      <c r="B30" s="1282">
        <v>121</v>
      </c>
      <c r="C30" s="338"/>
      <c r="D30" s="338"/>
      <c r="E30" s="338"/>
      <c r="F30" s="338"/>
    </row>
    <row r="31" spans="1:6" ht="15.75" thickBot="1">
      <c r="A31" s="339"/>
    </row>
    <row r="32" spans="1:6" ht="20.25" thickBot="1">
      <c r="A32" s="1279" t="s">
        <v>19</v>
      </c>
      <c r="B32" s="336" t="s">
        <v>396</v>
      </c>
      <c r="C32" s="336" t="s">
        <v>671</v>
      </c>
      <c r="D32" s="336"/>
      <c r="E32" s="336"/>
      <c r="F32" s="340"/>
    </row>
    <row r="33" spans="1:6" ht="16.5" thickTop="1" thickBot="1">
      <c r="A33" s="1288"/>
      <c r="B33" s="1289"/>
      <c r="C33" s="1289" t="s">
        <v>20</v>
      </c>
      <c r="D33" s="1289"/>
      <c r="E33" s="1289" t="s">
        <v>21</v>
      </c>
      <c r="F33" s="1290"/>
    </row>
    <row r="34" spans="1:6" ht="16.5" thickTop="1" thickBot="1">
      <c r="A34" s="1291" t="s">
        <v>22</v>
      </c>
      <c r="B34" s="1292" t="s">
        <v>23</v>
      </c>
      <c r="C34" s="1292" t="s">
        <v>5</v>
      </c>
      <c r="D34" s="1292" t="s">
        <v>24</v>
      </c>
      <c r="E34" s="1292" t="s">
        <v>5</v>
      </c>
      <c r="F34" s="1293" t="s">
        <v>24</v>
      </c>
    </row>
    <row r="35" spans="1:6">
      <c r="A35" s="1286" t="s">
        <v>25</v>
      </c>
      <c r="B35" s="1286" t="s">
        <v>26</v>
      </c>
      <c r="C35" s="335">
        <v>0</v>
      </c>
      <c r="D35" s="335">
        <v>0</v>
      </c>
      <c r="E35" s="335">
        <v>8</v>
      </c>
      <c r="F35" s="335">
        <v>63362.8940518366</v>
      </c>
    </row>
    <row r="36" spans="1:6">
      <c r="A36" s="1286" t="s">
        <v>25</v>
      </c>
      <c r="B36" s="1286" t="s">
        <v>27</v>
      </c>
      <c r="C36" s="335">
        <v>0</v>
      </c>
      <c r="D36" s="335">
        <v>0</v>
      </c>
      <c r="E36" s="335">
        <v>4</v>
      </c>
      <c r="F36" s="335">
        <v>33039.711256288298</v>
      </c>
    </row>
    <row r="37" spans="1:6">
      <c r="A37" s="1286" t="s">
        <v>25</v>
      </c>
      <c r="B37" s="1286" t="s">
        <v>28</v>
      </c>
      <c r="C37" s="335">
        <v>0</v>
      </c>
      <c r="D37" s="335">
        <v>0</v>
      </c>
      <c r="E37" s="335">
        <v>0</v>
      </c>
      <c r="F37" s="335">
        <v>0</v>
      </c>
    </row>
    <row r="38" spans="1:6">
      <c r="A38" s="1286" t="s">
        <v>25</v>
      </c>
      <c r="B38" s="1286" t="s">
        <v>29</v>
      </c>
      <c r="C38" s="335">
        <v>2</v>
      </c>
      <c r="D38" s="335">
        <v>55217.7398445504</v>
      </c>
      <c r="E38" s="335">
        <v>3</v>
      </c>
      <c r="F38" s="335">
        <v>94362.522768380397</v>
      </c>
    </row>
    <row r="39" spans="1:6">
      <c r="A39" s="1286" t="s">
        <v>30</v>
      </c>
      <c r="B39" s="1286" t="s">
        <v>31</v>
      </c>
      <c r="C39" s="335">
        <v>7119</v>
      </c>
      <c r="D39" s="335">
        <v>148987757.19805101</v>
      </c>
      <c r="E39" s="335">
        <v>10708</v>
      </c>
      <c r="F39" s="335">
        <v>58691372.432723999</v>
      </c>
    </row>
    <row r="40" spans="1:6">
      <c r="A40" s="1286" t="s">
        <v>30</v>
      </c>
      <c r="B40" s="1286" t="s">
        <v>29</v>
      </c>
      <c r="C40" s="335">
        <v>0</v>
      </c>
      <c r="D40" s="335">
        <v>0</v>
      </c>
      <c r="E40" s="335">
        <v>0</v>
      </c>
      <c r="F40" s="335">
        <v>0</v>
      </c>
    </row>
    <row r="41" spans="1:6">
      <c r="A41" s="1286" t="s">
        <v>32</v>
      </c>
      <c r="B41" s="1286" t="s">
        <v>33</v>
      </c>
      <c r="C41" s="335">
        <v>105</v>
      </c>
      <c r="D41" s="335">
        <v>2869818.2300644</v>
      </c>
      <c r="E41" s="335">
        <v>245</v>
      </c>
      <c r="F41" s="335">
        <v>3195543.9395113001</v>
      </c>
    </row>
    <row r="42" spans="1:6">
      <c r="A42" s="1286" t="s">
        <v>32</v>
      </c>
      <c r="B42" s="1286" t="s">
        <v>34</v>
      </c>
      <c r="C42" s="335">
        <v>0</v>
      </c>
      <c r="D42" s="335">
        <v>0</v>
      </c>
      <c r="E42" s="335">
        <v>0</v>
      </c>
      <c r="F42" s="335">
        <v>0</v>
      </c>
    </row>
    <row r="43" spans="1:6">
      <c r="A43" s="1286" t="s">
        <v>32</v>
      </c>
      <c r="B43" s="1286" t="s">
        <v>35</v>
      </c>
      <c r="C43" s="335">
        <v>0</v>
      </c>
      <c r="D43" s="335">
        <v>0</v>
      </c>
      <c r="E43" s="335">
        <v>0</v>
      </c>
      <c r="F43" s="335">
        <v>0</v>
      </c>
    </row>
    <row r="44" spans="1:6">
      <c r="A44" s="1286" t="s">
        <v>32</v>
      </c>
      <c r="B44" s="1286" t="s">
        <v>36</v>
      </c>
      <c r="C44" s="335">
        <v>10</v>
      </c>
      <c r="D44" s="335">
        <v>289560.68547265697</v>
      </c>
      <c r="E44" s="335">
        <v>40</v>
      </c>
      <c r="F44" s="335">
        <v>1438777.79982553</v>
      </c>
    </row>
    <row r="45" spans="1:6">
      <c r="A45" s="1286" t="s">
        <v>32</v>
      </c>
      <c r="B45" s="1286" t="s">
        <v>37</v>
      </c>
      <c r="C45" s="335">
        <v>0</v>
      </c>
      <c r="D45" s="335">
        <v>0</v>
      </c>
      <c r="E45" s="335">
        <v>10</v>
      </c>
      <c r="F45" s="335">
        <v>2116626.6740278699</v>
      </c>
    </row>
    <row r="46" spans="1:6">
      <c r="A46" s="1286" t="s">
        <v>32</v>
      </c>
      <c r="B46" s="1286" t="s">
        <v>38</v>
      </c>
      <c r="C46" s="335">
        <v>0</v>
      </c>
      <c r="D46" s="335">
        <v>0</v>
      </c>
      <c r="E46" s="335">
        <v>0</v>
      </c>
      <c r="F46" s="335">
        <v>0</v>
      </c>
    </row>
    <row r="47" spans="1:6">
      <c r="A47" s="1286" t="s">
        <v>32</v>
      </c>
      <c r="B47" s="1286" t="s">
        <v>39</v>
      </c>
      <c r="C47" s="335">
        <v>0</v>
      </c>
      <c r="D47" s="335">
        <v>0</v>
      </c>
      <c r="E47" s="335">
        <v>3</v>
      </c>
      <c r="F47" s="335">
        <v>26230.3450181031</v>
      </c>
    </row>
    <row r="48" spans="1:6">
      <c r="A48" s="1286" t="s">
        <v>32</v>
      </c>
      <c r="B48" s="1286" t="s">
        <v>29</v>
      </c>
      <c r="C48" s="335">
        <v>35</v>
      </c>
      <c r="D48" s="335">
        <v>22198166.611636002</v>
      </c>
      <c r="E48" s="335">
        <v>42</v>
      </c>
      <c r="F48" s="335">
        <v>2199796.5264705201</v>
      </c>
    </row>
    <row r="49" spans="1:6">
      <c r="A49" s="1286" t="s">
        <v>32</v>
      </c>
      <c r="B49" s="1286" t="s">
        <v>40</v>
      </c>
      <c r="C49" s="335">
        <v>0</v>
      </c>
      <c r="D49" s="335">
        <v>0</v>
      </c>
      <c r="E49" s="335">
        <v>0</v>
      </c>
      <c r="F49" s="335">
        <v>0</v>
      </c>
    </row>
    <row r="50" spans="1:6">
      <c r="A50" s="1286" t="s">
        <v>32</v>
      </c>
      <c r="B50" s="1286" t="s">
        <v>41</v>
      </c>
      <c r="C50" s="335">
        <v>13</v>
      </c>
      <c r="D50" s="335">
        <v>1079964.70866559</v>
      </c>
      <c r="E50" s="335">
        <v>14</v>
      </c>
      <c r="F50" s="335">
        <v>386338.62684005999</v>
      </c>
    </row>
    <row r="51" spans="1:6">
      <c r="A51" s="1286" t="s">
        <v>42</v>
      </c>
      <c r="B51" s="1286" t="s">
        <v>43</v>
      </c>
      <c r="C51" s="335">
        <v>15</v>
      </c>
      <c r="D51" s="335">
        <v>364590.59546126798</v>
      </c>
      <c r="E51" s="335">
        <v>209</v>
      </c>
      <c r="F51" s="335">
        <v>4631465.7981418399</v>
      </c>
    </row>
    <row r="52" spans="1:6">
      <c r="A52" s="1286" t="s">
        <v>42</v>
      </c>
      <c r="B52" s="1286" t="s">
        <v>29</v>
      </c>
      <c r="C52" s="335">
        <v>6</v>
      </c>
      <c r="D52" s="335">
        <v>11859734.075108301</v>
      </c>
      <c r="E52" s="335">
        <v>9</v>
      </c>
      <c r="F52" s="335">
        <v>148410.872223994</v>
      </c>
    </row>
    <row r="53" spans="1:6">
      <c r="A53" s="1286" t="s">
        <v>44</v>
      </c>
      <c r="B53" s="1286" t="s">
        <v>45</v>
      </c>
      <c r="C53" s="335">
        <v>120</v>
      </c>
      <c r="D53" s="335">
        <v>4229656.34599867</v>
      </c>
      <c r="E53" s="335">
        <v>244</v>
      </c>
      <c r="F53" s="335">
        <v>1526006.47855841</v>
      </c>
    </row>
    <row r="54" spans="1:6">
      <c r="A54" s="1286" t="s">
        <v>46</v>
      </c>
      <c r="B54" s="1286" t="s">
        <v>47</v>
      </c>
      <c r="C54" s="335">
        <v>0</v>
      </c>
      <c r="D54" s="335">
        <v>0</v>
      </c>
      <c r="E54" s="335">
        <v>1</v>
      </c>
      <c r="F54" s="335">
        <v>1678404</v>
      </c>
    </row>
    <row r="55" spans="1:6">
      <c r="A55" s="1286" t="s">
        <v>46</v>
      </c>
      <c r="B55" s="1286" t="s">
        <v>29</v>
      </c>
      <c r="C55" s="335">
        <v>0</v>
      </c>
      <c r="D55" s="335">
        <v>0</v>
      </c>
      <c r="E55" s="335">
        <v>0</v>
      </c>
      <c r="F55" s="335">
        <v>0</v>
      </c>
    </row>
    <row r="56" spans="1:6">
      <c r="A56" s="1286" t="s">
        <v>48</v>
      </c>
      <c r="B56" s="1286" t="s">
        <v>29</v>
      </c>
      <c r="C56" s="335">
        <v>0</v>
      </c>
      <c r="D56" s="335">
        <v>0</v>
      </c>
      <c r="E56" s="335">
        <v>0</v>
      </c>
      <c r="F56" s="335">
        <v>0</v>
      </c>
    </row>
    <row r="57" spans="1:6">
      <c r="A57" s="1286" t="s">
        <v>49</v>
      </c>
      <c r="B57" s="1286" t="s">
        <v>50</v>
      </c>
      <c r="C57" s="335">
        <v>79</v>
      </c>
      <c r="D57" s="335">
        <v>5066001.0077690203</v>
      </c>
      <c r="E57" s="335">
        <v>220</v>
      </c>
      <c r="F57" s="335">
        <v>3242758.5352463699</v>
      </c>
    </row>
    <row r="58" spans="1:6">
      <c r="A58" s="1286" t="s">
        <v>49</v>
      </c>
      <c r="B58" s="1286" t="s">
        <v>51</v>
      </c>
      <c r="C58" s="335">
        <v>24</v>
      </c>
      <c r="D58" s="335">
        <v>1736618.33366275</v>
      </c>
      <c r="E58" s="335">
        <v>70</v>
      </c>
      <c r="F58" s="335">
        <v>713854.92469576595</v>
      </c>
    </row>
    <row r="59" spans="1:6">
      <c r="A59" s="1286" t="s">
        <v>49</v>
      </c>
      <c r="B59" s="1286" t="s">
        <v>52</v>
      </c>
      <c r="C59" s="335">
        <v>139</v>
      </c>
      <c r="D59" s="335">
        <v>5401469.6167253098</v>
      </c>
      <c r="E59" s="335">
        <v>274</v>
      </c>
      <c r="F59" s="335">
        <v>9477321.5892639495</v>
      </c>
    </row>
    <row r="60" spans="1:6">
      <c r="A60" s="1286" t="s">
        <v>49</v>
      </c>
      <c r="B60" s="1286" t="s">
        <v>53</v>
      </c>
      <c r="C60" s="335">
        <v>71</v>
      </c>
      <c r="D60" s="335">
        <v>9988595.3355531804</v>
      </c>
      <c r="E60" s="335">
        <v>104</v>
      </c>
      <c r="F60" s="335">
        <v>4036461.0949647701</v>
      </c>
    </row>
    <row r="61" spans="1:6">
      <c r="A61" s="1286" t="s">
        <v>49</v>
      </c>
      <c r="B61" s="1286" t="s">
        <v>54</v>
      </c>
      <c r="C61" s="335">
        <v>140</v>
      </c>
      <c r="D61" s="335">
        <v>6336694.5392232398</v>
      </c>
      <c r="E61" s="335">
        <v>358</v>
      </c>
      <c r="F61" s="335">
        <v>7283396.47849249</v>
      </c>
    </row>
    <row r="62" spans="1:6">
      <c r="A62" s="1286" t="s">
        <v>49</v>
      </c>
      <c r="B62" s="1286" t="s">
        <v>55</v>
      </c>
      <c r="C62" s="335">
        <v>5</v>
      </c>
      <c r="D62" s="335">
        <v>842553.65494662395</v>
      </c>
      <c r="E62" s="335">
        <v>14</v>
      </c>
      <c r="F62" s="335">
        <v>264154.19376832998</v>
      </c>
    </row>
    <row r="63" spans="1:6">
      <c r="A63" s="1286" t="s">
        <v>49</v>
      </c>
      <c r="B63" s="1286" t="s">
        <v>29</v>
      </c>
      <c r="C63" s="335">
        <v>100</v>
      </c>
      <c r="D63" s="335">
        <v>5146658.8129256899</v>
      </c>
      <c r="E63" s="335">
        <v>100</v>
      </c>
      <c r="F63" s="335">
        <v>1812537.6211512701</v>
      </c>
    </row>
    <row r="64" spans="1:6">
      <c r="A64" s="1286" t="s">
        <v>56</v>
      </c>
      <c r="B64" s="1286" t="s">
        <v>57</v>
      </c>
      <c r="C64" s="335">
        <v>0</v>
      </c>
      <c r="D64" s="335">
        <v>0</v>
      </c>
      <c r="E64" s="335">
        <v>0</v>
      </c>
      <c r="F64" s="335">
        <v>0</v>
      </c>
    </row>
    <row r="65" spans="1:6">
      <c r="A65" s="1286" t="s">
        <v>56</v>
      </c>
      <c r="B65" s="1286" t="s">
        <v>29</v>
      </c>
      <c r="C65" s="335">
        <v>1</v>
      </c>
      <c r="D65" s="335">
        <v>101785.129219118</v>
      </c>
      <c r="E65" s="335">
        <v>2</v>
      </c>
      <c r="F65" s="335">
        <v>22176.7093787915</v>
      </c>
    </row>
    <row r="66" spans="1:6">
      <c r="A66" s="1286" t="s">
        <v>56</v>
      </c>
      <c r="B66" s="1286" t="s">
        <v>58</v>
      </c>
      <c r="C66" s="335">
        <v>4</v>
      </c>
      <c r="D66" s="335">
        <v>114438.414256266</v>
      </c>
      <c r="E66" s="335">
        <v>4</v>
      </c>
      <c r="F66" s="335">
        <v>22022.736860285899</v>
      </c>
    </row>
    <row r="67" spans="1:6">
      <c r="A67" s="1287" t="s">
        <v>56</v>
      </c>
      <c r="B67" s="1287" t="s">
        <v>59</v>
      </c>
      <c r="C67" s="335">
        <v>0</v>
      </c>
      <c r="D67" s="335">
        <v>0</v>
      </c>
      <c r="E67" s="335">
        <v>0</v>
      </c>
      <c r="F67" s="335">
        <v>0</v>
      </c>
    </row>
    <row r="68" spans="1:6">
      <c r="A68" s="1282" t="s">
        <v>56</v>
      </c>
      <c r="B68" s="1282" t="s">
        <v>60</v>
      </c>
      <c r="C68" s="335">
        <v>7</v>
      </c>
      <c r="D68" s="335">
        <v>217430.23332375099</v>
      </c>
      <c r="E68" s="335">
        <v>39</v>
      </c>
      <c r="F68" s="335">
        <v>481864.225949315</v>
      </c>
    </row>
    <row r="69" spans="1:6" ht="15.75" thickBot="1">
      <c r="A69" s="339"/>
    </row>
    <row r="70" spans="1:6" ht="19.5">
      <c r="A70" s="1279" t="s">
        <v>61</v>
      </c>
      <c r="B70" s="336"/>
      <c r="C70" s="336" t="s">
        <v>414</v>
      </c>
      <c r="D70" s="336" t="s">
        <v>828</v>
      </c>
      <c r="E70" s="336"/>
      <c r="F70" s="340"/>
    </row>
    <row r="71" spans="1:6" ht="20.25" thickBot="1">
      <c r="A71" s="1294"/>
      <c r="B71" s="342"/>
      <c r="C71" s="342"/>
      <c r="D71" s="343" t="s">
        <v>456</v>
      </c>
      <c r="E71" s="342"/>
      <c r="F71" s="344"/>
    </row>
    <row r="72" spans="1:6" ht="16.5" thickTop="1" thickBot="1">
      <c r="A72" s="1283" t="s">
        <v>62</v>
      </c>
      <c r="B72" s="1284" t="s">
        <v>63</v>
      </c>
      <c r="C72" s="1295" t="s">
        <v>764</v>
      </c>
      <c r="D72" s="1296">
        <v>2012</v>
      </c>
      <c r="E72" s="1296">
        <v>2020</v>
      </c>
      <c r="F72" s="1285"/>
    </row>
    <row r="73" spans="1:6">
      <c r="A73" s="1286" t="s">
        <v>64</v>
      </c>
      <c r="B73" s="1286" t="s">
        <v>771</v>
      </c>
      <c r="C73" s="1297" t="s">
        <v>765</v>
      </c>
      <c r="D73" s="335">
        <v>117074430</v>
      </c>
      <c r="E73" s="335">
        <v>122009116.17076428</v>
      </c>
    </row>
    <row r="74" spans="1:6">
      <c r="A74" s="1286" t="s">
        <v>64</v>
      </c>
      <c r="B74" s="1286" t="s">
        <v>772</v>
      </c>
      <c r="C74" s="1297" t="s">
        <v>766</v>
      </c>
      <c r="D74" s="335">
        <v>9264275.3546214588</v>
      </c>
      <c r="E74" s="335">
        <v>10091871.408505796</v>
      </c>
    </row>
    <row r="75" spans="1:6">
      <c r="A75" s="1286" t="s">
        <v>65</v>
      </c>
      <c r="B75" s="1286" t="s">
        <v>771</v>
      </c>
      <c r="C75" s="1297" t="s">
        <v>767</v>
      </c>
      <c r="D75" s="335">
        <v>16541191</v>
      </c>
      <c r="E75" s="335">
        <v>17226447.44583476</v>
      </c>
    </row>
    <row r="76" spans="1:6">
      <c r="A76" s="1286" t="s">
        <v>65</v>
      </c>
      <c r="B76" s="1286" t="s">
        <v>772</v>
      </c>
      <c r="C76" s="1297" t="s">
        <v>768</v>
      </c>
      <c r="D76" s="335">
        <v>243803.35462145787</v>
      </c>
      <c r="E76" s="335">
        <v>323965.17197442643</v>
      </c>
    </row>
    <row r="77" spans="1:6">
      <c r="A77" s="1286" t="s">
        <v>66</v>
      </c>
      <c r="B77" s="1286" t="s">
        <v>771</v>
      </c>
      <c r="C77" s="1297" t="s">
        <v>769</v>
      </c>
      <c r="D77" s="335">
        <v>170256410</v>
      </c>
      <c r="E77" s="335">
        <v>214082982.7748175</v>
      </c>
    </row>
    <row r="78" spans="1:6">
      <c r="A78" s="1282" t="s">
        <v>66</v>
      </c>
      <c r="B78" s="1282" t="s">
        <v>772</v>
      </c>
      <c r="C78" s="1282" t="s">
        <v>770</v>
      </c>
      <c r="D78" s="1282">
        <v>50369748</v>
      </c>
      <c r="E78" s="1282">
        <v>53660822.021152258</v>
      </c>
      <c r="F78" s="338"/>
    </row>
    <row r="79" spans="1:6">
      <c r="A79" s="1298"/>
      <c r="B79" s="1298"/>
    </row>
    <row r="80" spans="1:6" ht="15.75" thickBot="1">
      <c r="A80" s="1298"/>
      <c r="B80" s="1298"/>
    </row>
    <row r="81" spans="1:6" ht="20.25" thickBot="1">
      <c r="A81" s="1279" t="s">
        <v>334</v>
      </c>
      <c r="B81" s="1299" t="s">
        <v>396</v>
      </c>
      <c r="C81" s="336" t="s">
        <v>829</v>
      </c>
      <c r="D81" s="336"/>
      <c r="E81" s="336"/>
      <c r="F81" s="340"/>
    </row>
    <row r="82" spans="1:6" ht="16.5" thickTop="1" thickBot="1">
      <c r="A82" s="1283" t="s">
        <v>335</v>
      </c>
      <c r="B82" s="1296">
        <v>2012</v>
      </c>
      <c r="C82" s="1296">
        <v>2020</v>
      </c>
      <c r="D82" s="1284"/>
      <c r="E82" s="1284"/>
      <c r="F82" s="1285"/>
    </row>
    <row r="83" spans="1:6">
      <c r="A83" s="1286" t="s">
        <v>336</v>
      </c>
      <c r="B83" s="335">
        <v>1006117.2907570843</v>
      </c>
      <c r="C83" s="335">
        <v>947099.92364242917</v>
      </c>
    </row>
    <row r="84" spans="1:6">
      <c r="A84" s="1282" t="s">
        <v>337</v>
      </c>
      <c r="B84" s="338">
        <v>0</v>
      </c>
      <c r="C84" s="338">
        <v>0</v>
      </c>
      <c r="D84" s="338"/>
      <c r="E84" s="338"/>
      <c r="F84" s="338"/>
    </row>
    <row r="85" spans="1:6">
      <c r="A85" s="1298"/>
      <c r="B85" s="1300"/>
    </row>
    <row r="86" spans="1:6" ht="15.75" thickBot="1">
      <c r="A86" s="339"/>
    </row>
    <row r="87" spans="1:6" ht="20.25" thickBot="1">
      <c r="A87" s="1279" t="s">
        <v>67</v>
      </c>
      <c r="B87" s="336" t="s">
        <v>396</v>
      </c>
      <c r="C87" s="336" t="s">
        <v>944</v>
      </c>
      <c r="D87" s="336"/>
      <c r="E87" s="336"/>
      <c r="F87" s="340"/>
    </row>
    <row r="88" spans="1:6" ht="16.5" thickTop="1" thickBot="1">
      <c r="A88" s="1283" t="s">
        <v>4</v>
      </c>
      <c r="B88" s="1284" t="s">
        <v>170</v>
      </c>
      <c r="C88" s="1284"/>
      <c r="D88" s="1284"/>
      <c r="E88" s="1284"/>
      <c r="F88" s="1285"/>
    </row>
    <row r="89" spans="1:6">
      <c r="A89" s="1286" t="s">
        <v>566</v>
      </c>
      <c r="B89" s="335">
        <v>0</v>
      </c>
    </row>
    <row r="90" spans="1:6">
      <c r="A90" s="1286" t="s">
        <v>567</v>
      </c>
      <c r="B90" s="1301">
        <v>9932.805633004109</v>
      </c>
    </row>
    <row r="91" spans="1:6">
      <c r="A91" s="1286" t="s">
        <v>68</v>
      </c>
      <c r="B91" s="335">
        <v>5037.1598819936517</v>
      </c>
    </row>
    <row r="92" spans="1:6">
      <c r="A92" s="1282" t="s">
        <v>69</v>
      </c>
      <c r="B92" s="338">
        <v>3970.8723567810739</v>
      </c>
      <c r="C92" s="338"/>
      <c r="D92" s="338"/>
      <c r="E92" s="338"/>
      <c r="F92" s="338"/>
    </row>
    <row r="93" spans="1:6">
      <c r="A93" s="339"/>
    </row>
    <row r="94" spans="1:6" ht="15.75" thickBot="1">
      <c r="A94" s="339"/>
    </row>
    <row r="95" spans="1:6" ht="20.25" thickBot="1">
      <c r="A95" s="1279" t="s">
        <v>70</v>
      </c>
      <c r="B95" s="336" t="s">
        <v>396</v>
      </c>
      <c r="C95" s="336" t="s">
        <v>419</v>
      </c>
      <c r="D95" s="336"/>
      <c r="E95" s="336"/>
      <c r="F95" s="340"/>
    </row>
    <row r="96" spans="1:6" ht="16.5" thickTop="1" thickBot="1">
      <c r="A96" s="1283" t="s">
        <v>4</v>
      </c>
      <c r="B96" s="1284" t="s">
        <v>5</v>
      </c>
      <c r="C96" s="1284"/>
      <c r="D96" s="1284"/>
      <c r="E96" s="1284"/>
      <c r="F96" s="1285"/>
    </row>
    <row r="97" spans="1:6">
      <c r="A97" s="1286" t="s">
        <v>71</v>
      </c>
      <c r="B97" s="335">
        <v>4748</v>
      </c>
    </row>
    <row r="98" spans="1:6">
      <c r="A98" s="1286" t="s">
        <v>72</v>
      </c>
      <c r="B98" s="335">
        <v>10</v>
      </c>
    </row>
    <row r="99" spans="1:6">
      <c r="A99" s="1286" t="s">
        <v>73</v>
      </c>
      <c r="B99" s="335">
        <v>189</v>
      </c>
    </row>
    <row r="100" spans="1:6">
      <c r="A100" s="1286" t="s">
        <v>74</v>
      </c>
      <c r="B100" s="335">
        <v>1489</v>
      </c>
    </row>
    <row r="101" spans="1:6">
      <c r="A101" s="1286" t="s">
        <v>75</v>
      </c>
      <c r="B101" s="335">
        <v>259</v>
      </c>
    </row>
    <row r="102" spans="1:6">
      <c r="A102" s="1286" t="s">
        <v>76</v>
      </c>
      <c r="B102" s="335">
        <v>107</v>
      </c>
    </row>
    <row r="103" spans="1:6">
      <c r="A103" s="1286" t="s">
        <v>77</v>
      </c>
      <c r="B103" s="335">
        <v>243</v>
      </c>
    </row>
    <row r="104" spans="1:6">
      <c r="A104" s="1286" t="s">
        <v>78</v>
      </c>
      <c r="B104" s="335">
        <v>2196</v>
      </c>
    </row>
    <row r="105" spans="1:6">
      <c r="A105" s="1282" t="s">
        <v>79</v>
      </c>
      <c r="B105" s="1282">
        <v>5</v>
      </c>
      <c r="C105" s="338"/>
      <c r="D105" s="338"/>
      <c r="E105" s="338"/>
      <c r="F105" s="338"/>
    </row>
    <row r="106" spans="1:6">
      <c r="A106" s="339"/>
    </row>
    <row r="107" spans="1:6" ht="15.75" thickBot="1">
      <c r="A107" s="339"/>
    </row>
    <row r="108" spans="1:6" ht="20.25" thickBot="1">
      <c r="A108" s="1279" t="s">
        <v>708</v>
      </c>
      <c r="B108" s="336" t="s">
        <v>396</v>
      </c>
      <c r="C108" s="336" t="s">
        <v>415</v>
      </c>
      <c r="D108" s="336"/>
      <c r="E108" s="336"/>
      <c r="F108" s="340"/>
    </row>
    <row r="109" spans="1:6" ht="16.5" thickTop="1" thickBot="1">
      <c r="A109" s="1283" t="s">
        <v>4</v>
      </c>
      <c r="B109" s="1284" t="s">
        <v>5</v>
      </c>
      <c r="C109" s="1284"/>
      <c r="D109" s="1284"/>
      <c r="E109" s="1284"/>
      <c r="F109" s="1285"/>
    </row>
    <row r="110" spans="1:6">
      <c r="A110" s="1286" t="s">
        <v>709</v>
      </c>
      <c r="B110" s="335">
        <v>0</v>
      </c>
    </row>
    <row r="111" spans="1:6">
      <c r="A111" s="1302" t="s">
        <v>710</v>
      </c>
      <c r="B111" s="1303">
        <v>0</v>
      </c>
      <c r="C111" s="1303"/>
      <c r="D111" s="1303"/>
      <c r="E111" s="1303"/>
      <c r="F111" s="1303"/>
    </row>
    <row r="112" spans="1:6">
      <c r="A112" s="1286"/>
    </row>
    <row r="113" spans="1:6" ht="15.75" thickBot="1">
      <c r="A113" s="1282"/>
      <c r="B113" s="338"/>
      <c r="C113" s="338"/>
      <c r="D113" s="338"/>
      <c r="E113" s="338"/>
      <c r="F113" s="338"/>
    </row>
    <row r="114" spans="1:6" ht="20.25" thickBot="1">
      <c r="A114" s="1279" t="s">
        <v>80</v>
      </c>
      <c r="B114" s="336" t="s">
        <v>396</v>
      </c>
      <c r="C114" s="336" t="s">
        <v>945</v>
      </c>
      <c r="D114" s="336"/>
      <c r="E114" s="336"/>
      <c r="F114" s="340"/>
    </row>
    <row r="115" spans="1:6" ht="16.5" thickTop="1" thickBot="1">
      <c r="A115" s="345"/>
      <c r="B115" s="346" t="s">
        <v>81</v>
      </c>
      <c r="C115" s="346" t="s">
        <v>82</v>
      </c>
      <c r="D115" s="346"/>
      <c r="E115" s="346"/>
      <c r="F115" s="347"/>
    </row>
    <row r="116" spans="1:6" ht="16.5" thickTop="1" thickBot="1">
      <c r="A116" s="1283" t="s">
        <v>4</v>
      </c>
      <c r="B116" s="1284" t="s">
        <v>5</v>
      </c>
      <c r="C116" s="1284" t="s">
        <v>5</v>
      </c>
      <c r="D116" s="1284"/>
      <c r="E116" s="1284"/>
      <c r="F116" s="1285"/>
    </row>
    <row r="117" spans="1:6">
      <c r="A117" s="1286" t="s">
        <v>83</v>
      </c>
      <c r="B117" s="335">
        <v>0</v>
      </c>
      <c r="C117" s="335">
        <v>0</v>
      </c>
    </row>
    <row r="118" spans="1:6">
      <c r="A118" s="1286" t="s">
        <v>84</v>
      </c>
      <c r="B118" s="335">
        <v>0</v>
      </c>
      <c r="C118" s="335">
        <v>0</v>
      </c>
    </row>
    <row r="119" spans="1:6">
      <c r="A119" s="1286" t="s">
        <v>32</v>
      </c>
      <c r="B119" s="335">
        <v>0</v>
      </c>
      <c r="C119" s="335">
        <v>0</v>
      </c>
    </row>
    <row r="120" spans="1:6">
      <c r="A120" s="1286" t="s">
        <v>85</v>
      </c>
      <c r="B120" s="335">
        <v>0</v>
      </c>
      <c r="C120" s="335">
        <v>0</v>
      </c>
    </row>
    <row r="121" spans="1:6">
      <c r="A121" s="1286" t="s">
        <v>86</v>
      </c>
      <c r="B121" s="335">
        <v>0</v>
      </c>
      <c r="C121" s="335">
        <v>0</v>
      </c>
    </row>
    <row r="122" spans="1:6">
      <c r="A122" s="1286" t="s">
        <v>87</v>
      </c>
      <c r="B122" s="335">
        <v>0</v>
      </c>
      <c r="C122" s="335">
        <v>0</v>
      </c>
    </row>
    <row r="123" spans="1:6">
      <c r="A123" s="1286" t="s">
        <v>88</v>
      </c>
      <c r="B123" s="335">
        <v>36</v>
      </c>
      <c r="C123" s="335">
        <v>16</v>
      </c>
    </row>
    <row r="124" spans="1:6">
      <c r="A124" s="1282" t="s">
        <v>89</v>
      </c>
      <c r="B124" s="335">
        <v>0</v>
      </c>
      <c r="C124" s="335">
        <v>0</v>
      </c>
      <c r="D124" s="338"/>
      <c r="E124" s="338"/>
      <c r="F124" s="338"/>
    </row>
    <row r="125" spans="1:6">
      <c r="A125" s="1298"/>
    </row>
    <row r="126" spans="1:6" ht="15.75" thickBot="1">
      <c r="A126" s="1298"/>
    </row>
    <row r="127" spans="1:6" ht="20.25" thickBot="1">
      <c r="A127" s="1279" t="s">
        <v>293</v>
      </c>
      <c r="B127" s="336" t="s">
        <v>396</v>
      </c>
      <c r="C127" s="336" t="s">
        <v>415</v>
      </c>
      <c r="D127" s="336"/>
      <c r="E127" s="336"/>
      <c r="F127" s="340"/>
    </row>
    <row r="128" spans="1:6" ht="16.5" thickTop="1" thickBot="1">
      <c r="A128" s="1283" t="s">
        <v>4</v>
      </c>
      <c r="B128" s="1284" t="s">
        <v>5</v>
      </c>
      <c r="C128" s="1284"/>
      <c r="D128" s="1284"/>
      <c r="E128" s="1284"/>
      <c r="F128" s="1285"/>
    </row>
    <row r="129" spans="1:6">
      <c r="A129" s="1286" t="s">
        <v>294</v>
      </c>
      <c r="B129" s="335">
        <v>83</v>
      </c>
    </row>
    <row r="130" spans="1:6">
      <c r="A130" s="1286" t="s">
        <v>295</v>
      </c>
      <c r="B130" s="335">
        <v>0</v>
      </c>
    </row>
    <row r="131" spans="1:6">
      <c r="A131" s="1286" t="s">
        <v>296</v>
      </c>
      <c r="B131" s="335">
        <v>0</v>
      </c>
    </row>
    <row r="132" spans="1:6">
      <c r="A132" s="1282" t="s">
        <v>297</v>
      </c>
      <c r="B132" s="338">
        <v>21</v>
      </c>
      <c r="C132" s="338"/>
      <c r="D132" s="338"/>
      <c r="E132" s="338"/>
      <c r="F132" s="338"/>
    </row>
    <row r="134" spans="1:6">
      <c r="A134" s="130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sheetPr codeName="Sheet13">
    <tabColor theme="0" tint="-0.34998626667073579"/>
  </sheetPr>
  <dimension ref="A1:N53"/>
  <sheetViews>
    <sheetView showGridLines="0" workbookViewId="0">
      <selection activeCell="B6" sqref="B6"/>
    </sheetView>
  </sheetViews>
  <sheetFormatPr defaultRowHeight="15"/>
  <cols>
    <col min="1" max="1" width="46.7109375" bestFit="1" customWidth="1"/>
    <col min="2" max="2" width="38.5703125" style="531" customWidth="1"/>
  </cols>
  <sheetData>
    <row r="1" spans="1:12" ht="18.75" thickBot="1">
      <c r="A1" s="122" t="s">
        <v>180</v>
      </c>
      <c r="B1" s="517"/>
    </row>
    <row r="2" spans="1:12">
      <c r="A2" s="45" t="s">
        <v>751</v>
      </c>
      <c r="B2" s="518"/>
    </row>
    <row r="3" spans="1:12">
      <c r="A3" s="45"/>
      <c r="B3" s="518"/>
    </row>
    <row r="4" spans="1:12" ht="18">
      <c r="A4" s="138" t="s">
        <v>181</v>
      </c>
      <c r="B4" s="519" t="s">
        <v>390</v>
      </c>
    </row>
    <row r="5" spans="1:12" ht="21">
      <c r="A5" s="117" t="s">
        <v>183</v>
      </c>
      <c r="B5" s="520"/>
      <c r="D5" s="650"/>
      <c r="E5" s="9"/>
      <c r="F5" s="10"/>
      <c r="G5" s="10"/>
      <c r="H5" s="10"/>
      <c r="I5" s="10"/>
      <c r="J5" s="10"/>
    </row>
    <row r="6" spans="1:12">
      <c r="A6" s="118" t="s">
        <v>184</v>
      </c>
      <c r="B6" s="521">
        <v>3.9849787380274715</v>
      </c>
      <c r="D6" s="650"/>
      <c r="E6" s="11"/>
      <c r="F6" s="11"/>
      <c r="G6" s="11"/>
      <c r="H6" s="11"/>
      <c r="I6" s="11"/>
      <c r="J6" s="11"/>
      <c r="K6" s="11"/>
      <c r="L6" s="11"/>
    </row>
    <row r="7" spans="1:12">
      <c r="A7" s="118" t="s">
        <v>6</v>
      </c>
      <c r="B7" s="521">
        <v>144.75014955765147</v>
      </c>
      <c r="D7" s="650"/>
      <c r="K7" s="11"/>
      <c r="L7" s="11"/>
    </row>
    <row r="8" spans="1:12">
      <c r="A8" s="118" t="s">
        <v>7</v>
      </c>
      <c r="B8" s="521">
        <v>91.996966343583537</v>
      </c>
      <c r="D8" s="650"/>
      <c r="K8" s="11"/>
      <c r="L8" s="11"/>
    </row>
    <row r="9" spans="1:12">
      <c r="A9" s="118" t="s">
        <v>8</v>
      </c>
      <c r="B9" s="521">
        <v>31.466379225633727</v>
      </c>
      <c r="D9" s="650"/>
      <c r="E9" s="11"/>
      <c r="F9" s="11"/>
      <c r="G9" s="11"/>
      <c r="H9" s="11"/>
      <c r="I9" s="11"/>
      <c r="J9" s="11"/>
      <c r="K9" s="11"/>
      <c r="L9" s="11"/>
    </row>
    <row r="10" spans="1:12">
      <c r="A10" s="118" t="s">
        <v>9</v>
      </c>
      <c r="B10" s="521">
        <v>47.265136268950577</v>
      </c>
      <c r="D10" s="650"/>
      <c r="E10" s="12"/>
      <c r="F10" s="12"/>
      <c r="G10" s="12"/>
      <c r="H10" s="12"/>
      <c r="I10" s="12"/>
      <c r="J10" s="12"/>
      <c r="K10" s="11"/>
      <c r="L10" s="11"/>
    </row>
    <row r="11" spans="1:12">
      <c r="A11" s="118" t="s">
        <v>10</v>
      </c>
      <c r="B11" s="521">
        <v>47.685070955670071</v>
      </c>
      <c r="D11" s="650"/>
      <c r="F11" s="12"/>
      <c r="G11" s="12"/>
      <c r="H11" s="12"/>
      <c r="I11" s="12"/>
      <c r="J11" s="12"/>
      <c r="K11" s="11"/>
      <c r="L11" s="11"/>
    </row>
    <row r="12" spans="1:12">
      <c r="A12" s="119" t="s">
        <v>16</v>
      </c>
      <c r="B12" s="521">
        <v>8</v>
      </c>
      <c r="D12" s="650"/>
      <c r="E12" s="12"/>
      <c r="F12" s="11"/>
      <c r="G12" s="11"/>
      <c r="H12" s="11"/>
      <c r="I12" s="11"/>
      <c r="J12" s="11"/>
      <c r="K12" s="11"/>
      <c r="L12" s="11"/>
    </row>
    <row r="13" spans="1:12">
      <c r="A13" s="119" t="s">
        <v>17</v>
      </c>
      <c r="B13" s="521">
        <v>5</v>
      </c>
      <c r="D13" s="650"/>
      <c r="E13" s="11"/>
      <c r="F13" s="11"/>
      <c r="G13" s="11"/>
      <c r="H13" s="11"/>
      <c r="I13" s="11"/>
      <c r="J13" s="11"/>
      <c r="K13" s="11"/>
      <c r="L13" s="11"/>
    </row>
    <row r="14" spans="1:12">
      <c r="A14" s="119" t="s">
        <v>185</v>
      </c>
      <c r="B14" s="521">
        <v>1.5</v>
      </c>
      <c r="D14" s="650"/>
      <c r="E14" s="11"/>
      <c r="F14" s="11"/>
      <c r="G14" s="11"/>
      <c r="H14" s="11"/>
      <c r="I14" s="11"/>
      <c r="J14" s="11"/>
      <c r="K14" s="11"/>
      <c r="L14" s="11"/>
    </row>
    <row r="15" spans="1:12">
      <c r="A15" s="119" t="s">
        <v>186</v>
      </c>
      <c r="B15" s="521">
        <v>18</v>
      </c>
      <c r="D15" s="650"/>
      <c r="E15" s="11"/>
      <c r="F15" s="11"/>
      <c r="G15" s="11"/>
      <c r="H15" s="11"/>
      <c r="I15" s="11"/>
      <c r="J15" s="11"/>
      <c r="K15" s="11"/>
      <c r="L15" s="11"/>
    </row>
    <row r="16" spans="1:12">
      <c r="A16" s="119" t="s">
        <v>187</v>
      </c>
      <c r="B16" s="522">
        <v>10</v>
      </c>
      <c r="D16" s="650"/>
      <c r="E16" s="11"/>
      <c r="F16" s="11"/>
      <c r="G16" s="11"/>
      <c r="H16" s="11"/>
      <c r="I16" s="11"/>
      <c r="J16" s="11"/>
      <c r="K16" s="11"/>
      <c r="L16" s="11"/>
    </row>
    <row r="17" spans="1:12" s="44" customFormat="1" ht="15.75" thickBot="1">
      <c r="A17" s="120"/>
      <c r="B17" s="523"/>
      <c r="D17" s="652"/>
      <c r="E17" s="157"/>
      <c r="F17" s="157"/>
      <c r="G17" s="157"/>
      <c r="H17" s="157"/>
      <c r="I17" s="157"/>
      <c r="J17" s="157"/>
      <c r="K17" s="157"/>
      <c r="L17" s="157"/>
    </row>
    <row r="18" spans="1:12" s="44" customFormat="1" ht="15.75" thickBot="1">
      <c r="A18" s="198"/>
      <c r="B18" s="524"/>
      <c r="D18" s="652"/>
      <c r="E18" s="157"/>
      <c r="F18" s="157"/>
      <c r="G18" s="157"/>
      <c r="H18" s="157"/>
      <c r="I18" s="157"/>
      <c r="J18" s="157"/>
      <c r="K18" s="157"/>
      <c r="L18" s="157"/>
    </row>
    <row r="19" spans="1:12" ht="18.75" thickBot="1">
      <c r="A19" s="122" t="s">
        <v>188</v>
      </c>
      <c r="B19" s="517"/>
      <c r="D19" s="650"/>
      <c r="E19" s="11"/>
      <c r="F19" s="11"/>
      <c r="G19" s="11"/>
      <c r="H19" s="11"/>
      <c r="I19" s="11"/>
      <c r="J19" s="11"/>
      <c r="K19" s="11"/>
      <c r="L19" s="11"/>
    </row>
    <row r="20" spans="1:12">
      <c r="A20" s="45" t="s">
        <v>751</v>
      </c>
      <c r="B20" s="518"/>
      <c r="D20" s="650"/>
      <c r="E20" s="11"/>
      <c r="F20" s="11"/>
      <c r="G20" s="11"/>
      <c r="H20" s="11"/>
      <c r="I20" s="11"/>
      <c r="J20" s="11"/>
      <c r="K20" s="11"/>
      <c r="L20" s="11"/>
    </row>
    <row r="21" spans="1:12">
      <c r="A21" s="45"/>
      <c r="B21" s="518"/>
      <c r="D21" s="650"/>
      <c r="E21" s="11"/>
      <c r="F21" s="11"/>
      <c r="G21" s="11"/>
      <c r="H21" s="11"/>
      <c r="I21" s="11"/>
      <c r="J21" s="11"/>
      <c r="K21" s="11"/>
      <c r="L21" s="11"/>
    </row>
    <row r="22" spans="1:12" ht="18">
      <c r="A22" s="139" t="s">
        <v>181</v>
      </c>
      <c r="B22" s="525" t="s">
        <v>390</v>
      </c>
      <c r="D22" s="650"/>
      <c r="E22" s="11"/>
      <c r="F22" s="11"/>
      <c r="G22" s="11"/>
      <c r="H22" s="11"/>
      <c r="I22" s="11"/>
      <c r="J22" s="11"/>
      <c r="K22" s="11"/>
      <c r="L22" s="11"/>
    </row>
    <row r="23" spans="1:12" s="73" customFormat="1">
      <c r="A23" s="119" t="s">
        <v>183</v>
      </c>
      <c r="B23" s="521">
        <v>10.693432516779941</v>
      </c>
      <c r="D23" s="898"/>
    </row>
    <row r="24" spans="1:12">
      <c r="A24" s="118" t="s">
        <v>184</v>
      </c>
      <c r="B24" s="521">
        <v>4.2231090152811745</v>
      </c>
      <c r="D24" s="650"/>
      <c r="E24" s="11"/>
      <c r="F24" s="11"/>
      <c r="G24" s="11"/>
      <c r="H24" s="11"/>
      <c r="I24" s="11"/>
      <c r="J24" s="11"/>
      <c r="K24" s="11"/>
      <c r="L24" s="11"/>
    </row>
    <row r="25" spans="1:12">
      <c r="A25" s="118" t="s">
        <v>6</v>
      </c>
      <c r="B25" s="521">
        <v>36.59371072568819</v>
      </c>
      <c r="D25" s="650"/>
      <c r="E25" s="11"/>
      <c r="F25" s="11"/>
      <c r="G25" s="11"/>
      <c r="H25" s="11"/>
      <c r="I25" s="11"/>
      <c r="J25" s="11"/>
      <c r="K25" s="11"/>
      <c r="L25" s="11"/>
    </row>
    <row r="26" spans="1:12">
      <c r="A26" s="118" t="s">
        <v>7</v>
      </c>
      <c r="B26" s="521">
        <v>2.6338889097604059</v>
      </c>
      <c r="D26" s="650"/>
      <c r="E26" s="11"/>
      <c r="F26" s="11"/>
      <c r="G26" s="11"/>
      <c r="H26" s="11"/>
      <c r="I26" s="11"/>
      <c r="J26" s="11"/>
      <c r="K26" s="11"/>
      <c r="L26" s="11"/>
    </row>
    <row r="27" spans="1:12">
      <c r="A27" s="118" t="s">
        <v>8</v>
      </c>
      <c r="B27" s="521">
        <v>1.3742356711711319</v>
      </c>
      <c r="D27" s="650"/>
      <c r="E27" s="11"/>
      <c r="F27" s="11"/>
      <c r="G27" s="11"/>
      <c r="H27" s="11"/>
      <c r="I27" s="11"/>
      <c r="J27" s="11"/>
      <c r="K27" s="11"/>
      <c r="L27" s="11"/>
    </row>
    <row r="28" spans="1:12">
      <c r="A28" s="118" t="s">
        <v>9</v>
      </c>
      <c r="B28" s="521">
        <v>9.3577839260338891</v>
      </c>
      <c r="D28" s="650"/>
      <c r="E28" s="11"/>
      <c r="F28" s="11"/>
      <c r="G28" s="11"/>
      <c r="H28" s="11"/>
      <c r="I28" s="11"/>
      <c r="J28" s="11"/>
      <c r="K28" s="11"/>
      <c r="L28" s="11"/>
    </row>
    <row r="29" spans="1:12">
      <c r="A29" s="118" t="s">
        <v>10</v>
      </c>
      <c r="B29" s="521">
        <v>3.8951527391088074</v>
      </c>
      <c r="D29" s="650"/>
      <c r="E29" s="11"/>
      <c r="F29" s="11"/>
      <c r="G29" s="11"/>
      <c r="H29" s="11"/>
      <c r="I29" s="11"/>
      <c r="J29" s="11"/>
      <c r="K29" s="11"/>
      <c r="L29" s="11"/>
    </row>
    <row r="30" spans="1:12">
      <c r="A30" s="119" t="s">
        <v>185</v>
      </c>
      <c r="B30" s="521">
        <v>4.4955558606003452</v>
      </c>
      <c r="D30" s="650"/>
      <c r="E30" s="11"/>
      <c r="F30" s="11"/>
      <c r="G30" s="11"/>
      <c r="H30" s="11"/>
      <c r="I30" s="11"/>
      <c r="J30" s="11"/>
      <c r="K30" s="11"/>
      <c r="L30" s="11"/>
    </row>
    <row r="31" spans="1:12">
      <c r="A31" s="118" t="s">
        <v>11</v>
      </c>
      <c r="B31" s="521">
        <v>1.6075002802320004</v>
      </c>
      <c r="D31" s="650"/>
      <c r="E31" s="11"/>
      <c r="F31" s="11"/>
      <c r="G31" s="11"/>
      <c r="H31" s="11"/>
      <c r="I31" s="11"/>
      <c r="J31" s="11"/>
      <c r="K31" s="11"/>
      <c r="L31" s="11"/>
    </row>
    <row r="32" spans="1:12">
      <c r="A32" s="118" t="s">
        <v>12</v>
      </c>
      <c r="B32" s="521">
        <v>4.8225008406960006</v>
      </c>
      <c r="D32" s="650"/>
      <c r="E32" s="11"/>
      <c r="F32" s="11"/>
      <c r="G32" s="11"/>
      <c r="H32" s="11"/>
      <c r="I32" s="11"/>
      <c r="J32" s="11"/>
      <c r="K32" s="11"/>
      <c r="L32" s="11"/>
    </row>
    <row r="33" spans="1:14">
      <c r="A33" s="118" t="s">
        <v>13</v>
      </c>
      <c r="B33" s="521">
        <v>6.3685027042560023</v>
      </c>
      <c r="D33" s="650"/>
      <c r="E33" s="11"/>
      <c r="F33" s="11"/>
      <c r="G33" s="11"/>
      <c r="H33" s="11"/>
      <c r="I33" s="11"/>
      <c r="J33" s="11"/>
      <c r="K33" s="11"/>
      <c r="L33" s="11"/>
    </row>
    <row r="34" spans="1:14">
      <c r="A34" s="118" t="s">
        <v>14</v>
      </c>
      <c r="B34" s="521">
        <v>4.6362973013280016</v>
      </c>
      <c r="D34" s="650"/>
      <c r="E34" s="11"/>
      <c r="F34" s="11"/>
      <c r="G34" s="11"/>
      <c r="H34" s="11"/>
      <c r="I34" s="11"/>
      <c r="J34" s="11"/>
      <c r="K34" s="11"/>
      <c r="L34" s="11"/>
    </row>
    <row r="35" spans="1:14">
      <c r="A35" s="118" t="s">
        <v>15</v>
      </c>
      <c r="B35" s="521">
        <v>12.338973989496003</v>
      </c>
      <c r="D35" s="650"/>
      <c r="E35" s="11"/>
      <c r="F35" s="11"/>
      <c r="G35" s="11"/>
      <c r="H35" s="11"/>
      <c r="I35" s="11"/>
      <c r="J35" s="11"/>
      <c r="K35" s="11"/>
      <c r="L35" s="11"/>
    </row>
    <row r="36" spans="1:14">
      <c r="A36" s="119" t="s">
        <v>16</v>
      </c>
      <c r="B36" s="521">
        <v>0.19</v>
      </c>
      <c r="D36" s="650"/>
      <c r="E36" s="11"/>
      <c r="F36" s="11"/>
      <c r="G36" s="11"/>
      <c r="H36" s="11"/>
      <c r="I36" s="11"/>
      <c r="J36" s="11"/>
      <c r="K36" s="11"/>
      <c r="L36" s="11"/>
    </row>
    <row r="37" spans="1:14">
      <c r="A37" s="119" t="s">
        <v>17</v>
      </c>
      <c r="B37" s="521">
        <v>0.13</v>
      </c>
      <c r="D37" s="650"/>
    </row>
    <row r="38" spans="1:14">
      <c r="A38" s="119" t="s">
        <v>186</v>
      </c>
      <c r="B38" s="521">
        <v>1.56</v>
      </c>
      <c r="D38" s="650"/>
    </row>
    <row r="39" spans="1:14">
      <c r="A39" s="119" t="s">
        <v>187</v>
      </c>
      <c r="B39" s="521">
        <v>0.76</v>
      </c>
      <c r="D39" s="650"/>
    </row>
    <row r="40" spans="1:14">
      <c r="A40" s="119" t="s">
        <v>18</v>
      </c>
      <c r="B40" s="522">
        <v>2.3704164773928026E-2</v>
      </c>
      <c r="D40" s="650"/>
    </row>
    <row r="41" spans="1:14" ht="15.75" thickBot="1">
      <c r="A41" s="120"/>
      <c r="B41" s="526"/>
      <c r="D41" s="650"/>
    </row>
    <row r="42" spans="1:14" s="44" customFormat="1" ht="15.75" thickBot="1">
      <c r="A42" s="199"/>
      <c r="B42" s="524"/>
      <c r="D42" s="652"/>
      <c r="E42" s="200"/>
      <c r="F42" s="200"/>
      <c r="G42" s="200"/>
      <c r="H42" s="200"/>
      <c r="I42" s="200"/>
      <c r="J42" s="200"/>
      <c r="K42" s="200"/>
      <c r="L42" s="200"/>
      <c r="M42" s="200"/>
      <c r="N42" s="200"/>
    </row>
    <row r="43" spans="1:14" ht="15.75" thickBot="1">
      <c r="A43" s="122" t="s">
        <v>189</v>
      </c>
      <c r="B43" s="527"/>
      <c r="D43" s="650"/>
    </row>
    <row r="44" spans="1:14">
      <c r="A44" s="45" t="s">
        <v>752</v>
      </c>
      <c r="B44" s="518"/>
      <c r="D44" s="650"/>
    </row>
    <row r="45" spans="1:14">
      <c r="A45" s="45"/>
      <c r="B45" s="518"/>
      <c r="D45" s="650"/>
    </row>
    <row r="46" spans="1:14" ht="18">
      <c r="A46" s="138" t="s">
        <v>190</v>
      </c>
      <c r="B46" s="519" t="s">
        <v>593</v>
      </c>
      <c r="D46" s="650"/>
    </row>
    <row r="47" spans="1:14">
      <c r="A47" s="117" t="s">
        <v>191</v>
      </c>
      <c r="B47" s="528">
        <v>0.91157113899502651</v>
      </c>
      <c r="D47" s="650"/>
    </row>
    <row r="48" spans="1:14">
      <c r="A48" s="119" t="s">
        <v>192</v>
      </c>
      <c r="B48" s="521">
        <v>0.92103501901379137</v>
      </c>
      <c r="D48" s="650"/>
    </row>
    <row r="49" spans="1:12">
      <c r="A49" s="119" t="s">
        <v>185</v>
      </c>
      <c r="B49" s="521">
        <v>3.3606404879796568E-2</v>
      </c>
      <c r="D49" s="650"/>
    </row>
    <row r="50" spans="1:12">
      <c r="A50" s="119" t="s">
        <v>18</v>
      </c>
      <c r="B50" s="521">
        <v>9.7262583974202599E-4</v>
      </c>
      <c r="D50" s="650"/>
      <c r="E50" s="11"/>
      <c r="F50" s="11"/>
      <c r="G50" s="11"/>
      <c r="H50" s="11"/>
      <c r="I50" s="11"/>
      <c r="J50" s="11"/>
      <c r="K50" s="11"/>
      <c r="L50" s="11"/>
    </row>
    <row r="51" spans="1:12">
      <c r="A51" s="119" t="s">
        <v>16</v>
      </c>
      <c r="B51" s="521">
        <v>6.3875808661971742E-3</v>
      </c>
      <c r="D51" s="650"/>
      <c r="E51" s="11"/>
      <c r="F51" s="11"/>
      <c r="G51" s="11"/>
      <c r="H51" s="11"/>
      <c r="I51" s="11"/>
      <c r="J51" s="11"/>
      <c r="K51" s="11"/>
      <c r="L51" s="11"/>
    </row>
    <row r="52" spans="1:12" ht="15.75" thickBot="1">
      <c r="A52" s="120" t="s">
        <v>127</v>
      </c>
      <c r="B52" s="529">
        <v>0.10299339703014961</v>
      </c>
      <c r="D52" s="650"/>
    </row>
    <row r="53" spans="1:12">
      <c r="B53" s="530"/>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6">
    <tabColor theme="0" tint="-0.34998626667073579"/>
  </sheetPr>
  <dimension ref="A1:D19"/>
  <sheetViews>
    <sheetView showGridLines="0" workbookViewId="0">
      <selection activeCell="B4" sqref="B4"/>
    </sheetView>
  </sheetViews>
  <sheetFormatPr defaultRowHeight="15"/>
  <cols>
    <col min="1" max="1" width="80" customWidth="1"/>
    <col min="2" max="2" width="36" style="459" customWidth="1"/>
    <col min="3" max="3" width="70.28515625" style="534" customWidth="1"/>
  </cols>
  <sheetData>
    <row r="1" spans="1:3" s="335" customFormat="1" ht="15.75" thickBot="1">
      <c r="A1" s="373" t="s">
        <v>645</v>
      </c>
      <c r="B1" s="532"/>
      <c r="C1" s="533"/>
    </row>
    <row r="2" spans="1:3" s="335" customFormat="1">
      <c r="A2" s="377"/>
      <c r="B2" s="498"/>
      <c r="C2" s="535"/>
    </row>
    <row r="3" spans="1:3" s="335" customFormat="1">
      <c r="A3" s="375"/>
      <c r="B3" s="536">
        <v>2012</v>
      </c>
      <c r="C3" s="378" t="s">
        <v>182</v>
      </c>
    </row>
    <row r="4" spans="1:3">
      <c r="A4" s="121" t="s">
        <v>301</v>
      </c>
      <c r="B4" s="537">
        <v>3704.1355821353</v>
      </c>
      <c r="C4" s="140" t="s">
        <v>750</v>
      </c>
    </row>
    <row r="5" spans="1:3" ht="15.75" thickBot="1">
      <c r="A5" s="116" t="s">
        <v>644</v>
      </c>
      <c r="B5" s="538">
        <v>671603</v>
      </c>
      <c r="C5" s="141" t="s">
        <v>642</v>
      </c>
    </row>
    <row r="11" spans="1:3">
      <c r="B11" s="792"/>
    </row>
    <row r="19" spans="4:4">
      <c r="D19" s="5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sheetPr codeName="Sheet26">
    <tabColor theme="0" tint="-0.34998626667073579"/>
  </sheetPr>
  <dimension ref="A1:B5"/>
  <sheetViews>
    <sheetView showGridLines="0" workbookViewId="0">
      <selection activeCell="A34" sqref="A34"/>
    </sheetView>
  </sheetViews>
  <sheetFormatPr defaultRowHeight="15"/>
  <cols>
    <col min="1" max="1" width="32.42578125" customWidth="1"/>
    <col min="2" max="2" width="57.42578125" customWidth="1"/>
  </cols>
  <sheetData>
    <row r="1" spans="1:2" s="335" customFormat="1" ht="15.75" thickBot="1">
      <c r="A1" s="373" t="s">
        <v>457</v>
      </c>
      <c r="B1" s="374"/>
    </row>
    <row r="2" spans="1:2" s="335" customFormat="1">
      <c r="A2" s="365"/>
      <c r="B2" s="372"/>
    </row>
    <row r="3" spans="1:2" s="335" customFormat="1" ht="18">
      <c r="A3" s="375"/>
      <c r="B3" s="376" t="s">
        <v>460</v>
      </c>
    </row>
    <row r="4" spans="1:2" ht="18">
      <c r="A4" s="121" t="s">
        <v>458</v>
      </c>
      <c r="B4" s="539">
        <v>310</v>
      </c>
    </row>
    <row r="5" spans="1:2" ht="18.75" thickBot="1">
      <c r="A5" s="116" t="s">
        <v>459</v>
      </c>
      <c r="B5" s="540">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sheetPr codeName="Sheet14">
    <tabColor theme="0" tint="-0.34998626667073579"/>
  </sheetPr>
  <dimension ref="A1:M4"/>
  <sheetViews>
    <sheetView showGridLines="0" workbookViewId="0">
      <selection activeCell="D4" sqref="D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5" customFormat="1" ht="22.7" customHeight="1" thickBot="1">
      <c r="A1" s="369"/>
      <c r="B1" s="370" t="s">
        <v>199</v>
      </c>
      <c r="C1" s="370" t="s">
        <v>200</v>
      </c>
      <c r="D1" s="370" t="s">
        <v>201</v>
      </c>
      <c r="E1" s="370" t="s">
        <v>202</v>
      </c>
      <c r="F1" s="370" t="s">
        <v>120</v>
      </c>
      <c r="G1" s="370" t="s">
        <v>203</v>
      </c>
      <c r="H1" s="370" t="s">
        <v>204</v>
      </c>
      <c r="I1" s="370" t="s">
        <v>205</v>
      </c>
      <c r="J1" s="370" t="s">
        <v>206</v>
      </c>
      <c r="K1" s="370" t="s">
        <v>207</v>
      </c>
      <c r="L1" s="370" t="s">
        <v>208</v>
      </c>
      <c r="M1" s="371" t="s">
        <v>291</v>
      </c>
    </row>
    <row r="2" spans="1:13" s="335" customFormat="1">
      <c r="A2" s="365" t="s">
        <v>447</v>
      </c>
      <c r="B2" s="341"/>
      <c r="C2" s="341"/>
      <c r="D2" s="341"/>
      <c r="E2" s="341"/>
      <c r="F2" s="341"/>
      <c r="G2" s="341"/>
      <c r="H2" s="341"/>
      <c r="I2" s="341"/>
      <c r="J2" s="341"/>
      <c r="K2" s="341"/>
      <c r="L2" s="341"/>
      <c r="M2" s="372"/>
    </row>
    <row r="3" spans="1:13">
      <c r="A3" s="45"/>
      <c r="B3" s="44"/>
      <c r="C3" s="44"/>
      <c r="D3" s="44"/>
      <c r="E3" s="44"/>
      <c r="F3" s="44"/>
      <c r="G3" s="44"/>
      <c r="H3" s="44"/>
      <c r="I3" s="44"/>
      <c r="J3" s="44"/>
      <c r="K3" s="44"/>
      <c r="L3" s="44"/>
      <c r="M3" s="97"/>
    </row>
    <row r="4" spans="1:13" ht="15.75" thickBot="1">
      <c r="A4" s="213" t="s">
        <v>448</v>
      </c>
      <c r="B4" s="319">
        <v>0.20200000000000001</v>
      </c>
      <c r="C4" s="319">
        <v>0.22700000000000001</v>
      </c>
      <c r="D4" s="319">
        <v>0.26700000000000002</v>
      </c>
      <c r="E4" s="319">
        <v>0.26700000000000002</v>
      </c>
      <c r="F4" s="319">
        <v>0.249</v>
      </c>
      <c r="G4" s="319">
        <v>0.35099999999999998</v>
      </c>
      <c r="H4" s="319">
        <v>0.35399999999999998</v>
      </c>
      <c r="I4" s="319">
        <v>0.26400000000000001</v>
      </c>
      <c r="J4" s="319">
        <v>0</v>
      </c>
      <c r="K4" s="319">
        <v>0</v>
      </c>
      <c r="L4" s="319">
        <v>0</v>
      </c>
      <c r="M4" s="320">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18">
    <tabColor theme="6"/>
  </sheetPr>
  <dimension ref="A1:C9"/>
  <sheetViews>
    <sheetView workbookViewId="0">
      <selection activeCell="C33" sqref="C33"/>
    </sheetView>
  </sheetViews>
  <sheetFormatPr defaultRowHeight="15"/>
  <cols>
    <col min="1" max="1" width="39.140625" bestFit="1" customWidth="1"/>
    <col min="2" max="2" width="54.5703125" customWidth="1"/>
    <col min="3" max="3" width="111.28515625" customWidth="1"/>
  </cols>
  <sheetData>
    <row r="1" spans="1:3" ht="15.75" thickBot="1"/>
    <row r="2" spans="1:3" s="388" customFormat="1" ht="55.5" customHeight="1" thickBot="1">
      <c r="A2" s="417" t="s">
        <v>386</v>
      </c>
      <c r="B2" s="791"/>
      <c r="C2" s="416"/>
    </row>
    <row r="3" spans="1:3" s="16" customFormat="1" ht="15.75">
      <c r="A3" s="99"/>
      <c r="B3" s="71"/>
      <c r="C3" s="100"/>
    </row>
    <row r="4" spans="1:3" s="335" customFormat="1">
      <c r="A4" s="396" t="s">
        <v>364</v>
      </c>
      <c r="B4" s="418" t="s">
        <v>376</v>
      </c>
      <c r="C4" s="419" t="s">
        <v>375</v>
      </c>
    </row>
    <row r="5" spans="1:3" s="335" customFormat="1">
      <c r="A5" s="420"/>
      <c r="B5" s="341"/>
      <c r="C5" s="372"/>
    </row>
    <row r="6" spans="1:3" s="335" customFormat="1">
      <c r="A6" s="421" t="s">
        <v>359</v>
      </c>
      <c r="B6" s="422" t="s">
        <v>682</v>
      </c>
      <c r="C6" s="423" t="s">
        <v>358</v>
      </c>
    </row>
    <row r="7" spans="1:3" s="335" customFormat="1">
      <c r="A7" s="424" t="s">
        <v>683</v>
      </c>
      <c r="B7" s="425" t="s">
        <v>620</v>
      </c>
      <c r="C7" s="426" t="s">
        <v>619</v>
      </c>
    </row>
    <row r="8" spans="1:3" s="335" customFormat="1">
      <c r="A8" s="454"/>
      <c r="B8" s="425"/>
      <c r="C8" s="426"/>
    </row>
    <row r="9" spans="1:3" ht="21">
      <c r="A9" s="127" t="s">
        <v>483</v>
      </c>
      <c r="B9" s="126"/>
      <c r="C9" s="123"/>
    </row>
  </sheetData>
  <hyperlinks>
    <hyperlink ref="A6" location="'SEAP template'!A1" display="SEAP Nulmeting"/>
    <hyperlink ref="A7" location="'Inventaris 2012'!A1" display="Inventaris 2012"/>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sheetPr codeName="Sheet12">
    <tabColor theme="0" tint="-0.34998626667073579"/>
  </sheetPr>
  <dimension ref="A1:K34"/>
  <sheetViews>
    <sheetView showGridLines="0" workbookViewId="0">
      <selection sqref="A1:XFD1048576"/>
    </sheetView>
  </sheetViews>
  <sheetFormatPr defaultRowHeight="15"/>
  <cols>
    <col min="1" max="1" width="82.7109375" style="335" customWidth="1"/>
    <col min="2" max="2" width="30.28515625" style="890" customWidth="1"/>
    <col min="3" max="3" width="12" style="890" customWidth="1"/>
    <col min="4" max="4" width="9.140625" style="890"/>
    <col min="5" max="5" width="50.42578125" style="890" customWidth="1"/>
    <col min="6" max="6" width="19.28515625" style="890" customWidth="1"/>
    <col min="7" max="7" width="9.140625" style="890"/>
    <col min="8" max="8" width="23.42578125" style="890" customWidth="1"/>
    <col min="9" max="10" width="9.140625" style="890"/>
    <col min="11" max="11" width="80.140625" style="890" customWidth="1"/>
    <col min="12" max="16384" width="9.140625" style="890"/>
  </cols>
  <sheetData>
    <row r="1" spans="1:11">
      <c r="A1" s="364" t="s">
        <v>499</v>
      </c>
      <c r="B1" s="201"/>
      <c r="C1" s="201"/>
      <c r="D1" s="201"/>
      <c r="E1" s="201"/>
      <c r="F1" s="201"/>
      <c r="G1" s="201"/>
      <c r="H1" s="201"/>
      <c r="I1" s="201"/>
      <c r="J1" s="201"/>
      <c r="K1" s="202"/>
    </row>
    <row r="2" spans="1:11">
      <c r="A2" s="365"/>
      <c r="B2" s="44"/>
      <c r="C2" s="44"/>
      <c r="D2" s="44"/>
      <c r="E2" s="44"/>
      <c r="F2" s="44"/>
      <c r="G2" s="44"/>
      <c r="H2" s="44"/>
      <c r="I2" s="44"/>
      <c r="J2" s="44"/>
      <c r="K2" s="97"/>
    </row>
    <row r="3" spans="1:11">
      <c r="A3" s="365" t="s">
        <v>517</v>
      </c>
      <c r="B3" s="50">
        <f ca="1">IF(ISERROR('SEAP template'!C27),0,'SEAP template'!C27)</f>
        <v>124837.51128916194</v>
      </c>
      <c r="C3" s="44" t="s">
        <v>170</v>
      </c>
      <c r="D3" s="44"/>
      <c r="E3" s="157"/>
      <c r="F3" s="44"/>
      <c r="G3" s="44"/>
      <c r="H3" s="44"/>
      <c r="I3" s="44"/>
      <c r="J3" s="44"/>
      <c r="K3" s="97"/>
    </row>
    <row r="4" spans="1:11">
      <c r="A4" s="365" t="s">
        <v>171</v>
      </c>
      <c r="B4" s="50">
        <f>IF(ISERROR('SEAP template'!B78),0,'SEAP template'!B78)</f>
        <v>35868.434908493815</v>
      </c>
      <c r="C4" s="44" t="s">
        <v>170</v>
      </c>
      <c r="D4" s="44"/>
      <c r="E4" s="44"/>
      <c r="F4" s="44"/>
      <c r="G4" s="44"/>
      <c r="H4" s="44"/>
      <c r="I4" s="44"/>
      <c r="J4" s="44"/>
      <c r="K4" s="97"/>
    </row>
    <row r="5" spans="1:11">
      <c r="A5" s="365" t="s">
        <v>554</v>
      </c>
      <c r="B5" s="50">
        <f>IF(ISERROR('Eigen informatie GS &amp; warmtenet'!B4),0,'Eigen informatie GS &amp; warmtenet'!B4)</f>
        <v>0</v>
      </c>
      <c r="C5" s="44" t="s">
        <v>170</v>
      </c>
      <c r="D5" s="44"/>
      <c r="E5" s="44"/>
      <c r="F5" s="44"/>
      <c r="G5" s="44"/>
      <c r="H5" s="44"/>
      <c r="I5" s="44"/>
      <c r="J5" s="44"/>
      <c r="K5" s="97"/>
    </row>
    <row r="6" spans="1:11">
      <c r="A6" s="365" t="s">
        <v>172</v>
      </c>
      <c r="B6" s="542">
        <f>E6</f>
        <v>0.221</v>
      </c>
      <c r="C6" s="44" t="s">
        <v>173</v>
      </c>
      <c r="D6" s="44"/>
      <c r="E6" s="931">
        <v>0.221</v>
      </c>
      <c r="F6" s="44" t="s">
        <v>839</v>
      </c>
      <c r="G6" s="44" t="s">
        <v>845</v>
      </c>
      <c r="H6" s="44"/>
      <c r="I6" s="44"/>
      <c r="J6" s="44"/>
      <c r="K6" s="97"/>
    </row>
    <row r="7" spans="1:11">
      <c r="A7" s="365"/>
      <c r="B7" s="461"/>
      <c r="C7" s="44"/>
      <c r="D7" s="44"/>
      <c r="E7" s="44"/>
      <c r="F7" s="49"/>
      <c r="G7" s="44"/>
      <c r="H7" s="44"/>
      <c r="I7" s="44"/>
      <c r="J7" s="44"/>
      <c r="K7" s="97"/>
    </row>
    <row r="8" spans="1:11">
      <c r="A8" s="365"/>
      <c r="B8" s="461"/>
      <c r="C8" s="44"/>
      <c r="D8" s="44"/>
      <c r="E8" s="44"/>
      <c r="F8" s="49"/>
      <c r="G8" s="44"/>
      <c r="H8" s="930"/>
      <c r="I8" s="158"/>
      <c r="J8" s="44"/>
      <c r="K8" s="97"/>
    </row>
    <row r="9" spans="1:11">
      <c r="A9" s="365" t="s">
        <v>175</v>
      </c>
      <c r="B9" s="50">
        <f>IF(ISERROR('SEAP template'!Q78),0,'SEAP template'!Q78)</f>
        <v>1251.0674324032916</v>
      </c>
      <c r="C9" s="44" t="s">
        <v>174</v>
      </c>
      <c r="D9" s="44"/>
      <c r="E9" s="44"/>
      <c r="F9" s="44"/>
      <c r="G9" s="44"/>
      <c r="H9" s="44"/>
      <c r="I9" s="44"/>
      <c r="J9" s="44"/>
      <c r="K9" s="97"/>
    </row>
    <row r="10" spans="1:11">
      <c r="A10" s="365" t="s">
        <v>421</v>
      </c>
      <c r="B10" s="49">
        <v>0</v>
      </c>
      <c r="C10" s="44" t="s">
        <v>174</v>
      </c>
      <c r="D10" s="157"/>
      <c r="E10" s="44"/>
      <c r="F10" s="44"/>
      <c r="G10" s="44"/>
      <c r="H10" s="44"/>
      <c r="I10" s="44"/>
      <c r="J10" s="44"/>
      <c r="K10" s="97"/>
    </row>
    <row r="11" spans="1:11">
      <c r="A11" s="365"/>
      <c r="B11" s="461"/>
      <c r="C11" s="44"/>
      <c r="D11" s="44"/>
      <c r="E11" s="44"/>
      <c r="F11" s="44"/>
      <c r="G11" s="44"/>
      <c r="H11" s="44"/>
      <c r="I11" s="44"/>
      <c r="J11" s="44"/>
      <c r="K11" s="97"/>
    </row>
    <row r="12" spans="1:11">
      <c r="A12" s="366" t="s">
        <v>176</v>
      </c>
      <c r="B12" s="541">
        <f ca="1">IF((B4+B5)&gt;B3,(B9+B10)/(B4+B5),((B3-B4-B5)*B6+B9+B10)/B3)</f>
        <v>0.16752363209235635</v>
      </c>
      <c r="C12" s="44" t="s">
        <v>173</v>
      </c>
      <c r="D12" s="44"/>
      <c r="E12" s="157"/>
      <c r="F12" s="44"/>
      <c r="G12" s="44"/>
      <c r="H12" s="44"/>
      <c r="I12" s="44"/>
      <c r="J12" s="44"/>
      <c r="K12" s="97"/>
    </row>
    <row r="13" spans="1:11" ht="15.75" thickBot="1">
      <c r="A13" s="367"/>
      <c r="B13" s="109"/>
      <c r="C13" s="109"/>
      <c r="D13" s="109"/>
      <c r="E13" s="109"/>
      <c r="F13" s="109"/>
      <c r="G13" s="109"/>
      <c r="H13" s="109"/>
      <c r="I13" s="109"/>
      <c r="J13" s="109"/>
      <c r="K13" s="110"/>
    </row>
    <row r="14" spans="1:11" s="44" customFormat="1" ht="15.75" thickBot="1">
      <c r="A14" s="341"/>
    </row>
    <row r="15" spans="1:11">
      <c r="A15" s="368" t="s">
        <v>500</v>
      </c>
      <c r="B15" s="203"/>
      <c r="C15" s="203"/>
      <c r="D15" s="203"/>
      <c r="E15" s="203"/>
      <c r="F15" s="203"/>
      <c r="G15" s="203"/>
      <c r="H15" s="203"/>
      <c r="I15" s="203"/>
      <c r="J15" s="203"/>
      <c r="K15" s="204"/>
    </row>
    <row r="16" spans="1:11">
      <c r="A16" s="365"/>
      <c r="B16" s="44"/>
      <c r="C16" s="44"/>
      <c r="D16" s="44"/>
      <c r="E16" s="44"/>
      <c r="F16" s="44"/>
      <c r="G16" s="44"/>
      <c r="H16" s="44"/>
      <c r="I16" s="44"/>
      <c r="J16" s="44"/>
      <c r="K16" s="97"/>
    </row>
    <row r="17" spans="1:11">
      <c r="A17" s="365" t="s">
        <v>177</v>
      </c>
      <c r="B17" s="50">
        <f>IF(ISERROR('SEAP template'!Q90),0,'SEAP template'!Q90)</f>
        <v>1791.0525675967092</v>
      </c>
      <c r="C17" s="44" t="s">
        <v>174</v>
      </c>
      <c r="D17" s="44"/>
      <c r="E17" s="44"/>
      <c r="F17" s="44"/>
      <c r="G17" s="44"/>
      <c r="H17" s="44"/>
      <c r="I17" s="44"/>
      <c r="J17" s="44"/>
      <c r="K17" s="97"/>
    </row>
    <row r="18" spans="1:11">
      <c r="A18" s="365" t="s">
        <v>178</v>
      </c>
      <c r="B18" s="50">
        <f>IF(ISERROR('Eigen informatie GS &amp; warmtenet'!B52),0,'Eigen informatie GS &amp; warmtenet'!B52)</f>
        <v>0</v>
      </c>
      <c r="C18" s="44" t="s">
        <v>174</v>
      </c>
      <c r="D18" s="44"/>
      <c r="E18" s="44"/>
      <c r="F18" s="44"/>
      <c r="G18" s="44"/>
      <c r="H18" s="44"/>
      <c r="I18" s="44"/>
      <c r="J18" s="44"/>
      <c r="K18" s="97"/>
    </row>
    <row r="19" spans="1:11">
      <c r="A19" s="365" t="s">
        <v>302</v>
      </c>
      <c r="B19" s="50">
        <f>IF(ISERROR('Eigen informatie GS &amp; warmtenet'!B53),0,'Eigen informatie GS &amp; warmtenet'!B53)</f>
        <v>0</v>
      </c>
      <c r="C19" s="44" t="s">
        <v>174</v>
      </c>
      <c r="D19" s="44"/>
      <c r="E19" s="44"/>
      <c r="F19" s="44"/>
      <c r="G19" s="44"/>
      <c r="H19" s="44"/>
      <c r="I19" s="44"/>
      <c r="J19" s="44"/>
      <c r="K19" s="97"/>
    </row>
    <row r="20" spans="1:11">
      <c r="A20" s="365" t="s">
        <v>518</v>
      </c>
      <c r="B20" s="50">
        <f ca="1">IF(ISERROR('SEAP template'!D27),0,('SEAP template'!D27))</f>
        <v>7548.3652597402597</v>
      </c>
      <c r="C20" s="44" t="s">
        <v>170</v>
      </c>
      <c r="D20" s="44"/>
      <c r="E20" s="157"/>
      <c r="F20" s="157"/>
      <c r="G20" s="44"/>
      <c r="H20" s="44"/>
      <c r="I20" s="44"/>
      <c r="J20" s="44"/>
      <c r="K20" s="97"/>
    </row>
    <row r="21" spans="1:11">
      <c r="A21" s="365"/>
      <c r="B21" s="44"/>
      <c r="C21" s="44"/>
      <c r="D21" s="44"/>
      <c r="E21" s="44"/>
      <c r="F21" s="44"/>
      <c r="G21" s="44"/>
      <c r="H21" s="44"/>
      <c r="I21" s="44"/>
      <c r="J21" s="44"/>
      <c r="K21" s="97"/>
    </row>
    <row r="22" spans="1:11" s="44" customFormat="1">
      <c r="A22" s="366" t="s">
        <v>179</v>
      </c>
      <c r="B22" s="543">
        <f ca="1">IF(B20=0,0,(B17+B18-B19)/B20)</f>
        <v>0.23727688128042965</v>
      </c>
      <c r="C22" s="44" t="s">
        <v>173</v>
      </c>
      <c r="K22" s="97"/>
    </row>
    <row r="23" spans="1:11" ht="15.75" thickBot="1">
      <c r="A23" s="367"/>
      <c r="B23" s="109"/>
      <c r="C23" s="109"/>
      <c r="D23" s="109"/>
      <c r="E23" s="109"/>
      <c r="F23" s="109"/>
      <c r="G23" s="109"/>
      <c r="H23" s="109"/>
      <c r="I23" s="109"/>
      <c r="J23" s="109"/>
      <c r="K23" s="110"/>
    </row>
    <row r="34" spans="1:1">
      <c r="A34" s="335" t="s">
        <v>236</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sheetPr codeName="Sheet17">
    <tabColor theme="0" tint="-0.34998626667073579"/>
  </sheetPr>
  <dimension ref="A1:H33"/>
  <sheetViews>
    <sheetView showGridLines="0" topLeftCell="A17" workbookViewId="0">
      <selection activeCell="F2" sqref="F2:F33"/>
    </sheetView>
  </sheetViews>
  <sheetFormatPr defaultColWidth="9.140625" defaultRowHeight="15"/>
  <cols>
    <col min="1" max="1" width="56.85546875" style="891" bestFit="1" customWidth="1"/>
    <col min="2" max="2" width="22.7109375" style="318" customWidth="1"/>
    <col min="3" max="3" width="31.42578125" style="318" customWidth="1"/>
    <col min="4" max="4" width="22.28515625" style="318" customWidth="1"/>
    <col min="5" max="5" width="12.140625" style="318" customWidth="1"/>
    <col min="6" max="6" width="37.28515625" style="235" bestFit="1" customWidth="1"/>
    <col min="7" max="16384" width="9.140625" style="891"/>
  </cols>
  <sheetData>
    <row r="1" spans="1:8" s="318" customFormat="1">
      <c r="A1" s="891" t="s">
        <v>764</v>
      </c>
      <c r="B1" s="891" t="s">
        <v>308</v>
      </c>
      <c r="C1" s="891" t="s">
        <v>312</v>
      </c>
      <c r="D1" s="891" t="s">
        <v>313</v>
      </c>
      <c r="E1" s="891" t="s">
        <v>314</v>
      </c>
      <c r="F1" s="891" t="s">
        <v>315</v>
      </c>
      <c r="H1" s="902" t="s">
        <v>786</v>
      </c>
    </row>
    <row r="2" spans="1:8">
      <c r="A2" s="318" t="str">
        <f>CONCATENATE(TableECFTransport[[#This Row],[Voertuigtype]],"_",TableECFTransport[[#This Row],[Wegtype]],"_",TableECFTransport[[#This Row],[Brandstoftechnologie]],"_",TableECFTransport[[#This Row],[Brandstof]])</f>
        <v>Tram_gemiddeld_Electric_Electric</v>
      </c>
      <c r="B2" s="318" t="s">
        <v>330</v>
      </c>
      <c r="C2" s="318" t="s">
        <v>342</v>
      </c>
      <c r="D2" s="318" t="s">
        <v>310</v>
      </c>
      <c r="E2" s="318" t="s">
        <v>310</v>
      </c>
      <c r="F2" s="318">
        <v>1.269E-8</v>
      </c>
    </row>
    <row r="3" spans="1:8">
      <c r="A3" s="318" t="str">
        <f>CONCATENATE(TableECFTransport[[#This Row],[Voertuigtype]],"_",TableECFTransport[[#This Row],[Wegtype]],"_",TableECFTransport[[#This Row],[Brandstoftechnologie]],"_",TableECFTransport[[#This Row],[Brandstof]])</f>
        <v>BUS_Genummerde wegen_Diesel_Diesel</v>
      </c>
      <c r="B3" s="904" t="s">
        <v>774</v>
      </c>
      <c r="C3" s="904" t="s">
        <v>64</v>
      </c>
      <c r="D3" s="904" t="s">
        <v>202</v>
      </c>
      <c r="E3" s="904" t="s">
        <v>202</v>
      </c>
      <c r="F3" s="904">
        <v>9.743967796843458E-9</v>
      </c>
    </row>
    <row r="4" spans="1:8">
      <c r="A4" s="318" t="str">
        <f>CONCATENATE(TableECFTransport[[#This Row],[Voertuigtype]],"_",TableECFTransport[[#This Row],[Wegtype]],"_",TableECFTransport[[#This Row],[Brandstoftechnologie]],"_",TableECFTransport[[#This Row],[Brandstof]])</f>
        <v>BUS_Niet-genummerde wegen_Diesel_Diesel</v>
      </c>
      <c r="B4" s="904" t="s">
        <v>774</v>
      </c>
      <c r="C4" s="904" t="s">
        <v>65</v>
      </c>
      <c r="D4" s="904" t="s">
        <v>202</v>
      </c>
      <c r="E4" s="904" t="s">
        <v>202</v>
      </c>
      <c r="F4" s="904">
        <v>1.7637934736033115E-8</v>
      </c>
    </row>
    <row r="5" spans="1:8">
      <c r="A5" s="318" t="str">
        <f>CONCATENATE(TableECFTransport[[#This Row],[Voertuigtype]],"_",TableECFTransport[[#This Row],[Wegtype]],"_",TableECFTransport[[#This Row],[Brandstoftechnologie]],"_",TableECFTransport[[#This Row],[Brandstof]])</f>
        <v>BUS_Genummerde wegen_Diesel Hybrid CS_Diesel</v>
      </c>
      <c r="B5" s="904" t="s">
        <v>774</v>
      </c>
      <c r="C5" s="904" t="s">
        <v>64</v>
      </c>
      <c r="D5" s="903" t="s">
        <v>317</v>
      </c>
      <c r="E5" s="904" t="s">
        <v>202</v>
      </c>
      <c r="F5" s="904">
        <v>9.743967796843458E-9</v>
      </c>
    </row>
    <row r="6" spans="1:8">
      <c r="A6" s="318" t="str">
        <f>CONCATENATE(TableECFTransport[[#This Row],[Voertuigtype]],"_",TableECFTransport[[#This Row],[Wegtype]],"_",TableECFTransport[[#This Row],[Brandstoftechnologie]],"_",TableECFTransport[[#This Row],[Brandstof]])</f>
        <v>BUS_Niet-genummerde wegen_Diesel Hybrid CS_Diesel</v>
      </c>
      <c r="B6" s="904" t="s">
        <v>774</v>
      </c>
      <c r="C6" s="904" t="s">
        <v>65</v>
      </c>
      <c r="D6" s="903" t="s">
        <v>317</v>
      </c>
      <c r="E6" s="904" t="s">
        <v>202</v>
      </c>
      <c r="F6" s="904">
        <v>1.7637934736033115E-8</v>
      </c>
    </row>
    <row r="7" spans="1:8">
      <c r="A7" s="318" t="str">
        <f>CONCATENATE(TableECFTransport[[#This Row],[Voertuigtype]],"_",TableECFTransport[[#This Row],[Wegtype]],"_",TableECFTransport[[#This Row],[Brandstoftechnologie]],"_",TableECFTransport[[#This Row],[Brandstof]])</f>
        <v>Lichte voertuigen_Genummerde wegen_CNG_CNG</v>
      </c>
      <c r="B7" s="890" t="s">
        <v>771</v>
      </c>
      <c r="C7" s="890" t="s">
        <v>64</v>
      </c>
      <c r="D7" s="890" t="s">
        <v>309</v>
      </c>
      <c r="E7" s="890" t="s">
        <v>309</v>
      </c>
      <c r="F7" s="335">
        <v>2.4537086555581282E-9</v>
      </c>
    </row>
    <row r="8" spans="1:8">
      <c r="A8" s="318" t="str">
        <f>CONCATENATE(TableECFTransport[[#This Row],[Voertuigtype]],"_",TableECFTransport[[#This Row],[Wegtype]],"_",TableECFTransport[[#This Row],[Brandstoftechnologie]],"_",TableECFTransport[[#This Row],[Brandstof]])</f>
        <v>Lichte voertuigen_Genummerde wegen_Diesel_Diesel</v>
      </c>
      <c r="B8" s="890" t="s">
        <v>771</v>
      </c>
      <c r="C8" s="890" t="s">
        <v>64</v>
      </c>
      <c r="D8" s="890" t="s">
        <v>202</v>
      </c>
      <c r="E8" s="890" t="s">
        <v>202</v>
      </c>
      <c r="F8" s="335">
        <v>2.0926187541261061E-9</v>
      </c>
    </row>
    <row r="9" spans="1:8">
      <c r="A9" s="318" t="str">
        <f>CONCATENATE(TableECFTransport[[#This Row],[Voertuigtype]],"_",TableECFTransport[[#This Row],[Wegtype]],"_",TableECFTransport[[#This Row],[Brandstoftechnologie]],"_",TableECFTransport[[#This Row],[Brandstof]])</f>
        <v>Lichte voertuigen_Genummerde wegen_E85_E85</v>
      </c>
      <c r="B9" s="890" t="s">
        <v>771</v>
      </c>
      <c r="C9" s="890" t="s">
        <v>64</v>
      </c>
      <c r="D9" s="890" t="s">
        <v>733</v>
      </c>
      <c r="E9" s="890" t="s">
        <v>733</v>
      </c>
      <c r="F9" s="335">
        <v>2.2451815589691835E-9</v>
      </c>
    </row>
    <row r="10" spans="1:8">
      <c r="A10" s="318" t="str">
        <f>CONCATENATE(TableECFTransport[[#This Row],[Voertuigtype]],"_",TableECFTransport[[#This Row],[Wegtype]],"_",TableECFTransport[[#This Row],[Brandstoftechnologie]],"_",TableECFTransport[[#This Row],[Brandstof]])</f>
        <v>Lichte voertuigen_Genummerde wegen_Electric_Electric</v>
      </c>
      <c r="B10" s="890" t="s">
        <v>771</v>
      </c>
      <c r="C10" s="890" t="s">
        <v>64</v>
      </c>
      <c r="D10" s="890" t="s">
        <v>310</v>
      </c>
      <c r="E10" s="890" t="s">
        <v>310</v>
      </c>
      <c r="F10" s="335">
        <v>8.4999999999999996E-10</v>
      </c>
    </row>
    <row r="11" spans="1:8">
      <c r="A11" s="318" t="str">
        <f>CONCATENATE(TableECFTransport[[#This Row],[Voertuigtype]],"_",TableECFTransport[[#This Row],[Wegtype]],"_",TableECFTransport[[#This Row],[Brandstoftechnologie]],"_",TableECFTransport[[#This Row],[Brandstof]])</f>
        <v>Lichte voertuigen_Genummerde wegen_LPG_LPG</v>
      </c>
      <c r="B11" s="890" t="s">
        <v>771</v>
      </c>
      <c r="C11" s="890" t="s">
        <v>64</v>
      </c>
      <c r="D11" s="890" t="s">
        <v>119</v>
      </c>
      <c r="E11" s="890" t="s">
        <v>119</v>
      </c>
      <c r="F11" s="335">
        <v>2.1578911511243083E-9</v>
      </c>
    </row>
    <row r="12" spans="1:8">
      <c r="A12" s="318" t="str">
        <f>CONCATENATE(TableECFTransport[[#This Row],[Voertuigtype]],"_",TableECFTransport[[#This Row],[Wegtype]],"_",TableECFTransport[[#This Row],[Brandstoftechnologie]],"_",TableECFTransport[[#This Row],[Brandstof]])</f>
        <v>Lichte voertuigen_Genummerde wegen_Petrol_Petrol</v>
      </c>
      <c r="B12" s="890" t="s">
        <v>771</v>
      </c>
      <c r="C12" s="890" t="s">
        <v>64</v>
      </c>
      <c r="D12" s="890" t="s">
        <v>311</v>
      </c>
      <c r="E12" s="890" t="s">
        <v>311</v>
      </c>
      <c r="F12" s="335">
        <v>2.1533384932159993E-9</v>
      </c>
    </row>
    <row r="13" spans="1:8">
      <c r="A13" s="318" t="str">
        <f>CONCATENATE(TableECFTransport[[#This Row],[Voertuigtype]],"_",TableECFTransport[[#This Row],[Wegtype]],"_",TableECFTransport[[#This Row],[Brandstoftechnologie]],"_",TableECFTransport[[#This Row],[Brandstof]])</f>
        <v>Lichte voertuigen_Genummerde wegen_Petrol Hybrid_Petrol</v>
      </c>
      <c r="B13" s="890" t="s">
        <v>771</v>
      </c>
      <c r="C13" s="890" t="s">
        <v>64</v>
      </c>
      <c r="D13" s="890" t="s">
        <v>776</v>
      </c>
      <c r="E13" s="890" t="s">
        <v>311</v>
      </c>
      <c r="F13" s="335">
        <v>1.3507185593599999E-9</v>
      </c>
    </row>
    <row r="14" spans="1:8">
      <c r="A14" s="318" t="str">
        <f>CONCATENATE(TableECFTransport[[#This Row],[Voertuigtype]],"_",TableECFTransport[[#This Row],[Wegtype]],"_",TableECFTransport[[#This Row],[Brandstoftechnologie]],"_",TableECFTransport[[#This Row],[Brandstof]])</f>
        <v>Lichte voertuigen_Niet-genummerde wegen_CNG_CNG</v>
      </c>
      <c r="B14" s="890" t="s">
        <v>771</v>
      </c>
      <c r="C14" s="890" t="s">
        <v>65</v>
      </c>
      <c r="D14" s="890" t="s">
        <v>309</v>
      </c>
      <c r="E14" s="890" t="s">
        <v>309</v>
      </c>
      <c r="F14" s="335">
        <v>4.4023702158578622E-9</v>
      </c>
    </row>
    <row r="15" spans="1:8">
      <c r="A15" s="318" t="str">
        <f>CONCATENATE(TableECFTransport[[#This Row],[Voertuigtype]],"_",TableECFTransport[[#This Row],[Wegtype]],"_",TableECFTransport[[#This Row],[Brandstoftechnologie]],"_",TableECFTransport[[#This Row],[Brandstof]])</f>
        <v>Lichte voertuigen_Niet-genummerde wegen_Diesel_Diesel</v>
      </c>
      <c r="B15" s="890" t="s">
        <v>771</v>
      </c>
      <c r="C15" s="890" t="s">
        <v>65</v>
      </c>
      <c r="D15" s="890" t="s">
        <v>202</v>
      </c>
      <c r="E15" s="890" t="s">
        <v>202</v>
      </c>
      <c r="F15" s="335">
        <v>3.2538631474461187E-9</v>
      </c>
    </row>
    <row r="16" spans="1:8">
      <c r="A16" s="318" t="str">
        <f>CONCATENATE(TableECFTransport[[#This Row],[Voertuigtype]],"_",TableECFTransport[[#This Row],[Wegtype]],"_",TableECFTransport[[#This Row],[Brandstoftechnologie]],"_",TableECFTransport[[#This Row],[Brandstof]])</f>
        <v>Lichte voertuigen_Niet-genummerde wegen_E85_E85</v>
      </c>
      <c r="B16" s="890" t="s">
        <v>771</v>
      </c>
      <c r="C16" s="890" t="s">
        <v>65</v>
      </c>
      <c r="D16" s="890" t="s">
        <v>733</v>
      </c>
      <c r="E16" s="890" t="s">
        <v>733</v>
      </c>
      <c r="F16" s="335">
        <v>3.7182465288667829E-9</v>
      </c>
    </row>
    <row r="17" spans="1:6">
      <c r="A17" s="318" t="str">
        <f>CONCATENATE(TableECFTransport[[#This Row],[Voertuigtype]],"_",TableECFTransport[[#This Row],[Wegtype]],"_",TableECFTransport[[#This Row],[Brandstoftechnologie]],"_",TableECFTransport[[#This Row],[Brandstof]])</f>
        <v>Lichte voertuigen_Niet-genummerde wegen_Electric_Electric</v>
      </c>
      <c r="B17" s="890" t="s">
        <v>771</v>
      </c>
      <c r="C17" s="890" t="s">
        <v>65</v>
      </c>
      <c r="D17" s="890" t="s">
        <v>310</v>
      </c>
      <c r="E17" s="890" t="s">
        <v>310</v>
      </c>
      <c r="F17" s="335">
        <v>8.4999999999999996E-10</v>
      </c>
    </row>
    <row r="18" spans="1:6">
      <c r="A18" s="318" t="str">
        <f>CONCATENATE(TableECFTransport[[#This Row],[Voertuigtype]],"_",TableECFTransport[[#This Row],[Wegtype]],"_",TableECFTransport[[#This Row],[Brandstoftechnologie]],"_",TableECFTransport[[#This Row],[Brandstof]])</f>
        <v>Lichte voertuigen_Niet-genummerde wegen_LPG_LPG</v>
      </c>
      <c r="B18" s="890" t="s">
        <v>771</v>
      </c>
      <c r="C18" s="890" t="s">
        <v>65</v>
      </c>
      <c r="D18" s="890" t="s">
        <v>119</v>
      </c>
      <c r="E18" s="890" t="s">
        <v>119</v>
      </c>
      <c r="F18" s="335">
        <v>3.5518261787107183E-9</v>
      </c>
    </row>
    <row r="19" spans="1:6">
      <c r="A19" s="318" t="str">
        <f>CONCATENATE(TableECFTransport[[#This Row],[Voertuigtype]],"_",TableECFTransport[[#This Row],[Wegtype]],"_",TableECFTransport[[#This Row],[Brandstoftechnologie]],"_",TableECFTransport[[#This Row],[Brandstof]])</f>
        <v>Lichte voertuigen_Niet-genummerde wegen_Petrol_Petrol</v>
      </c>
      <c r="B19" s="890" t="s">
        <v>771</v>
      </c>
      <c r="C19" s="890" t="s">
        <v>65</v>
      </c>
      <c r="D19" s="890" t="s">
        <v>311</v>
      </c>
      <c r="E19" s="890" t="s">
        <v>311</v>
      </c>
      <c r="F19" s="335">
        <v>3.6996336451541356E-9</v>
      </c>
    </row>
    <row r="20" spans="1:6">
      <c r="A20" s="318" t="str">
        <f>CONCATENATE(TableECFTransport[[#This Row],[Voertuigtype]],"_",TableECFTransport[[#This Row],[Wegtype]],"_",TableECFTransport[[#This Row],[Brandstoftechnologie]],"_",TableECFTransport[[#This Row],[Brandstof]])</f>
        <v>Lichte voertuigen_Niet-genummerde wegen_Petrol Hybrid_Petrol</v>
      </c>
      <c r="B20" s="890" t="s">
        <v>771</v>
      </c>
      <c r="C20" s="890" t="s">
        <v>65</v>
      </c>
      <c r="D20" s="890" t="s">
        <v>776</v>
      </c>
      <c r="E20" s="890" t="s">
        <v>311</v>
      </c>
      <c r="F20" s="335">
        <v>1.3989990926600064E-9</v>
      </c>
    </row>
    <row r="21" spans="1:6">
      <c r="A21" s="318" t="str">
        <f>CONCATENATE(TableECFTransport[[#This Row],[Voertuigtype]],"_",TableECFTransport[[#This Row],[Wegtype]],"_",TableECFTransport[[#This Row],[Brandstoftechnologie]],"_",TableECFTransport[[#This Row],[Brandstof]])</f>
        <v>Lichte voertuigen_snelwegen_CNG_CNG</v>
      </c>
      <c r="B21" s="890" t="s">
        <v>771</v>
      </c>
      <c r="C21" s="890" t="s">
        <v>775</v>
      </c>
      <c r="D21" s="890" t="s">
        <v>309</v>
      </c>
      <c r="E21" s="890" t="s">
        <v>309</v>
      </c>
      <c r="F21" s="335">
        <v>2.5394229495946455E-9</v>
      </c>
    </row>
    <row r="22" spans="1:6">
      <c r="A22" s="318" t="str">
        <f>CONCATENATE(TableECFTransport[[#This Row],[Voertuigtype]],"_",TableECFTransport[[#This Row],[Wegtype]],"_",TableECFTransport[[#This Row],[Brandstoftechnologie]],"_",TableECFTransport[[#This Row],[Brandstof]])</f>
        <v>Lichte voertuigen_snelwegen_Diesel_Diesel</v>
      </c>
      <c r="B22" s="890" t="s">
        <v>771</v>
      </c>
      <c r="C22" s="890" t="s">
        <v>775</v>
      </c>
      <c r="D22" s="890" t="s">
        <v>202</v>
      </c>
      <c r="E22" s="890" t="s">
        <v>202</v>
      </c>
      <c r="F22" s="335">
        <v>2.4696162161582863E-9</v>
      </c>
    </row>
    <row r="23" spans="1:6">
      <c r="A23" s="318" t="str">
        <f>CONCATENATE(TableECFTransport[[#This Row],[Voertuigtype]],"_",TableECFTransport[[#This Row],[Wegtype]],"_",TableECFTransport[[#This Row],[Brandstoftechnologie]],"_",TableECFTransport[[#This Row],[Brandstof]])</f>
        <v>Lichte voertuigen_snelwegen_E85_E85</v>
      </c>
      <c r="B23" s="890" t="s">
        <v>771</v>
      </c>
      <c r="C23" s="890" t="s">
        <v>775</v>
      </c>
      <c r="D23" s="890" t="s">
        <v>733</v>
      </c>
      <c r="E23" s="890" t="s">
        <v>733</v>
      </c>
      <c r="F23" s="335">
        <v>2.3335142162210571E-9</v>
      </c>
    </row>
    <row r="24" spans="1:6">
      <c r="A24" s="318" t="str">
        <f>CONCATENATE(TableECFTransport[[#This Row],[Voertuigtype]],"_",TableECFTransport[[#This Row],[Wegtype]],"_",TableECFTransport[[#This Row],[Brandstoftechnologie]],"_",TableECFTransport[[#This Row],[Brandstof]])</f>
        <v>Lichte voertuigen_snelwegen_Electric_Electric</v>
      </c>
      <c r="B24" s="890" t="s">
        <v>771</v>
      </c>
      <c r="C24" s="890" t="s">
        <v>775</v>
      </c>
      <c r="D24" s="890" t="s">
        <v>310</v>
      </c>
      <c r="E24" s="890" t="s">
        <v>310</v>
      </c>
      <c r="F24" s="335">
        <v>8.4999999999999996E-10</v>
      </c>
    </row>
    <row r="25" spans="1:6">
      <c r="A25" s="318" t="str">
        <f>CONCATENATE(TableECFTransport[[#This Row],[Voertuigtype]],"_",TableECFTransport[[#This Row],[Wegtype]],"_",TableECFTransport[[#This Row],[Brandstoftechnologie]],"_",TableECFTransport[[#This Row],[Brandstof]])</f>
        <v>Lichte voertuigen_snelwegen_LPG_LPG</v>
      </c>
      <c r="B25" s="890" t="s">
        <v>771</v>
      </c>
      <c r="C25" s="890" t="s">
        <v>775</v>
      </c>
      <c r="D25" s="890" t="s">
        <v>119</v>
      </c>
      <c r="E25" s="890" t="s">
        <v>119</v>
      </c>
      <c r="F25" s="335">
        <v>2.7944100830048908E-9</v>
      </c>
    </row>
    <row r="26" spans="1:6">
      <c r="A26" s="318" t="str">
        <f>CONCATENATE(TableECFTransport[[#This Row],[Voertuigtype]],"_",TableECFTransport[[#This Row],[Wegtype]],"_",TableECFTransport[[#This Row],[Brandstoftechnologie]],"_",TableECFTransport[[#This Row],[Brandstof]])</f>
        <v>Lichte voertuigen_snelwegen_Petrol_Petrol</v>
      </c>
      <c r="B26" s="890" t="s">
        <v>771</v>
      </c>
      <c r="C26" s="890" t="s">
        <v>775</v>
      </c>
      <c r="D26" s="890" t="s">
        <v>311</v>
      </c>
      <c r="E26" s="890" t="s">
        <v>311</v>
      </c>
      <c r="F26" s="335">
        <v>2.3543266808780375E-9</v>
      </c>
    </row>
    <row r="27" spans="1:6">
      <c r="A27" s="318" t="str">
        <f>CONCATENATE(TableECFTransport[[#This Row],[Voertuigtype]],"_",TableECFTransport[[#This Row],[Wegtype]],"_",TableECFTransport[[#This Row],[Brandstoftechnologie]],"_",TableECFTransport[[#This Row],[Brandstof]])</f>
        <v>Lichte voertuigen_snelwegen_Petrol Hybrid_Petrol</v>
      </c>
      <c r="B27" s="890" t="s">
        <v>771</v>
      </c>
      <c r="C27" s="890" t="s">
        <v>775</v>
      </c>
      <c r="D27" s="890" t="s">
        <v>776</v>
      </c>
      <c r="E27" s="890" t="s">
        <v>311</v>
      </c>
      <c r="F27" s="335">
        <v>1.8266452460000025E-9</v>
      </c>
    </row>
    <row r="28" spans="1:6">
      <c r="A28" s="318" t="str">
        <f>CONCATENATE(TableECFTransport[[#This Row],[Voertuigtype]],"_",TableECFTransport[[#This Row],[Wegtype]],"_",TableECFTransport[[#This Row],[Brandstoftechnologie]],"_",TableECFTransport[[#This Row],[Brandstof]])</f>
        <v>Zware voertuigen_Genummerde wegen_Diesel_Diesel</v>
      </c>
      <c r="B28" s="890" t="s">
        <v>772</v>
      </c>
      <c r="C28" s="890" t="s">
        <v>64</v>
      </c>
      <c r="D28" s="890" t="s">
        <v>202</v>
      </c>
      <c r="E28" s="890" t="s">
        <v>202</v>
      </c>
      <c r="F28" s="335">
        <v>9.7175743001748872E-9</v>
      </c>
    </row>
    <row r="29" spans="1:6">
      <c r="A29" s="318" t="str">
        <f>CONCATENATE(TableECFTransport[[#This Row],[Voertuigtype]],"_",TableECFTransport[[#This Row],[Wegtype]],"_",TableECFTransport[[#This Row],[Brandstoftechnologie]],"_",TableECFTransport[[#This Row],[Brandstof]])</f>
        <v>Zware voertuigen_Genummerde wegen_Petrol_Petrol</v>
      </c>
      <c r="B29" s="890" t="s">
        <v>772</v>
      </c>
      <c r="C29" s="890" t="s">
        <v>64</v>
      </c>
      <c r="D29" s="890" t="s">
        <v>311</v>
      </c>
      <c r="E29" s="890" t="s">
        <v>311</v>
      </c>
      <c r="F29" s="335">
        <v>6.3502624751300753E-9</v>
      </c>
    </row>
    <row r="30" spans="1:6">
      <c r="A30" s="318" t="str">
        <f>CONCATENATE(TableECFTransport[[#This Row],[Voertuigtype]],"_",TableECFTransport[[#This Row],[Wegtype]],"_",TableECFTransport[[#This Row],[Brandstoftechnologie]],"_",TableECFTransport[[#This Row],[Brandstof]])</f>
        <v>Zware voertuigen_Niet-genummerde wegen_Diesel_Diesel</v>
      </c>
      <c r="B30" s="890" t="s">
        <v>772</v>
      </c>
      <c r="C30" s="890" t="s">
        <v>65</v>
      </c>
      <c r="D30" s="890" t="s">
        <v>202</v>
      </c>
      <c r="E30" s="890" t="s">
        <v>202</v>
      </c>
      <c r="F30" s="335">
        <v>1.3472324865655118E-8</v>
      </c>
    </row>
    <row r="31" spans="1:6">
      <c r="A31" s="318" t="str">
        <f>CONCATENATE(TableECFTransport[[#This Row],[Voertuigtype]],"_",TableECFTransport[[#This Row],[Wegtype]],"_",TableECFTransport[[#This Row],[Brandstoftechnologie]],"_",TableECFTransport[[#This Row],[Brandstof]])</f>
        <v>Zware voertuigen_Niet-genummerde wegen_Petrol_Petrol</v>
      </c>
      <c r="B31" s="890" t="s">
        <v>772</v>
      </c>
      <c r="C31" s="890" t="s">
        <v>65</v>
      </c>
      <c r="D31" s="890" t="s">
        <v>311</v>
      </c>
      <c r="E31" s="890" t="s">
        <v>311</v>
      </c>
      <c r="F31" s="335">
        <v>7.6655390724065229E-9</v>
      </c>
    </row>
    <row r="32" spans="1:6">
      <c r="A32" s="318" t="str">
        <f>CONCATENATE(TableECFTransport[[#This Row],[Voertuigtype]],"_",TableECFTransport[[#This Row],[Wegtype]],"_",TableECFTransport[[#This Row],[Brandstoftechnologie]],"_",TableECFTransport[[#This Row],[Brandstof]])</f>
        <v>Zware voertuigen_snelwegen_Diesel_Diesel</v>
      </c>
      <c r="B32" s="890" t="s">
        <v>772</v>
      </c>
      <c r="C32" s="890" t="s">
        <v>775</v>
      </c>
      <c r="D32" s="890" t="s">
        <v>202</v>
      </c>
      <c r="E32" s="890" t="s">
        <v>202</v>
      </c>
      <c r="F32" s="335">
        <v>9.4266113342567661E-9</v>
      </c>
    </row>
    <row r="33" spans="1:6">
      <c r="A33" s="318" t="str">
        <f>CONCATENATE(TableECFTransport[[#This Row],[Voertuigtype]],"_",TableECFTransport[[#This Row],[Wegtype]],"_",TableECFTransport[[#This Row],[Brandstoftechnologie]],"_",TableECFTransport[[#This Row],[Brandstof]])</f>
        <v>Zware voertuigen_snelwegen_Petrol_Petrol</v>
      </c>
      <c r="B33" s="890" t="s">
        <v>772</v>
      </c>
      <c r="C33" s="890" t="s">
        <v>775</v>
      </c>
      <c r="D33" s="890" t="s">
        <v>311</v>
      </c>
      <c r="E33" s="890" t="s">
        <v>311</v>
      </c>
      <c r="F33" s="335">
        <v>6.5355741912209474E-9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sheetPr codeName="Sheet11">
    <tabColor theme="0" tint="-0.34998626667073579"/>
  </sheetPr>
  <dimension ref="A1:AE35"/>
  <sheetViews>
    <sheetView showGridLines="0" zoomScale="80" zoomScaleNormal="80" workbookViewId="0">
      <pane xSplit="2" ySplit="4" topLeftCell="G5" activePane="bottomRight" state="frozen"/>
      <selection activeCell="B35" sqref="B35"/>
      <selection pane="topRight" activeCell="B35" sqref="B35"/>
      <selection pane="bottomLeft" activeCell="B35" sqref="B35"/>
      <selection pane="bottomRight" activeCell="G25" sqref="G25"/>
    </sheetView>
  </sheetViews>
  <sheetFormatPr defaultRowHeight="15"/>
  <cols>
    <col min="1" max="1" width="22.28515625" style="44" customWidth="1"/>
    <col min="2" max="2" width="69" style="44" customWidth="1"/>
    <col min="25" max="25" width="11.85546875" customWidth="1"/>
    <col min="27" max="28" width="9.140625" style="7"/>
  </cols>
  <sheetData>
    <row r="1" spans="1:29" s="2" customFormat="1" ht="11.25">
      <c r="A1" s="1184">
        <v>2012</v>
      </c>
      <c r="B1" s="1185"/>
      <c r="C1" s="77" t="s">
        <v>113</v>
      </c>
      <c r="D1" s="78" t="s">
        <v>114</v>
      </c>
      <c r="E1" s="77" t="s">
        <v>115</v>
      </c>
      <c r="F1" s="79" t="s">
        <v>116</v>
      </c>
      <c r="G1" s="78" t="s">
        <v>117</v>
      </c>
      <c r="H1" s="78" t="s">
        <v>118</v>
      </c>
      <c r="I1" s="77" t="s">
        <v>119</v>
      </c>
      <c r="J1" s="77" t="s">
        <v>120</v>
      </c>
      <c r="K1" s="77" t="s">
        <v>121</v>
      </c>
      <c r="L1" s="77" t="s">
        <v>122</v>
      </c>
      <c r="M1" s="78" t="s">
        <v>123</v>
      </c>
      <c r="N1" s="78" t="s">
        <v>124</v>
      </c>
      <c r="O1" s="78" t="s">
        <v>125</v>
      </c>
      <c r="P1" s="78" t="s">
        <v>126</v>
      </c>
      <c r="Q1" s="78" t="s">
        <v>127</v>
      </c>
      <c r="R1" s="80" t="s">
        <v>128</v>
      </c>
      <c r="S1" s="78" t="s">
        <v>129</v>
      </c>
      <c r="T1" s="78" t="s">
        <v>130</v>
      </c>
      <c r="U1" s="78" t="s">
        <v>131</v>
      </c>
      <c r="V1" s="79" t="s">
        <v>132</v>
      </c>
      <c r="W1" s="79" t="s">
        <v>133</v>
      </c>
      <c r="X1" s="78" t="s">
        <v>134</v>
      </c>
      <c r="Y1" s="77" t="s">
        <v>135</v>
      </c>
      <c r="Z1" s="77" t="s">
        <v>136</v>
      </c>
      <c r="AA1" s="81" t="s">
        <v>137</v>
      </c>
      <c r="AB1" s="82" t="s">
        <v>138</v>
      </c>
      <c r="AC1" s="79" t="s">
        <v>116</v>
      </c>
    </row>
    <row r="2" spans="1:29" s="2" customFormat="1" ht="11.25">
      <c r="A2" s="1186"/>
      <c r="B2" s="1187"/>
      <c r="C2" s="83"/>
      <c r="D2" s="83"/>
      <c r="E2" s="83"/>
      <c r="F2" s="84" t="s">
        <v>139</v>
      </c>
      <c r="G2" s="85" t="s">
        <v>140</v>
      </c>
      <c r="H2" s="86" t="s">
        <v>141</v>
      </c>
      <c r="I2" s="83"/>
      <c r="J2" s="83"/>
      <c r="K2" s="85"/>
      <c r="L2" s="86" t="s">
        <v>142</v>
      </c>
      <c r="M2" s="86" t="s">
        <v>143</v>
      </c>
      <c r="N2" s="86" t="s">
        <v>144</v>
      </c>
      <c r="O2" s="86"/>
      <c r="P2" s="86" t="s">
        <v>145</v>
      </c>
      <c r="Q2" s="85" t="s">
        <v>146</v>
      </c>
      <c r="R2" s="87" t="s">
        <v>147</v>
      </c>
      <c r="S2" s="86" t="s">
        <v>148</v>
      </c>
      <c r="T2" s="86" t="s">
        <v>149</v>
      </c>
      <c r="U2" s="86" t="s">
        <v>149</v>
      </c>
      <c r="V2" s="84"/>
      <c r="W2" s="84" t="s">
        <v>150</v>
      </c>
      <c r="X2" s="86" t="s">
        <v>151</v>
      </c>
      <c r="Y2" s="86"/>
      <c r="Z2" s="86" t="s">
        <v>152</v>
      </c>
      <c r="AA2" s="88"/>
      <c r="AB2" s="88" t="s">
        <v>153</v>
      </c>
      <c r="AC2" s="84"/>
    </row>
    <row r="3" spans="1:29" s="2" customFormat="1" ht="11.25">
      <c r="A3" s="1186"/>
      <c r="B3" s="1187"/>
      <c r="C3" s="86" t="s">
        <v>154</v>
      </c>
      <c r="D3" s="86" t="s">
        <v>154</v>
      </c>
      <c r="E3" s="86" t="s">
        <v>154</v>
      </c>
      <c r="F3" s="84" t="s">
        <v>154</v>
      </c>
      <c r="G3" s="85" t="s">
        <v>154</v>
      </c>
      <c r="H3" s="86" t="s">
        <v>154</v>
      </c>
      <c r="I3" s="86" t="s">
        <v>154</v>
      </c>
      <c r="J3" s="86" t="s">
        <v>154</v>
      </c>
      <c r="K3" s="85" t="s">
        <v>154</v>
      </c>
      <c r="L3" s="86" t="s">
        <v>154</v>
      </c>
      <c r="M3" s="86" t="s">
        <v>154</v>
      </c>
      <c r="N3" s="86" t="s">
        <v>154</v>
      </c>
      <c r="O3" s="86" t="s">
        <v>154</v>
      </c>
      <c r="P3" s="86" t="s">
        <v>154</v>
      </c>
      <c r="Q3" s="85" t="s">
        <v>154</v>
      </c>
      <c r="R3" s="87" t="s">
        <v>154</v>
      </c>
      <c r="S3" s="86" t="s">
        <v>154</v>
      </c>
      <c r="T3" s="86" t="s">
        <v>154</v>
      </c>
      <c r="U3" s="86" t="s">
        <v>154</v>
      </c>
      <c r="V3" s="84" t="s">
        <v>154</v>
      </c>
      <c r="W3" s="84" t="s">
        <v>154</v>
      </c>
      <c r="X3" s="86" t="s">
        <v>154</v>
      </c>
      <c r="Y3" s="86" t="s">
        <v>154</v>
      </c>
      <c r="Z3" s="86" t="s">
        <v>154</v>
      </c>
      <c r="AA3" s="88" t="s">
        <v>154</v>
      </c>
      <c r="AB3" s="88" t="s">
        <v>154</v>
      </c>
      <c r="AC3" s="84" t="s">
        <v>154</v>
      </c>
    </row>
    <row r="4" spans="1:29" s="2" customFormat="1" ht="11.25">
      <c r="A4" s="1188"/>
      <c r="B4" s="1189"/>
      <c r="C4" s="89"/>
      <c r="D4" s="89"/>
      <c r="E4" s="89"/>
      <c r="F4" s="90"/>
      <c r="G4" s="91"/>
      <c r="H4" s="89"/>
      <c r="I4" s="89"/>
      <c r="J4" s="89"/>
      <c r="K4" s="91"/>
      <c r="L4" s="89"/>
      <c r="M4" s="89"/>
      <c r="N4" s="89"/>
      <c r="O4" s="89"/>
      <c r="P4" s="89"/>
      <c r="Q4" s="91"/>
      <c r="R4" s="92"/>
      <c r="S4" s="89"/>
      <c r="T4" s="89"/>
      <c r="U4" s="89"/>
      <c r="V4" s="90"/>
      <c r="W4" s="90"/>
      <c r="X4" s="89"/>
      <c r="Y4" s="89"/>
      <c r="Z4" s="89"/>
      <c r="AA4" s="93"/>
      <c r="AB4" s="93"/>
      <c r="AC4" s="90"/>
    </row>
    <row r="5" spans="1:29" s="2" customFormat="1">
      <c r="A5" s="155" t="s">
        <v>396</v>
      </c>
      <c r="B5" s="151" t="s">
        <v>707</v>
      </c>
      <c r="C5" s="147"/>
      <c r="D5" s="147"/>
      <c r="E5" s="147"/>
      <c r="F5" s="147"/>
      <c r="G5" s="148"/>
      <c r="H5" s="147"/>
      <c r="I5" s="147"/>
      <c r="J5" s="147"/>
      <c r="K5" s="148"/>
      <c r="L5" s="147"/>
      <c r="M5" s="147"/>
      <c r="N5" s="147"/>
      <c r="O5" s="147"/>
      <c r="P5" s="147"/>
      <c r="Q5" s="148"/>
      <c r="R5" s="148"/>
      <c r="S5" s="147"/>
      <c r="T5" s="147"/>
      <c r="U5" s="147"/>
      <c r="V5" s="147"/>
      <c r="W5" s="147"/>
      <c r="X5" s="147"/>
      <c r="Y5" s="147"/>
      <c r="Z5" s="147"/>
      <c r="AA5" s="149"/>
      <c r="AB5" s="149"/>
      <c r="AC5" s="150"/>
    </row>
    <row r="6" spans="1:29" s="2" customFormat="1">
      <c r="A6" s="214"/>
      <c r="B6" s="215"/>
      <c r="C6" s="153"/>
      <c r="D6" s="153"/>
      <c r="E6" s="153"/>
      <c r="F6" s="153"/>
      <c r="G6" s="152"/>
      <c r="H6" s="153"/>
      <c r="I6" s="153"/>
      <c r="J6" s="153"/>
      <c r="K6" s="152"/>
      <c r="L6" s="153"/>
      <c r="M6" s="153"/>
      <c r="N6" s="153"/>
      <c r="O6" s="153"/>
      <c r="P6" s="153"/>
      <c r="Q6" s="152"/>
      <c r="R6" s="152"/>
      <c r="S6" s="153"/>
      <c r="T6" s="153"/>
      <c r="U6" s="153"/>
      <c r="V6" s="153"/>
      <c r="W6" s="153"/>
      <c r="X6" s="153"/>
      <c r="Y6" s="153"/>
      <c r="Z6" s="153"/>
      <c r="AA6" s="154"/>
      <c r="AB6" s="154"/>
      <c r="AC6" s="216"/>
    </row>
    <row r="7" spans="1:29">
      <c r="A7" s="217" t="s">
        <v>155</v>
      </c>
      <c r="B7" s="218"/>
      <c r="C7" s="856">
        <v>0</v>
      </c>
      <c r="D7" s="856">
        <v>1.9186793099021493</v>
      </c>
      <c r="E7" s="856">
        <v>0</v>
      </c>
      <c r="F7" s="857">
        <f>SUM(C7:E7)</f>
        <v>1.9186793099021493</v>
      </c>
      <c r="G7" s="856">
        <v>0</v>
      </c>
      <c r="H7" s="856">
        <v>0</v>
      </c>
      <c r="I7" s="856">
        <v>2.12052</v>
      </c>
      <c r="J7" s="856">
        <v>0.6273478339317422</v>
      </c>
      <c r="K7" s="856">
        <v>0</v>
      </c>
      <c r="L7" s="856">
        <v>60.020931320969275</v>
      </c>
      <c r="M7" s="856">
        <v>0</v>
      </c>
      <c r="N7" s="856">
        <v>0</v>
      </c>
      <c r="O7" s="856">
        <v>0</v>
      </c>
      <c r="P7" s="856">
        <v>0</v>
      </c>
      <c r="Q7" s="856">
        <v>0</v>
      </c>
      <c r="R7" s="857">
        <f>SUM(G7:Q7)</f>
        <v>62.768799154901018</v>
      </c>
      <c r="S7" s="856">
        <v>91.966858275654459</v>
      </c>
      <c r="T7" s="856">
        <v>0</v>
      </c>
      <c r="U7" s="856">
        <v>0</v>
      </c>
      <c r="V7" s="857">
        <f>SUM(S7:U7)</f>
        <v>91.966858275654459</v>
      </c>
      <c r="W7" s="857">
        <f>F7+R7+V7</f>
        <v>156.65433674045761</v>
      </c>
      <c r="X7" s="856">
        <v>0</v>
      </c>
      <c r="Y7" s="856">
        <v>13.626239826111433</v>
      </c>
      <c r="Z7" s="856">
        <v>41.483342324823916</v>
      </c>
      <c r="AA7" s="858">
        <v>0</v>
      </c>
      <c r="AB7" s="858">
        <v>0</v>
      </c>
      <c r="AC7" s="857">
        <f>SUM(W7:AB7)</f>
        <v>211.76391889139296</v>
      </c>
    </row>
    <row r="8" spans="1:29">
      <c r="A8" s="219" t="s">
        <v>156</v>
      </c>
      <c r="B8" s="220"/>
      <c r="C8" s="859">
        <f>SUM(C9:C14)</f>
        <v>0</v>
      </c>
      <c r="D8" s="859">
        <f t="shared" ref="D8:AC8" si="0">SUM(D9:D14)</f>
        <v>0</v>
      </c>
      <c r="E8" s="859">
        <f t="shared" si="0"/>
        <v>0</v>
      </c>
      <c r="F8" s="860">
        <f t="shared" si="0"/>
        <v>0</v>
      </c>
      <c r="G8" s="859">
        <f t="shared" si="0"/>
        <v>0</v>
      </c>
      <c r="H8" s="859">
        <f t="shared" si="0"/>
        <v>0</v>
      </c>
      <c r="I8" s="859">
        <f t="shared" si="0"/>
        <v>0.37758537267557535</v>
      </c>
      <c r="J8" s="859">
        <f t="shared" si="0"/>
        <v>2.5106404652900675E-3</v>
      </c>
      <c r="K8" s="859">
        <f t="shared" si="0"/>
        <v>0</v>
      </c>
      <c r="L8" s="859">
        <f t="shared" si="0"/>
        <v>8.1926849813264102</v>
      </c>
      <c r="M8" s="859">
        <f t="shared" si="0"/>
        <v>0</v>
      </c>
      <c r="N8" s="859">
        <f t="shared" si="0"/>
        <v>0.51186016901888332</v>
      </c>
      <c r="O8" s="859">
        <f t="shared" si="0"/>
        <v>0</v>
      </c>
      <c r="P8" s="859">
        <f t="shared" si="0"/>
        <v>0</v>
      </c>
      <c r="Q8" s="859">
        <f t="shared" si="0"/>
        <v>0</v>
      </c>
      <c r="R8" s="860">
        <f t="shared" si="0"/>
        <v>9.0846411634861575</v>
      </c>
      <c r="S8" s="859">
        <f t="shared" si="0"/>
        <v>44.884929412539336</v>
      </c>
      <c r="T8" s="859">
        <f t="shared" si="0"/>
        <v>0</v>
      </c>
      <c r="U8" s="859">
        <f t="shared" si="0"/>
        <v>0</v>
      </c>
      <c r="V8" s="860">
        <f t="shared" si="0"/>
        <v>44.884929412539336</v>
      </c>
      <c r="W8" s="860">
        <f t="shared" si="0"/>
        <v>53.96957057602549</v>
      </c>
      <c r="X8" s="859">
        <f t="shared" si="0"/>
        <v>1.1268699999999998</v>
      </c>
      <c r="Y8" s="859">
        <f t="shared" si="0"/>
        <v>2.8742944619048671</v>
      </c>
      <c r="Z8" s="859">
        <f t="shared" si="0"/>
        <v>43.70028754064343</v>
      </c>
      <c r="AA8" s="861">
        <f t="shared" si="0"/>
        <v>0</v>
      </c>
      <c r="AB8" s="861">
        <f t="shared" si="0"/>
        <v>0</v>
      </c>
      <c r="AC8" s="860">
        <f t="shared" si="0"/>
        <v>101.67102257857378</v>
      </c>
    </row>
    <row r="9" spans="1:29">
      <c r="A9" s="3"/>
      <c r="B9" s="6" t="s">
        <v>157</v>
      </c>
      <c r="C9" s="862">
        <v>0</v>
      </c>
      <c r="D9" s="862">
        <v>0</v>
      </c>
      <c r="E9" s="862">
        <v>0</v>
      </c>
      <c r="F9" s="863">
        <f t="shared" ref="F9:F32" si="1">SUM(C9:E9)</f>
        <v>0</v>
      </c>
      <c r="G9" s="862">
        <v>0</v>
      </c>
      <c r="H9" s="862">
        <v>0</v>
      </c>
      <c r="I9" s="862">
        <v>0.23735145557062834</v>
      </c>
      <c r="J9" s="862">
        <v>0</v>
      </c>
      <c r="K9" s="862">
        <v>0</v>
      </c>
      <c r="L9" s="862">
        <v>1.043763530227678</v>
      </c>
      <c r="M9" s="862">
        <v>0</v>
      </c>
      <c r="N9" s="862">
        <v>0</v>
      </c>
      <c r="O9" s="862">
        <v>0</v>
      </c>
      <c r="P9" s="862">
        <v>0</v>
      </c>
      <c r="Q9" s="862">
        <v>0</v>
      </c>
      <c r="R9" s="863">
        <f t="shared" ref="R9:R32" si="2">SUM(G9:Q9)</f>
        <v>1.2811149857983064</v>
      </c>
      <c r="S9" s="862">
        <v>5.3464296270871063</v>
      </c>
      <c r="T9" s="862">
        <v>0</v>
      </c>
      <c r="U9" s="862">
        <v>0</v>
      </c>
      <c r="V9" s="863">
        <f t="shared" ref="V9:V32" si="3">SUM(S9:U9)</f>
        <v>5.3464296270871063</v>
      </c>
      <c r="W9" s="863">
        <f t="shared" ref="W9:W32" si="4">F9+R9+V9</f>
        <v>6.627544612885413</v>
      </c>
      <c r="X9" s="862">
        <v>0</v>
      </c>
      <c r="Y9" s="862">
        <v>4.8299999999999998E-4</v>
      </c>
      <c r="Z9" s="862">
        <v>4.5738834855450134</v>
      </c>
      <c r="AA9" s="864">
        <v>0</v>
      </c>
      <c r="AB9" s="864">
        <v>0</v>
      </c>
      <c r="AC9" s="863">
        <f t="shared" ref="AC9:AC32" si="5">SUM(W9:AB9)</f>
        <v>11.201911098430426</v>
      </c>
    </row>
    <row r="10" spans="1:29">
      <c r="A10" s="3"/>
      <c r="B10" s="6" t="s">
        <v>158</v>
      </c>
      <c r="C10" s="862">
        <v>0</v>
      </c>
      <c r="D10" s="862">
        <v>0</v>
      </c>
      <c r="E10" s="862">
        <v>0</v>
      </c>
      <c r="F10" s="863">
        <f t="shared" si="1"/>
        <v>0</v>
      </c>
      <c r="G10" s="862">
        <v>0</v>
      </c>
      <c r="H10" s="862">
        <v>0</v>
      </c>
      <c r="I10" s="862">
        <v>2.7887393731092754E-3</v>
      </c>
      <c r="J10" s="862">
        <v>0</v>
      </c>
      <c r="K10" s="862">
        <v>0</v>
      </c>
      <c r="L10" s="862">
        <v>0.97638857386013711</v>
      </c>
      <c r="M10" s="862">
        <v>0</v>
      </c>
      <c r="N10" s="862">
        <v>0</v>
      </c>
      <c r="O10" s="862">
        <v>0</v>
      </c>
      <c r="P10" s="862">
        <v>0</v>
      </c>
      <c r="Q10" s="862">
        <v>0</v>
      </c>
      <c r="R10" s="863">
        <f t="shared" si="2"/>
        <v>0.97917731323324642</v>
      </c>
      <c r="S10" s="862">
        <v>5.0911131819629087</v>
      </c>
      <c r="T10" s="862">
        <v>0</v>
      </c>
      <c r="U10" s="862">
        <v>0</v>
      </c>
      <c r="V10" s="863">
        <f t="shared" si="3"/>
        <v>5.0911131819629087</v>
      </c>
      <c r="W10" s="863">
        <f t="shared" si="4"/>
        <v>6.0702904951961552</v>
      </c>
      <c r="X10" s="862">
        <v>0</v>
      </c>
      <c r="Y10" s="862">
        <v>2.4248284400000004E-2</v>
      </c>
      <c r="Z10" s="862">
        <v>2.8140336751269039</v>
      </c>
      <c r="AA10" s="864">
        <v>0</v>
      </c>
      <c r="AB10" s="864">
        <v>0</v>
      </c>
      <c r="AC10" s="863">
        <f t="shared" si="5"/>
        <v>8.9085724547230587</v>
      </c>
    </row>
    <row r="11" spans="1:29">
      <c r="A11" s="3"/>
      <c r="B11" s="6" t="s">
        <v>159</v>
      </c>
      <c r="C11" s="862">
        <v>0</v>
      </c>
      <c r="D11" s="862">
        <v>0</v>
      </c>
      <c r="E11" s="862">
        <v>0</v>
      </c>
      <c r="F11" s="863">
        <f t="shared" si="1"/>
        <v>0</v>
      </c>
      <c r="G11" s="862">
        <v>0</v>
      </c>
      <c r="H11" s="862">
        <v>0</v>
      </c>
      <c r="I11" s="862">
        <v>1.0508522324903882E-3</v>
      </c>
      <c r="J11" s="862">
        <v>0</v>
      </c>
      <c r="K11" s="862">
        <v>0</v>
      </c>
      <c r="L11" s="862">
        <v>0.65915688493745617</v>
      </c>
      <c r="M11" s="862">
        <v>0</v>
      </c>
      <c r="N11" s="862">
        <v>0</v>
      </c>
      <c r="O11" s="862">
        <v>0</v>
      </c>
      <c r="P11" s="862">
        <v>0</v>
      </c>
      <c r="Q11" s="862">
        <v>0</v>
      </c>
      <c r="R11" s="863">
        <f t="shared" si="2"/>
        <v>0.66020773716994652</v>
      </c>
      <c r="S11" s="862">
        <v>6.6209044068637315</v>
      </c>
      <c r="T11" s="862">
        <v>0</v>
      </c>
      <c r="U11" s="862">
        <v>0</v>
      </c>
      <c r="V11" s="863">
        <f t="shared" si="3"/>
        <v>6.6209044068637315</v>
      </c>
      <c r="W11" s="863">
        <f t="shared" si="4"/>
        <v>7.2811121440336777</v>
      </c>
      <c r="X11" s="862">
        <v>0</v>
      </c>
      <c r="Y11" s="862">
        <v>5.5458E-3</v>
      </c>
      <c r="Z11" s="862">
        <v>1.7049386291261135</v>
      </c>
      <c r="AA11" s="864">
        <v>0</v>
      </c>
      <c r="AB11" s="864">
        <v>0</v>
      </c>
      <c r="AC11" s="863">
        <f t="shared" si="5"/>
        <v>8.9915965731597911</v>
      </c>
    </row>
    <row r="12" spans="1:29">
      <c r="A12" s="3"/>
      <c r="B12" s="6" t="s">
        <v>160</v>
      </c>
      <c r="C12" s="862">
        <v>0</v>
      </c>
      <c r="D12" s="862">
        <v>0</v>
      </c>
      <c r="E12" s="862">
        <v>0</v>
      </c>
      <c r="F12" s="863">
        <f t="shared" si="1"/>
        <v>0</v>
      </c>
      <c r="G12" s="862">
        <v>0</v>
      </c>
      <c r="H12" s="862">
        <v>0</v>
      </c>
      <c r="I12" s="862">
        <v>2.7804842495122401E-2</v>
      </c>
      <c r="J12" s="862">
        <v>2.5106404652900675E-3</v>
      </c>
      <c r="K12" s="862">
        <v>0</v>
      </c>
      <c r="L12" s="862">
        <v>1.997033496220866</v>
      </c>
      <c r="M12" s="862">
        <v>0</v>
      </c>
      <c r="N12" s="862">
        <v>0</v>
      </c>
      <c r="O12" s="862">
        <v>0</v>
      </c>
      <c r="P12" s="862">
        <v>0</v>
      </c>
      <c r="Q12" s="862">
        <v>0</v>
      </c>
      <c r="R12" s="863">
        <f t="shared" si="2"/>
        <v>2.0273489791812787</v>
      </c>
      <c r="S12" s="862">
        <v>15.319833352424087</v>
      </c>
      <c r="T12" s="862">
        <v>0</v>
      </c>
      <c r="U12" s="862">
        <v>0</v>
      </c>
      <c r="V12" s="863">
        <f t="shared" si="3"/>
        <v>15.319833352424087</v>
      </c>
      <c r="W12" s="863">
        <f t="shared" si="4"/>
        <v>17.347182331605367</v>
      </c>
      <c r="X12" s="862">
        <v>0</v>
      </c>
      <c r="Y12" s="862">
        <v>3.4229999999999998E-3</v>
      </c>
      <c r="Z12" s="862">
        <v>16.94174820958003</v>
      </c>
      <c r="AA12" s="864">
        <v>0</v>
      </c>
      <c r="AB12" s="864">
        <v>0</v>
      </c>
      <c r="AC12" s="863">
        <f t="shared" si="5"/>
        <v>34.292353541185399</v>
      </c>
    </row>
    <row r="13" spans="1:29">
      <c r="A13" s="3"/>
      <c r="B13" s="6" t="s">
        <v>161</v>
      </c>
      <c r="C13" s="862">
        <v>0</v>
      </c>
      <c r="D13" s="862">
        <v>0</v>
      </c>
      <c r="E13" s="862">
        <v>0</v>
      </c>
      <c r="F13" s="863">
        <f t="shared" si="1"/>
        <v>0</v>
      </c>
      <c r="G13" s="862">
        <v>0</v>
      </c>
      <c r="H13" s="862">
        <v>0</v>
      </c>
      <c r="I13" s="862">
        <v>6.9211253042484627E-2</v>
      </c>
      <c r="J13" s="862">
        <v>0</v>
      </c>
      <c r="K13" s="862">
        <v>0</v>
      </c>
      <c r="L13" s="862">
        <v>2.6209673527345569</v>
      </c>
      <c r="M13" s="862">
        <v>0</v>
      </c>
      <c r="N13" s="862">
        <v>0</v>
      </c>
      <c r="O13" s="862">
        <v>0</v>
      </c>
      <c r="P13" s="862">
        <v>0</v>
      </c>
      <c r="Q13" s="862">
        <v>0</v>
      </c>
      <c r="R13" s="863">
        <f t="shared" si="2"/>
        <v>2.6901786057770414</v>
      </c>
      <c r="S13" s="862">
        <v>8.4695588695047626</v>
      </c>
      <c r="T13" s="862">
        <v>0</v>
      </c>
      <c r="U13" s="862">
        <v>0</v>
      </c>
      <c r="V13" s="863">
        <f t="shared" si="3"/>
        <v>8.4695588695047626</v>
      </c>
      <c r="W13" s="863">
        <f t="shared" si="4"/>
        <v>11.159737475281805</v>
      </c>
      <c r="X13" s="862">
        <v>0</v>
      </c>
      <c r="Y13" s="862">
        <v>6.3907736071999996E-2</v>
      </c>
      <c r="Z13" s="862">
        <v>12.852307094494668</v>
      </c>
      <c r="AA13" s="864">
        <v>0</v>
      </c>
      <c r="AB13" s="864">
        <v>0</v>
      </c>
      <c r="AC13" s="863">
        <f t="shared" si="5"/>
        <v>24.075952305848475</v>
      </c>
    </row>
    <row r="14" spans="1:29">
      <c r="A14" s="221"/>
      <c r="B14" s="222" t="s">
        <v>162</v>
      </c>
      <c r="C14" s="865">
        <v>0</v>
      </c>
      <c r="D14" s="865">
        <v>0</v>
      </c>
      <c r="E14" s="865">
        <v>0</v>
      </c>
      <c r="F14" s="866">
        <f t="shared" si="1"/>
        <v>0</v>
      </c>
      <c r="G14" s="862">
        <v>0</v>
      </c>
      <c r="H14" s="862">
        <v>0</v>
      </c>
      <c r="I14" s="862">
        <v>3.9378229961740369E-2</v>
      </c>
      <c r="J14" s="862">
        <v>0</v>
      </c>
      <c r="K14" s="862">
        <v>0</v>
      </c>
      <c r="L14" s="862">
        <v>0.89537514334571489</v>
      </c>
      <c r="M14" s="862">
        <v>0</v>
      </c>
      <c r="N14" s="862">
        <v>0.51186016901888332</v>
      </c>
      <c r="O14" s="862">
        <v>0</v>
      </c>
      <c r="P14" s="862">
        <v>0</v>
      </c>
      <c r="Q14" s="862">
        <v>0</v>
      </c>
      <c r="R14" s="866">
        <f t="shared" si="2"/>
        <v>1.4466135423263387</v>
      </c>
      <c r="S14" s="862">
        <v>4.0370899746967384</v>
      </c>
      <c r="T14" s="865">
        <v>0</v>
      </c>
      <c r="U14" s="865">
        <v>0</v>
      </c>
      <c r="V14" s="866">
        <f t="shared" si="3"/>
        <v>4.0370899746967384</v>
      </c>
      <c r="W14" s="866">
        <f t="shared" si="4"/>
        <v>5.483703517023077</v>
      </c>
      <c r="X14" s="862">
        <v>1.1268699999999998</v>
      </c>
      <c r="Y14" s="862">
        <v>2.776686641432867</v>
      </c>
      <c r="Z14" s="862">
        <v>4.813376446770695</v>
      </c>
      <c r="AA14" s="867">
        <v>0</v>
      </c>
      <c r="AB14" s="867">
        <v>0</v>
      </c>
      <c r="AC14" s="866">
        <f t="shared" si="5"/>
        <v>14.20063660522664</v>
      </c>
    </row>
    <row r="15" spans="1:29">
      <c r="A15" s="219" t="s">
        <v>163</v>
      </c>
      <c r="B15" s="223"/>
      <c r="C15" s="868">
        <f>SUM(C16:C24)</f>
        <v>0</v>
      </c>
      <c r="D15" s="868">
        <f t="shared" ref="D15:AC15" si="6">SUM(D16:D24)</f>
        <v>7.5710930000003355E-4</v>
      </c>
      <c r="E15" s="868">
        <f t="shared" si="6"/>
        <v>0.23897841417000007</v>
      </c>
      <c r="F15" s="869">
        <f t="shared" si="6"/>
        <v>0.23973552347000013</v>
      </c>
      <c r="G15" s="868">
        <f t="shared" si="6"/>
        <v>0</v>
      </c>
      <c r="H15" s="868">
        <f t="shared" si="6"/>
        <v>0</v>
      </c>
      <c r="I15" s="868">
        <f t="shared" si="6"/>
        <v>0.42837297190797929</v>
      </c>
      <c r="J15" s="868">
        <f t="shared" si="6"/>
        <v>0</v>
      </c>
      <c r="K15" s="868">
        <f t="shared" si="6"/>
        <v>0</v>
      </c>
      <c r="L15" s="868">
        <f t="shared" si="6"/>
        <v>8.795967633175179</v>
      </c>
      <c r="M15" s="868">
        <f t="shared" si="6"/>
        <v>0</v>
      </c>
      <c r="N15" s="868">
        <f t="shared" si="6"/>
        <v>0.5917809174162949</v>
      </c>
      <c r="O15" s="868">
        <f t="shared" si="6"/>
        <v>0</v>
      </c>
      <c r="P15" s="868">
        <f t="shared" si="6"/>
        <v>0.65237152799999998</v>
      </c>
      <c r="Q15" s="868">
        <f t="shared" si="6"/>
        <v>0</v>
      </c>
      <c r="R15" s="869">
        <f t="shared" si="6"/>
        <v>10.468493050499452</v>
      </c>
      <c r="S15" s="868">
        <f t="shared" si="6"/>
        <v>37.258987045301666</v>
      </c>
      <c r="T15" s="868">
        <f t="shared" si="6"/>
        <v>0</v>
      </c>
      <c r="U15" s="868">
        <f t="shared" si="6"/>
        <v>0</v>
      </c>
      <c r="V15" s="869">
        <f t="shared" si="6"/>
        <v>37.258987045301666</v>
      </c>
      <c r="W15" s="869">
        <f t="shared" si="6"/>
        <v>47.96721561927113</v>
      </c>
      <c r="X15" s="868">
        <f t="shared" si="6"/>
        <v>1.1904934775</v>
      </c>
      <c r="Y15" s="868">
        <f t="shared" si="6"/>
        <v>1.4634291102087544</v>
      </c>
      <c r="Z15" s="868">
        <f t="shared" si="6"/>
        <v>47.672791607646232</v>
      </c>
      <c r="AA15" s="870">
        <f t="shared" si="6"/>
        <v>0</v>
      </c>
      <c r="AB15" s="870">
        <f t="shared" si="6"/>
        <v>0</v>
      </c>
      <c r="AC15" s="869">
        <f t="shared" si="6"/>
        <v>98.293929814626111</v>
      </c>
    </row>
    <row r="16" spans="1:29">
      <c r="A16" s="5"/>
      <c r="B16" s="6" t="s">
        <v>35</v>
      </c>
      <c r="C16" s="871">
        <v>0</v>
      </c>
      <c r="D16" s="871">
        <v>0</v>
      </c>
      <c r="E16" s="871">
        <v>0</v>
      </c>
      <c r="F16" s="863">
        <f>C16+D16+E16</f>
        <v>0</v>
      </c>
      <c r="G16" s="871">
        <v>0</v>
      </c>
      <c r="H16" s="871">
        <v>0</v>
      </c>
      <c r="I16" s="871">
        <v>1.6343E-3</v>
      </c>
      <c r="J16" s="871">
        <v>0</v>
      </c>
      <c r="K16" s="871">
        <v>0</v>
      </c>
      <c r="L16" s="871">
        <v>8.6571711734000079E-3</v>
      </c>
      <c r="M16" s="871">
        <v>0</v>
      </c>
      <c r="N16" s="871">
        <v>0</v>
      </c>
      <c r="O16" s="871">
        <v>0</v>
      </c>
      <c r="P16" s="871">
        <v>0</v>
      </c>
      <c r="Q16" s="871">
        <v>0</v>
      </c>
      <c r="R16" s="863">
        <f>SUM(G16:Q16)</f>
        <v>1.0291471173400008E-2</v>
      </c>
      <c r="S16" s="871">
        <v>0.45851891347600127</v>
      </c>
      <c r="T16" s="871">
        <v>0</v>
      </c>
      <c r="U16" s="871">
        <v>0</v>
      </c>
      <c r="V16" s="872">
        <f>SUM(S16:U16)</f>
        <v>0.45851891347600127</v>
      </c>
      <c r="W16" s="863">
        <f>F16+R16+V16</f>
        <v>0.46881038464940128</v>
      </c>
      <c r="X16" s="871">
        <v>0</v>
      </c>
      <c r="Y16" s="871">
        <v>1.1232000000000001E-2</v>
      </c>
      <c r="Z16" s="871">
        <v>0.54484919119999997</v>
      </c>
      <c r="AA16" s="864">
        <v>0</v>
      </c>
      <c r="AB16" s="864">
        <v>0</v>
      </c>
      <c r="AC16" s="863">
        <f>SUM(W16:Z16)</f>
        <v>1.0248915758494013</v>
      </c>
    </row>
    <row r="17" spans="1:31">
      <c r="A17" s="5"/>
      <c r="B17" s="6" t="s">
        <v>38</v>
      </c>
      <c r="C17" s="871">
        <v>0</v>
      </c>
      <c r="D17" s="871">
        <v>0</v>
      </c>
      <c r="E17" s="871">
        <v>0.12103780260000008</v>
      </c>
      <c r="F17" s="863">
        <f t="shared" ref="F17:F24" si="7">C17+D17+E17</f>
        <v>0.12103780260000008</v>
      </c>
      <c r="G17" s="871">
        <v>0</v>
      </c>
      <c r="H17" s="871">
        <v>0</v>
      </c>
      <c r="I17" s="871">
        <v>7.7255344300000022E-4</v>
      </c>
      <c r="J17" s="871">
        <v>0</v>
      </c>
      <c r="K17" s="871">
        <v>0</v>
      </c>
      <c r="L17" s="871">
        <v>8.3940618374819975E-2</v>
      </c>
      <c r="M17" s="871">
        <v>0</v>
      </c>
      <c r="N17" s="871">
        <v>1.8184000000004419E-5</v>
      </c>
      <c r="O17" s="871">
        <v>0</v>
      </c>
      <c r="P17" s="871">
        <v>2.3915279999999969E-3</v>
      </c>
      <c r="Q17" s="871">
        <v>0</v>
      </c>
      <c r="R17" s="863">
        <f t="shared" ref="R17:R24" si="8">SUM(G17:Q17)</f>
        <v>8.712288381781999E-2</v>
      </c>
      <c r="S17" s="871">
        <v>0.44553863218399936</v>
      </c>
      <c r="T17" s="871">
        <v>0</v>
      </c>
      <c r="U17" s="871">
        <v>0</v>
      </c>
      <c r="V17" s="872">
        <f t="shared" ref="V17:V24" si="9">SUM(S17:U17)</f>
        <v>0.44553863218399936</v>
      </c>
      <c r="W17" s="863">
        <f t="shared" ref="W17:W24" si="10">F17+R17+V17</f>
        <v>0.6536993186018194</v>
      </c>
      <c r="X17" s="871">
        <v>6.9949999999999998E-2</v>
      </c>
      <c r="Y17" s="871">
        <v>1.392E-3</v>
      </c>
      <c r="Z17" s="871">
        <v>0.3443568084000006</v>
      </c>
      <c r="AA17" s="864">
        <v>0</v>
      </c>
      <c r="AB17" s="864">
        <v>0</v>
      </c>
      <c r="AC17" s="863">
        <f t="shared" ref="AC17:AC24" si="11">SUM(W17:Z17)</f>
        <v>1.0693981270018198</v>
      </c>
    </row>
    <row r="18" spans="1:31">
      <c r="A18" s="5"/>
      <c r="B18" s="6" t="s">
        <v>36</v>
      </c>
      <c r="C18" s="871">
        <v>0</v>
      </c>
      <c r="D18" s="871">
        <v>0</v>
      </c>
      <c r="E18" s="871">
        <v>0.10609499999999999</v>
      </c>
      <c r="F18" s="863">
        <f t="shared" si="7"/>
        <v>0.10609499999999999</v>
      </c>
      <c r="G18" s="871">
        <v>0</v>
      </c>
      <c r="H18" s="871">
        <v>0</v>
      </c>
      <c r="I18" s="871">
        <v>5.8919121515501473E-2</v>
      </c>
      <c r="J18" s="871">
        <v>0</v>
      </c>
      <c r="K18" s="871">
        <v>0</v>
      </c>
      <c r="L18" s="871">
        <v>0.85331486398172307</v>
      </c>
      <c r="M18" s="871">
        <v>0</v>
      </c>
      <c r="N18" s="871">
        <v>0</v>
      </c>
      <c r="O18" s="871">
        <v>0</v>
      </c>
      <c r="P18" s="871">
        <v>0</v>
      </c>
      <c r="Q18" s="871">
        <v>0</v>
      </c>
      <c r="R18" s="863">
        <f t="shared" si="8"/>
        <v>0.91223398549722456</v>
      </c>
      <c r="S18" s="871">
        <v>6.8757868503410853</v>
      </c>
      <c r="T18" s="871">
        <v>0</v>
      </c>
      <c r="U18" s="871">
        <v>0</v>
      </c>
      <c r="V18" s="872">
        <f t="shared" si="9"/>
        <v>6.8757868503410853</v>
      </c>
      <c r="W18" s="863">
        <f t="shared" si="10"/>
        <v>7.8941158358383099</v>
      </c>
      <c r="X18" s="871">
        <v>0</v>
      </c>
      <c r="Y18" s="871">
        <v>2.2234064120000001E-2</v>
      </c>
      <c r="Z18" s="871">
        <v>6.4697801086864528</v>
      </c>
      <c r="AA18" s="864">
        <v>0</v>
      </c>
      <c r="AB18" s="864">
        <v>0</v>
      </c>
      <c r="AC18" s="863">
        <f t="shared" si="11"/>
        <v>14.386130008644763</v>
      </c>
    </row>
    <row r="19" spans="1:31">
      <c r="A19" s="5"/>
      <c r="B19" s="6" t="s">
        <v>33</v>
      </c>
      <c r="C19" s="871">
        <v>0</v>
      </c>
      <c r="D19" s="871">
        <v>7.3249999999999997E-4</v>
      </c>
      <c r="E19" s="871">
        <v>0</v>
      </c>
      <c r="F19" s="863">
        <f t="shared" si="7"/>
        <v>7.3249999999999997E-4</v>
      </c>
      <c r="G19" s="871">
        <v>0</v>
      </c>
      <c r="H19" s="871">
        <v>0</v>
      </c>
      <c r="I19" s="871">
        <v>4.476169832910637E-2</v>
      </c>
      <c r="J19" s="871">
        <v>0</v>
      </c>
      <c r="K19" s="871">
        <v>0</v>
      </c>
      <c r="L19" s="871">
        <v>5.9854499024776295</v>
      </c>
      <c r="M19" s="871">
        <v>0</v>
      </c>
      <c r="N19" s="871">
        <v>0.17530515285167952</v>
      </c>
      <c r="O19" s="871">
        <v>0</v>
      </c>
      <c r="P19" s="871">
        <v>0</v>
      </c>
      <c r="Q19" s="871">
        <v>0</v>
      </c>
      <c r="R19" s="863">
        <f t="shared" si="8"/>
        <v>6.205516753658415</v>
      </c>
      <c r="S19" s="871">
        <v>6.6307388343865314</v>
      </c>
      <c r="T19" s="871">
        <v>0</v>
      </c>
      <c r="U19" s="871">
        <v>0</v>
      </c>
      <c r="V19" s="872">
        <f t="shared" si="9"/>
        <v>6.6307388343865314</v>
      </c>
      <c r="W19" s="863">
        <f t="shared" si="10"/>
        <v>12.836988088044947</v>
      </c>
      <c r="X19" s="871">
        <v>0.23867563000000003</v>
      </c>
      <c r="Y19" s="871">
        <v>0.58672809025999983</v>
      </c>
      <c r="Z19" s="871">
        <v>7.7440382488425161</v>
      </c>
      <c r="AA19" s="864">
        <v>0</v>
      </c>
      <c r="AB19" s="864">
        <v>0</v>
      </c>
      <c r="AC19" s="863">
        <f t="shared" si="11"/>
        <v>21.40643005714746</v>
      </c>
    </row>
    <row r="20" spans="1:31">
      <c r="A20" s="5"/>
      <c r="B20" s="6" t="s">
        <v>41</v>
      </c>
      <c r="C20" s="871">
        <v>0</v>
      </c>
      <c r="D20" s="871">
        <v>0</v>
      </c>
      <c r="E20" s="871">
        <v>4.0141569999999072E-5</v>
      </c>
      <c r="F20" s="863">
        <f t="shared" si="7"/>
        <v>4.0141569999999072E-5</v>
      </c>
      <c r="G20" s="871">
        <v>0</v>
      </c>
      <c r="H20" s="871">
        <v>0</v>
      </c>
      <c r="I20" s="871">
        <v>0.10013986012689723</v>
      </c>
      <c r="J20" s="871">
        <v>0</v>
      </c>
      <c r="K20" s="871">
        <v>0</v>
      </c>
      <c r="L20" s="871">
        <v>0.74157492813339665</v>
      </c>
      <c r="M20" s="871">
        <v>0</v>
      </c>
      <c r="N20" s="871">
        <v>0.38954199801534822</v>
      </c>
      <c r="O20" s="871">
        <v>0</v>
      </c>
      <c r="P20" s="871">
        <v>0</v>
      </c>
      <c r="Q20" s="871">
        <v>0</v>
      </c>
      <c r="R20" s="863">
        <f t="shared" si="8"/>
        <v>1.2312567862756421</v>
      </c>
      <c r="S20" s="871">
        <v>8.4607282408323403</v>
      </c>
      <c r="T20" s="871">
        <v>0</v>
      </c>
      <c r="U20" s="871">
        <v>0</v>
      </c>
      <c r="V20" s="872">
        <f t="shared" si="9"/>
        <v>8.4607282408323403</v>
      </c>
      <c r="W20" s="863">
        <f t="shared" si="10"/>
        <v>9.6920251686779828</v>
      </c>
      <c r="X20" s="871">
        <v>0</v>
      </c>
      <c r="Y20" s="871">
        <v>0.15080785742875485</v>
      </c>
      <c r="Z20" s="871">
        <v>10.18445737999318</v>
      </c>
      <c r="AA20" s="864">
        <v>0</v>
      </c>
      <c r="AB20" s="864">
        <v>0</v>
      </c>
      <c r="AC20" s="863">
        <f t="shared" si="11"/>
        <v>20.027290406099915</v>
      </c>
    </row>
    <row r="21" spans="1:31">
      <c r="A21" s="5"/>
      <c r="B21" s="6" t="s">
        <v>40</v>
      </c>
      <c r="C21" s="871">
        <v>0</v>
      </c>
      <c r="D21" s="871">
        <v>0</v>
      </c>
      <c r="E21" s="871">
        <v>0</v>
      </c>
      <c r="F21" s="863">
        <f t="shared" si="7"/>
        <v>0</v>
      </c>
      <c r="G21" s="871">
        <v>0</v>
      </c>
      <c r="H21" s="871">
        <v>0</v>
      </c>
      <c r="I21" s="871">
        <v>5.1901135876337729E-3</v>
      </c>
      <c r="J21" s="871">
        <v>0</v>
      </c>
      <c r="K21" s="871">
        <v>0</v>
      </c>
      <c r="L21" s="871">
        <v>6.1003792913099368E-2</v>
      </c>
      <c r="M21" s="871">
        <v>0</v>
      </c>
      <c r="N21" s="871">
        <v>2.6909182691267162E-2</v>
      </c>
      <c r="O21" s="871">
        <v>0</v>
      </c>
      <c r="P21" s="871">
        <v>0</v>
      </c>
      <c r="Q21" s="871">
        <v>0</v>
      </c>
      <c r="R21" s="863">
        <f t="shared" si="8"/>
        <v>9.3103089192000305E-2</v>
      </c>
      <c r="S21" s="871">
        <v>3.7144800478087356</v>
      </c>
      <c r="T21" s="871">
        <v>0</v>
      </c>
      <c r="U21" s="871">
        <v>0</v>
      </c>
      <c r="V21" s="872">
        <f t="shared" si="9"/>
        <v>3.7144800478087356</v>
      </c>
      <c r="W21" s="863">
        <f t="shared" si="10"/>
        <v>3.8075831370007358</v>
      </c>
      <c r="X21" s="871">
        <v>0</v>
      </c>
      <c r="Y21" s="871">
        <v>2.7647000000000001E-2</v>
      </c>
      <c r="Z21" s="871">
        <v>2.6653799014757911</v>
      </c>
      <c r="AA21" s="864">
        <v>0</v>
      </c>
      <c r="AB21" s="864">
        <v>0</v>
      </c>
      <c r="AC21" s="863">
        <f t="shared" si="11"/>
        <v>6.5006100384765269</v>
      </c>
    </row>
    <row r="22" spans="1:31">
      <c r="A22" s="5"/>
      <c r="B22" s="6" t="s">
        <v>37</v>
      </c>
      <c r="C22" s="871">
        <v>0</v>
      </c>
      <c r="D22" s="871">
        <v>2.4609300000033585E-5</v>
      </c>
      <c r="E22" s="871">
        <v>1.180547E-2</v>
      </c>
      <c r="F22" s="863">
        <f t="shared" si="7"/>
        <v>1.1830079300000034E-2</v>
      </c>
      <c r="G22" s="871">
        <v>0</v>
      </c>
      <c r="H22" s="871">
        <v>0</v>
      </c>
      <c r="I22" s="871">
        <v>4.5412543326797283E-2</v>
      </c>
      <c r="J22" s="871">
        <v>0</v>
      </c>
      <c r="K22" s="871">
        <v>0</v>
      </c>
      <c r="L22" s="871">
        <v>0.4956514702526153</v>
      </c>
      <c r="M22" s="871">
        <v>0</v>
      </c>
      <c r="N22" s="871">
        <v>6.3998579999946514E-6</v>
      </c>
      <c r="O22" s="871">
        <v>0</v>
      </c>
      <c r="P22" s="871">
        <v>0</v>
      </c>
      <c r="Q22" s="871">
        <v>0</v>
      </c>
      <c r="R22" s="863">
        <f t="shared" si="8"/>
        <v>0.54107041343741258</v>
      </c>
      <c r="S22" s="871">
        <v>1.537518145274583</v>
      </c>
      <c r="T22" s="871">
        <v>0</v>
      </c>
      <c r="U22" s="871">
        <v>0</v>
      </c>
      <c r="V22" s="872">
        <f t="shared" si="9"/>
        <v>1.537518145274583</v>
      </c>
      <c r="W22" s="863">
        <f t="shared" si="10"/>
        <v>2.0904186380119958</v>
      </c>
      <c r="X22" s="871">
        <v>0.88186784750000002</v>
      </c>
      <c r="Y22" s="871">
        <v>0</v>
      </c>
      <c r="Z22" s="871">
        <v>1.7912960837961796</v>
      </c>
      <c r="AA22" s="864">
        <v>0</v>
      </c>
      <c r="AB22" s="864">
        <v>0</v>
      </c>
      <c r="AC22" s="863">
        <f t="shared" si="11"/>
        <v>4.7635825693081753</v>
      </c>
    </row>
    <row r="23" spans="1:31">
      <c r="A23" s="5"/>
      <c r="B23" s="6" t="s">
        <v>39</v>
      </c>
      <c r="C23" s="871">
        <v>0</v>
      </c>
      <c r="D23" s="871">
        <v>0</v>
      </c>
      <c r="E23" s="871">
        <v>0</v>
      </c>
      <c r="F23" s="863">
        <f t="shared" si="7"/>
        <v>0</v>
      </c>
      <c r="G23" s="871">
        <v>0</v>
      </c>
      <c r="H23" s="871">
        <v>0</v>
      </c>
      <c r="I23" s="871">
        <v>6.101414182550316E-2</v>
      </c>
      <c r="J23" s="871">
        <v>0</v>
      </c>
      <c r="K23" s="871">
        <v>0</v>
      </c>
      <c r="L23" s="871">
        <v>0.2958800722289946</v>
      </c>
      <c r="M23" s="871">
        <v>0</v>
      </c>
      <c r="N23" s="871">
        <v>0</v>
      </c>
      <c r="O23" s="871">
        <v>0</v>
      </c>
      <c r="P23" s="871">
        <v>0</v>
      </c>
      <c r="Q23" s="871">
        <v>0</v>
      </c>
      <c r="R23" s="863">
        <f t="shared" si="8"/>
        <v>0.35689421405449773</v>
      </c>
      <c r="S23" s="871">
        <v>0.47536284017639985</v>
      </c>
      <c r="T23" s="871">
        <v>0</v>
      </c>
      <c r="U23" s="871">
        <v>0</v>
      </c>
      <c r="V23" s="872">
        <f t="shared" si="9"/>
        <v>0.47536284017639985</v>
      </c>
      <c r="W23" s="863">
        <f t="shared" si="10"/>
        <v>0.83225705423089757</v>
      </c>
      <c r="X23" s="871">
        <v>0</v>
      </c>
      <c r="Y23" s="871">
        <v>0.6591489199999998</v>
      </c>
      <c r="Z23" s="871">
        <v>3.3094774314845812</v>
      </c>
      <c r="AA23" s="864">
        <v>0</v>
      </c>
      <c r="AB23" s="864">
        <v>0</v>
      </c>
      <c r="AC23" s="863">
        <f t="shared" si="11"/>
        <v>4.8008834057154788</v>
      </c>
    </row>
    <row r="24" spans="1:31">
      <c r="A24" s="224"/>
      <c r="B24" s="222" t="s">
        <v>34</v>
      </c>
      <c r="C24" s="871">
        <v>0</v>
      </c>
      <c r="D24" s="871">
        <v>0</v>
      </c>
      <c r="E24" s="871">
        <v>0</v>
      </c>
      <c r="F24" s="863">
        <f t="shared" si="7"/>
        <v>0</v>
      </c>
      <c r="G24" s="871">
        <v>0</v>
      </c>
      <c r="H24" s="871">
        <v>0</v>
      </c>
      <c r="I24" s="871">
        <v>0.11052863975354001</v>
      </c>
      <c r="J24" s="871">
        <v>0</v>
      </c>
      <c r="K24" s="871">
        <v>0</v>
      </c>
      <c r="L24" s="871">
        <v>0.27049481363950006</v>
      </c>
      <c r="M24" s="871">
        <v>0</v>
      </c>
      <c r="N24" s="871">
        <v>0</v>
      </c>
      <c r="O24" s="871">
        <v>0</v>
      </c>
      <c r="P24" s="871">
        <v>0.64998</v>
      </c>
      <c r="Q24" s="871">
        <v>0</v>
      </c>
      <c r="R24" s="863">
        <f t="shared" si="8"/>
        <v>1.0310034533930401</v>
      </c>
      <c r="S24" s="871">
        <v>8.6603145408219966</v>
      </c>
      <c r="T24" s="871">
        <v>0</v>
      </c>
      <c r="U24" s="871">
        <v>0</v>
      </c>
      <c r="V24" s="872">
        <f t="shared" si="9"/>
        <v>8.6603145408219966</v>
      </c>
      <c r="W24" s="863">
        <f t="shared" si="10"/>
        <v>9.6913179942150371</v>
      </c>
      <c r="X24" s="871">
        <v>0</v>
      </c>
      <c r="Y24" s="871">
        <v>4.2391784000000016E-3</v>
      </c>
      <c r="Z24" s="871">
        <v>14.61915645376753</v>
      </c>
      <c r="AA24" s="864">
        <v>0</v>
      </c>
      <c r="AB24" s="864">
        <v>0</v>
      </c>
      <c r="AC24" s="863">
        <f t="shared" si="11"/>
        <v>24.31471362638257</v>
      </c>
    </row>
    <row r="25" spans="1:31">
      <c r="A25" s="5" t="s">
        <v>112</v>
      </c>
      <c r="B25" s="129"/>
      <c r="C25" s="873">
        <v>0</v>
      </c>
      <c r="D25" s="874">
        <v>0.32894392463478239</v>
      </c>
      <c r="E25" s="868">
        <v>0</v>
      </c>
      <c r="F25" s="869">
        <v>0.32894392463478239</v>
      </c>
      <c r="G25" s="859">
        <v>0</v>
      </c>
      <c r="H25" s="859">
        <v>0</v>
      </c>
      <c r="I25" s="859">
        <v>2.5050528083862187E-2</v>
      </c>
      <c r="J25" s="859">
        <v>9.6713777119717848E-2</v>
      </c>
      <c r="K25" s="859">
        <v>0</v>
      </c>
      <c r="L25" s="859">
        <v>8.2844532108814182</v>
      </c>
      <c r="M25" s="859">
        <v>0</v>
      </c>
      <c r="N25" s="859">
        <v>0.39308102894116248</v>
      </c>
      <c r="O25" s="859">
        <v>0</v>
      </c>
      <c r="P25" s="859">
        <v>0</v>
      </c>
      <c r="Q25" s="859">
        <v>0</v>
      </c>
      <c r="R25" s="869">
        <v>8.7992985450261614</v>
      </c>
      <c r="S25" s="859">
        <v>14.496840271432315</v>
      </c>
      <c r="T25" s="868">
        <v>0</v>
      </c>
      <c r="U25" s="868">
        <v>0</v>
      </c>
      <c r="V25" s="869">
        <v>14.496840271432315</v>
      </c>
      <c r="W25" s="869">
        <v>23.625082741093259</v>
      </c>
      <c r="X25" s="868">
        <v>0</v>
      </c>
      <c r="Y25" s="859">
        <v>2.6001502484000008</v>
      </c>
      <c r="Z25" s="861">
        <v>-1.2270283798095682</v>
      </c>
      <c r="AA25" s="870">
        <v>0</v>
      </c>
      <c r="AB25" s="870">
        <v>0</v>
      </c>
      <c r="AC25" s="860">
        <v>24.99820460968369</v>
      </c>
      <c r="AE25" s="39"/>
    </row>
    <row r="26" spans="1:31">
      <c r="A26" s="5"/>
      <c r="B26" s="129"/>
      <c r="C26" s="873"/>
      <c r="D26" s="874"/>
      <c r="E26" s="873"/>
      <c r="F26" s="863"/>
      <c r="G26" s="874"/>
      <c r="H26" s="874"/>
      <c r="I26" s="874"/>
      <c r="J26" s="874"/>
      <c r="K26" s="874"/>
      <c r="L26" s="874"/>
      <c r="M26" s="874"/>
      <c r="N26" s="874"/>
      <c r="O26" s="874"/>
      <c r="P26" s="874"/>
      <c r="Q26" s="874"/>
      <c r="R26" s="863"/>
      <c r="S26" s="874"/>
      <c r="T26" s="873"/>
      <c r="U26" s="873"/>
      <c r="V26" s="863"/>
      <c r="W26" s="863"/>
      <c r="X26" s="873"/>
      <c r="Y26" s="877"/>
      <c r="Z26" s="877">
        <v>2.6591025930659193</v>
      </c>
      <c r="AA26" s="878"/>
      <c r="AB26" s="875"/>
      <c r="AC26" s="876"/>
      <c r="AE26" s="39"/>
    </row>
    <row r="27" spans="1:31">
      <c r="A27" s="3"/>
      <c r="B27" s="6" t="s">
        <v>164</v>
      </c>
      <c r="C27" s="862">
        <v>0</v>
      </c>
      <c r="D27" s="862">
        <v>1.3371516650183095E-2</v>
      </c>
      <c r="E27" s="862">
        <v>0</v>
      </c>
      <c r="F27" s="863">
        <f t="shared" si="1"/>
        <v>1.3371516650183095E-2</v>
      </c>
      <c r="G27" s="862">
        <v>0</v>
      </c>
      <c r="H27" s="862">
        <v>0</v>
      </c>
      <c r="I27" s="862">
        <v>9.3690862050426552E-3</v>
      </c>
      <c r="J27" s="862">
        <v>8.9511477242744213E-4</v>
      </c>
      <c r="K27" s="862">
        <v>0</v>
      </c>
      <c r="L27" s="862">
        <v>5.2538880791616327</v>
      </c>
      <c r="M27" s="862">
        <v>0</v>
      </c>
      <c r="N27" s="862">
        <v>0</v>
      </c>
      <c r="O27" s="862">
        <v>0</v>
      </c>
      <c r="P27" s="862">
        <v>0</v>
      </c>
      <c r="Q27" s="862">
        <v>0</v>
      </c>
      <c r="R27" s="863">
        <f t="shared" si="2"/>
        <v>5.2641522801391032</v>
      </c>
      <c r="S27" s="862">
        <v>8.4931665403976481E-2</v>
      </c>
      <c r="T27" s="862">
        <v>0</v>
      </c>
      <c r="U27" s="862">
        <v>0</v>
      </c>
      <c r="V27" s="863">
        <f t="shared" si="3"/>
        <v>8.4931665403976481E-2</v>
      </c>
      <c r="W27" s="863">
        <f t="shared" si="4"/>
        <v>5.362455462193263</v>
      </c>
      <c r="X27" s="862">
        <v>0</v>
      </c>
      <c r="Y27" s="862">
        <v>1.1378286720000002</v>
      </c>
      <c r="Z27" s="862">
        <v>2.1431652398641634</v>
      </c>
      <c r="AA27" s="864">
        <v>0</v>
      </c>
      <c r="AB27" s="864">
        <v>0</v>
      </c>
      <c r="AC27" s="863">
        <f t="shared" si="5"/>
        <v>8.6434493740574272</v>
      </c>
    </row>
    <row r="28" spans="1:31">
      <c r="A28" s="3"/>
      <c r="B28" s="6" t="s">
        <v>165</v>
      </c>
      <c r="C28" s="862">
        <v>0</v>
      </c>
      <c r="D28" s="862">
        <v>2.9698851818824013E-4</v>
      </c>
      <c r="E28" s="862">
        <v>0</v>
      </c>
      <c r="F28" s="863">
        <f t="shared" si="1"/>
        <v>2.9698851818824013E-4</v>
      </c>
      <c r="G28" s="862">
        <v>0</v>
      </c>
      <c r="H28" s="862">
        <v>0</v>
      </c>
      <c r="I28" s="862">
        <v>1.7845722384447608E-3</v>
      </c>
      <c r="J28" s="862">
        <v>5.5950814266868889E-5</v>
      </c>
      <c r="K28" s="862">
        <v>0</v>
      </c>
      <c r="L28" s="862">
        <v>1.4180296896155171</v>
      </c>
      <c r="M28" s="862">
        <v>0</v>
      </c>
      <c r="N28" s="862">
        <v>0</v>
      </c>
      <c r="O28" s="862">
        <v>0</v>
      </c>
      <c r="P28" s="862">
        <v>0</v>
      </c>
      <c r="Q28" s="862">
        <v>0</v>
      </c>
      <c r="R28" s="863">
        <f t="shared" si="2"/>
        <v>1.4198702126682288</v>
      </c>
      <c r="S28" s="862">
        <v>0</v>
      </c>
      <c r="T28" s="862">
        <v>0</v>
      </c>
      <c r="U28" s="862">
        <v>0</v>
      </c>
      <c r="V28" s="863">
        <f t="shared" si="3"/>
        <v>0</v>
      </c>
      <c r="W28" s="863">
        <f t="shared" si="4"/>
        <v>1.420167201186417</v>
      </c>
      <c r="X28" s="862">
        <v>0</v>
      </c>
      <c r="Y28" s="862">
        <v>1.0039791920000001</v>
      </c>
      <c r="Z28" s="862">
        <v>0.42331409029024503</v>
      </c>
      <c r="AA28" s="864">
        <v>0</v>
      </c>
      <c r="AB28" s="864">
        <v>0</v>
      </c>
      <c r="AC28" s="863">
        <f t="shared" si="5"/>
        <v>2.8474604834766621</v>
      </c>
    </row>
    <row r="29" spans="1:31">
      <c r="A29" s="3"/>
      <c r="B29" s="6" t="s">
        <v>166</v>
      </c>
      <c r="C29" s="862">
        <v>0</v>
      </c>
      <c r="D29" s="862">
        <v>0.17033160819134557</v>
      </c>
      <c r="E29" s="862">
        <v>0</v>
      </c>
      <c r="F29" s="863">
        <f t="shared" si="1"/>
        <v>0.17033160819134557</v>
      </c>
      <c r="G29" s="862">
        <v>0</v>
      </c>
      <c r="H29" s="862">
        <v>0</v>
      </c>
      <c r="I29" s="862">
        <v>3.724897199651456E-3</v>
      </c>
      <c r="J29" s="862">
        <v>5.7720451393292638E-4</v>
      </c>
      <c r="K29" s="862">
        <v>0</v>
      </c>
      <c r="L29" s="862">
        <v>0.6148099373229623</v>
      </c>
      <c r="M29" s="862">
        <v>0</v>
      </c>
      <c r="N29" s="862">
        <v>0.30481736524582514</v>
      </c>
      <c r="O29" s="862">
        <v>0</v>
      </c>
      <c r="P29" s="862">
        <v>0</v>
      </c>
      <c r="Q29" s="862">
        <v>0</v>
      </c>
      <c r="R29" s="863">
        <f t="shared" si="2"/>
        <v>0.9239294042823718</v>
      </c>
      <c r="S29" s="862">
        <v>14.3344782613921</v>
      </c>
      <c r="T29" s="862">
        <v>0</v>
      </c>
      <c r="U29" s="862">
        <v>0</v>
      </c>
      <c r="V29" s="863">
        <f t="shared" si="3"/>
        <v>14.3344782613921</v>
      </c>
      <c r="W29" s="863">
        <f t="shared" si="4"/>
        <v>15.428739273865817</v>
      </c>
      <c r="X29" s="862">
        <v>0</v>
      </c>
      <c r="Y29" s="862">
        <v>0.45823178440000001</v>
      </c>
      <c r="Z29" s="862">
        <v>-4.545730192942024</v>
      </c>
      <c r="AA29" s="864">
        <v>0</v>
      </c>
      <c r="AB29" s="864">
        <v>0</v>
      </c>
      <c r="AC29" s="863">
        <f t="shared" si="5"/>
        <v>11.341240865323794</v>
      </c>
    </row>
    <row r="30" spans="1:31">
      <c r="A30" s="3"/>
      <c r="B30" s="6" t="s">
        <v>167</v>
      </c>
      <c r="C30" s="862">
        <v>0</v>
      </c>
      <c r="D30" s="862">
        <v>0.1449438112750655</v>
      </c>
      <c r="E30" s="862">
        <v>0</v>
      </c>
      <c r="F30" s="863">
        <f t="shared" si="1"/>
        <v>0.1449438112750655</v>
      </c>
      <c r="G30" s="862">
        <v>0</v>
      </c>
      <c r="H30" s="862">
        <v>0</v>
      </c>
      <c r="I30" s="862">
        <v>1.0170214753626318E-2</v>
      </c>
      <c r="J30" s="862">
        <v>5.3872448660011226E-3</v>
      </c>
      <c r="K30" s="862">
        <v>0</v>
      </c>
      <c r="L30" s="862">
        <v>0.98749531504950616</v>
      </c>
      <c r="M30" s="862">
        <v>0</v>
      </c>
      <c r="N30" s="862">
        <v>8.8263663695337322E-2</v>
      </c>
      <c r="O30" s="862">
        <v>0</v>
      </c>
      <c r="P30" s="862">
        <v>0</v>
      </c>
      <c r="Q30" s="862">
        <v>0</v>
      </c>
      <c r="R30" s="863">
        <f t="shared" si="2"/>
        <v>1.0913164383644709</v>
      </c>
      <c r="S30" s="862">
        <v>7.7430344636238602E-2</v>
      </c>
      <c r="T30" s="862">
        <v>0</v>
      </c>
      <c r="U30" s="862">
        <v>0</v>
      </c>
      <c r="V30" s="863">
        <f t="shared" si="3"/>
        <v>7.7430344636238602E-2</v>
      </c>
      <c r="W30" s="863">
        <f t="shared" si="4"/>
        <v>1.3136905942757748</v>
      </c>
      <c r="X30" s="862">
        <v>0</v>
      </c>
      <c r="Y30" s="862">
        <v>1.106E-4</v>
      </c>
      <c r="Z30" s="862">
        <v>0.75217278656204745</v>
      </c>
      <c r="AA30" s="864">
        <v>0</v>
      </c>
      <c r="AB30" s="864">
        <v>0</v>
      </c>
      <c r="AC30" s="863">
        <f t="shared" si="5"/>
        <v>2.0659739808378221</v>
      </c>
    </row>
    <row r="31" spans="1:31">
      <c r="A31" s="3"/>
      <c r="B31" s="6" t="s">
        <v>168</v>
      </c>
      <c r="C31" s="862">
        <v>0</v>
      </c>
      <c r="D31" s="862">
        <v>0</v>
      </c>
      <c r="E31" s="862">
        <v>0</v>
      </c>
      <c r="F31" s="863">
        <f t="shared" si="1"/>
        <v>0</v>
      </c>
      <c r="G31" s="862">
        <v>0</v>
      </c>
      <c r="H31" s="862">
        <v>0</v>
      </c>
      <c r="I31" s="862">
        <v>1.7576870969999998E-6</v>
      </c>
      <c r="J31" s="862">
        <v>8.6830058340493649E-2</v>
      </c>
      <c r="K31" s="862">
        <v>0</v>
      </c>
      <c r="L31" s="862">
        <v>6.8157765275399856E-3</v>
      </c>
      <c r="M31" s="862">
        <v>0</v>
      </c>
      <c r="N31" s="862">
        <v>0</v>
      </c>
      <c r="O31" s="862">
        <v>0</v>
      </c>
      <c r="P31" s="862">
        <v>0</v>
      </c>
      <c r="Q31" s="862">
        <v>0</v>
      </c>
      <c r="R31" s="863">
        <f t="shared" si="2"/>
        <v>9.3647592555130624E-2</v>
      </c>
      <c r="S31" s="862">
        <v>0</v>
      </c>
      <c r="T31" s="862">
        <v>0</v>
      </c>
      <c r="U31" s="862">
        <v>0</v>
      </c>
      <c r="V31" s="863">
        <f t="shared" si="3"/>
        <v>0</v>
      </c>
      <c r="W31" s="863">
        <f t="shared" si="4"/>
        <v>9.3647592555130624E-2</v>
      </c>
      <c r="X31" s="862">
        <v>0</v>
      </c>
      <c r="Y31" s="862">
        <v>0</v>
      </c>
      <c r="Z31" s="862">
        <v>0</v>
      </c>
      <c r="AA31" s="864">
        <v>0</v>
      </c>
      <c r="AB31" s="864">
        <v>0</v>
      </c>
      <c r="AC31" s="863">
        <f t="shared" si="5"/>
        <v>9.3647592555130624E-2</v>
      </c>
    </row>
    <row r="32" spans="1:31">
      <c r="A32" s="4"/>
      <c r="B32" s="128" t="s">
        <v>169</v>
      </c>
      <c r="C32" s="880">
        <v>0</v>
      </c>
      <c r="D32" s="880">
        <v>0</v>
      </c>
      <c r="E32" s="880">
        <v>0</v>
      </c>
      <c r="F32" s="879">
        <f t="shared" si="1"/>
        <v>0</v>
      </c>
      <c r="G32" s="880">
        <v>0</v>
      </c>
      <c r="H32" s="880">
        <v>0</v>
      </c>
      <c r="I32" s="880">
        <v>0</v>
      </c>
      <c r="J32" s="880">
        <v>2.96820381259584E-3</v>
      </c>
      <c r="K32" s="880">
        <v>0</v>
      </c>
      <c r="L32" s="880">
        <v>3.4144132042592998E-3</v>
      </c>
      <c r="M32" s="880">
        <v>0</v>
      </c>
      <c r="N32" s="880">
        <v>0</v>
      </c>
      <c r="O32" s="880">
        <v>0</v>
      </c>
      <c r="P32" s="880">
        <v>0</v>
      </c>
      <c r="Q32" s="880">
        <v>0</v>
      </c>
      <c r="R32" s="879">
        <f t="shared" si="2"/>
        <v>6.3826170168551398E-3</v>
      </c>
      <c r="S32" s="880">
        <v>0</v>
      </c>
      <c r="T32" s="880">
        <v>0</v>
      </c>
      <c r="U32" s="880">
        <v>0</v>
      </c>
      <c r="V32" s="879">
        <f t="shared" si="3"/>
        <v>0</v>
      </c>
      <c r="W32" s="879">
        <f t="shared" si="4"/>
        <v>6.3826170168551398E-3</v>
      </c>
      <c r="X32" s="880">
        <v>0</v>
      </c>
      <c r="Y32" s="880">
        <v>0</v>
      </c>
      <c r="Z32" s="880">
        <v>4.9696416000000005E-5</v>
      </c>
      <c r="AA32" s="881">
        <v>0</v>
      </c>
      <c r="AB32" s="881">
        <v>0</v>
      </c>
      <c r="AC32" s="879">
        <f t="shared" si="5"/>
        <v>6.43231343285514E-3</v>
      </c>
    </row>
    <row r="35" spans="3:29">
      <c r="C35" s="650"/>
      <c r="D35" s="650"/>
      <c r="E35" s="650"/>
      <c r="F35" s="650"/>
      <c r="G35" s="650"/>
      <c r="H35" s="650"/>
      <c r="I35" s="650"/>
      <c r="J35" s="650"/>
      <c r="K35" s="650"/>
      <c r="L35" s="650"/>
      <c r="M35" s="650"/>
      <c r="N35" s="650"/>
      <c r="O35" s="650"/>
      <c r="P35" s="650"/>
      <c r="Q35" s="650"/>
      <c r="R35" s="650"/>
      <c r="S35" s="650"/>
      <c r="T35" s="650"/>
      <c r="U35" s="650"/>
      <c r="V35" s="650"/>
      <c r="W35" s="650"/>
      <c r="X35" s="650"/>
      <c r="Y35" s="650"/>
      <c r="Z35" s="650"/>
      <c r="AA35" s="650"/>
      <c r="AB35" s="650"/>
      <c r="AC35" s="650"/>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sheetPr codeName="Sheet27">
    <tabColor theme="5" tint="-0.249977111117893"/>
  </sheetPr>
  <dimension ref="A1:C27"/>
  <sheetViews>
    <sheetView showGridLines="0" topLeftCell="A16"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2" customFormat="1" ht="60.75" customHeight="1" thickBot="1">
      <c r="A2" s="1190" t="s">
        <v>485</v>
      </c>
      <c r="B2" s="1191"/>
      <c r="C2" s="112"/>
    </row>
    <row r="3" spans="1:3" s="16" customFormat="1" ht="15.75">
      <c r="A3" s="99"/>
      <c r="B3" s="71"/>
      <c r="C3" s="100"/>
    </row>
    <row r="4" spans="1:3">
      <c r="A4" s="96" t="s">
        <v>364</v>
      </c>
      <c r="B4" s="70" t="s">
        <v>376</v>
      </c>
      <c r="C4" s="101" t="s">
        <v>375</v>
      </c>
    </row>
    <row r="5" spans="1:3">
      <c r="A5" s="113"/>
      <c r="B5" s="44"/>
      <c r="C5" s="97"/>
    </row>
    <row r="6" spans="1:3" s="12" customFormat="1" ht="30">
      <c r="A6" s="114" t="s">
        <v>194</v>
      </c>
      <c r="B6" s="131" t="s">
        <v>487</v>
      </c>
      <c r="C6" s="164" t="s">
        <v>503</v>
      </c>
    </row>
    <row r="7" spans="1:3" s="12" customFormat="1">
      <c r="A7" s="133"/>
      <c r="B7" s="134"/>
      <c r="C7" s="135"/>
    </row>
    <row r="8" spans="1:3" s="12" customFormat="1" ht="60">
      <c r="A8" s="114" t="s">
        <v>155</v>
      </c>
      <c r="B8" s="131" t="s">
        <v>487</v>
      </c>
      <c r="C8" s="315" t="s">
        <v>504</v>
      </c>
    </row>
    <row r="9" spans="1:3" s="12" customFormat="1">
      <c r="A9" s="133"/>
      <c r="B9" s="134"/>
      <c r="C9" s="135"/>
    </row>
    <row r="10" spans="1:3" s="12" customFormat="1" ht="60">
      <c r="A10" s="114" t="s">
        <v>156</v>
      </c>
      <c r="B10" s="131" t="s">
        <v>487</v>
      </c>
      <c r="C10" s="315" t="s">
        <v>504</v>
      </c>
    </row>
    <row r="11" spans="1:3" s="12" customFormat="1">
      <c r="A11" s="133"/>
      <c r="B11" s="134"/>
      <c r="C11" s="135"/>
    </row>
    <row r="12" spans="1:3" s="12" customFormat="1" ht="60">
      <c r="A12" s="114" t="s">
        <v>391</v>
      </c>
      <c r="B12" s="131" t="s">
        <v>487</v>
      </c>
      <c r="C12" s="315" t="s">
        <v>504</v>
      </c>
    </row>
    <row r="13" spans="1:3" s="12" customFormat="1">
      <c r="A13" s="133"/>
      <c r="B13" s="134"/>
      <c r="C13" s="135"/>
    </row>
    <row r="14" spans="1:3" s="12" customFormat="1" ht="60">
      <c r="A14" s="114" t="s">
        <v>112</v>
      </c>
      <c r="B14" s="131" t="s">
        <v>505</v>
      </c>
      <c r="C14" s="315" t="s">
        <v>504</v>
      </c>
    </row>
    <row r="15" spans="1:3" s="12" customFormat="1" ht="63">
      <c r="A15" s="124"/>
      <c r="B15" s="131" t="s">
        <v>506</v>
      </c>
      <c r="C15" s="315" t="s">
        <v>510</v>
      </c>
    </row>
    <row r="16" spans="1:3" s="12" customFormat="1">
      <c r="A16" s="133"/>
      <c r="B16" s="134"/>
      <c r="C16" s="135"/>
    </row>
    <row r="17" spans="1:3" s="12" customFormat="1" ht="45">
      <c r="A17" s="114" t="s">
        <v>486</v>
      </c>
      <c r="B17" s="131" t="s">
        <v>560</v>
      </c>
      <c r="C17" s="164" t="s">
        <v>561</v>
      </c>
    </row>
    <row r="18" spans="1:3" s="12" customFormat="1">
      <c r="A18" s="133"/>
      <c r="B18" s="134"/>
      <c r="C18" s="135"/>
    </row>
    <row r="19" spans="1:3" s="12" customFormat="1" ht="60">
      <c r="A19" s="114" t="s">
        <v>394</v>
      </c>
      <c r="B19" s="314" t="s">
        <v>558</v>
      </c>
      <c r="C19" s="164" t="s">
        <v>559</v>
      </c>
    </row>
    <row r="20" spans="1:3" s="12" customFormat="1">
      <c r="A20" s="114"/>
      <c r="B20" s="131"/>
      <c r="C20" s="132"/>
    </row>
    <row r="21" spans="1:3" ht="21">
      <c r="A21" s="127" t="s">
        <v>489</v>
      </c>
      <c r="B21" s="126"/>
      <c r="C21" s="123"/>
    </row>
    <row r="27" spans="1:3">
      <c r="B27" t="s">
        <v>236</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5" customFormat="1" ht="17.25" thickTop="1" thickBot="1">
      <c r="A1" s="1192" t="s">
        <v>194</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555</v>
      </c>
      <c r="B5" s="31">
        <f>SUM(OV_ov_ele_kWh,OV_rest_ele_kWh)/1000</f>
        <v>1678.404</v>
      </c>
      <c r="C5" s="19" t="s">
        <v>211</v>
      </c>
      <c r="D5" s="19" t="s">
        <v>211</v>
      </c>
      <c r="E5" s="19" t="s">
        <v>211</v>
      </c>
      <c r="F5" s="19" t="s">
        <v>211</v>
      </c>
      <c r="G5" s="19" t="s">
        <v>211</v>
      </c>
      <c r="H5" s="19" t="s">
        <v>211</v>
      </c>
      <c r="I5" s="19" t="s">
        <v>211</v>
      </c>
      <c r="J5" s="19" t="s">
        <v>211</v>
      </c>
      <c r="K5" s="19" t="s">
        <v>211</v>
      </c>
      <c r="L5" s="19" t="s">
        <v>211</v>
      </c>
      <c r="M5" s="19" t="s">
        <v>211</v>
      </c>
      <c r="N5" s="19" t="s">
        <v>211</v>
      </c>
      <c r="O5" s="19" t="s">
        <v>211</v>
      </c>
      <c r="P5" s="19" t="s">
        <v>211</v>
      </c>
    </row>
    <row r="6" spans="1:16">
      <c r="A6" s="17" t="s">
        <v>556</v>
      </c>
      <c r="B6" s="31">
        <f>(IF(ISERROR('Eigen openbare verlichting'!B15),0,'Eigen openbare verlichting'!B15))*(-1)</f>
        <v>0</v>
      </c>
      <c r="C6" s="19" t="s">
        <v>211</v>
      </c>
      <c r="D6" s="19" t="s">
        <v>211</v>
      </c>
      <c r="E6" s="19" t="s">
        <v>211</v>
      </c>
      <c r="F6" s="19" t="s">
        <v>211</v>
      </c>
      <c r="G6" s="19" t="s">
        <v>211</v>
      </c>
      <c r="H6" s="19" t="s">
        <v>211</v>
      </c>
      <c r="I6" s="19" t="s">
        <v>211</v>
      </c>
      <c r="J6" s="19" t="s">
        <v>211</v>
      </c>
      <c r="K6" s="19" t="s">
        <v>211</v>
      </c>
      <c r="L6" s="19" t="s">
        <v>211</v>
      </c>
      <c r="M6" s="19" t="s">
        <v>211</v>
      </c>
      <c r="N6" s="19" t="s">
        <v>211</v>
      </c>
      <c r="O6" s="19" t="s">
        <v>211</v>
      </c>
      <c r="P6" s="19" t="s">
        <v>211</v>
      </c>
    </row>
    <row r="7" spans="1:16">
      <c r="B7" s="20"/>
      <c r="C7" s="20"/>
      <c r="D7" s="20"/>
      <c r="E7" s="20"/>
      <c r="F7" s="20"/>
      <c r="G7" s="20"/>
      <c r="H7" s="20"/>
      <c r="I7" s="20"/>
      <c r="J7" s="20"/>
      <c r="K7" s="20"/>
      <c r="L7" s="20"/>
      <c r="M7" s="20"/>
      <c r="N7" s="20"/>
      <c r="O7" s="20"/>
      <c r="P7" s="20"/>
    </row>
    <row r="8" spans="1:16" s="8" customFormat="1">
      <c r="A8" s="21" t="s">
        <v>490</v>
      </c>
      <c r="B8" s="929">
        <f>MAX((B5+B6),0)</f>
        <v>1678.404</v>
      </c>
      <c r="C8" s="22"/>
      <c r="D8" s="22"/>
      <c r="E8" s="22"/>
      <c r="F8" s="22"/>
      <c r="G8" s="22"/>
      <c r="H8" s="22"/>
      <c r="I8" s="22"/>
      <c r="J8" s="22"/>
      <c r="K8" s="22"/>
      <c r="L8" s="22"/>
      <c r="M8" s="22"/>
      <c r="N8" s="22"/>
      <c r="O8" s="22"/>
      <c r="P8" s="22"/>
    </row>
    <row r="9" spans="1:16">
      <c r="B9" s="20"/>
      <c r="C9" s="20"/>
      <c r="D9" s="20"/>
      <c r="E9" s="20"/>
      <c r="F9" s="20"/>
      <c r="G9" s="20"/>
      <c r="H9" s="20"/>
      <c r="I9" s="20"/>
      <c r="J9" s="20"/>
      <c r="K9" s="20"/>
      <c r="L9" s="20"/>
      <c r="M9" s="20"/>
      <c r="N9" s="20"/>
      <c r="O9" s="20"/>
      <c r="P9" s="20"/>
    </row>
    <row r="10" spans="1:16">
      <c r="A10" s="25" t="s">
        <v>214</v>
      </c>
      <c r="B10" s="26">
        <f ca="1">'EF ele_warmte'!B12</f>
        <v>0.16752363209235635</v>
      </c>
      <c r="C10" s="27"/>
      <c r="D10" s="27"/>
      <c r="E10" s="27"/>
      <c r="F10" s="27"/>
      <c r="G10" s="27"/>
      <c r="H10" s="27"/>
      <c r="I10" s="27"/>
      <c r="J10" s="27"/>
      <c r="K10" s="27"/>
      <c r="L10" s="27"/>
      <c r="M10" s="27"/>
      <c r="N10" s="27"/>
      <c r="O10" s="27"/>
      <c r="P10" s="27"/>
    </row>
    <row r="11" spans="1:16">
      <c r="A11" s="8"/>
      <c r="B11" s="23"/>
      <c r="C11" s="23"/>
      <c r="D11" s="23"/>
      <c r="E11" s="23"/>
      <c r="F11" s="23"/>
      <c r="G11" s="23"/>
      <c r="H11" s="23"/>
      <c r="I11" s="23"/>
      <c r="J11" s="23"/>
      <c r="K11" s="23"/>
      <c r="L11" s="23"/>
      <c r="M11" s="23"/>
      <c r="N11" s="23"/>
      <c r="O11" s="23"/>
      <c r="P11" s="23"/>
    </row>
    <row r="12" spans="1:16">
      <c r="A12" s="21" t="s">
        <v>213</v>
      </c>
      <c r="B12" s="24">
        <f ca="1">B10*B8</f>
        <v>281.17233419833929</v>
      </c>
      <c r="C12" s="163"/>
      <c r="D12" s="163"/>
      <c r="E12" s="163"/>
      <c r="F12" s="163"/>
      <c r="G12" s="163"/>
      <c r="H12" s="163"/>
      <c r="I12" s="163"/>
      <c r="J12" s="163"/>
      <c r="K12" s="163"/>
      <c r="L12" s="163"/>
      <c r="M12" s="163"/>
      <c r="N12" s="163"/>
      <c r="O12" s="163"/>
      <c r="P12" s="163"/>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sheetPr codeName="Sheet5">
    <tabColor theme="5" tint="-0.249977111117893"/>
  </sheetPr>
  <dimension ref="A1:P81"/>
  <sheetViews>
    <sheetView showGridLines="0" zoomScale="80" zoomScaleNormal="80" workbookViewId="0">
      <pane xSplit="1" ySplit="3" topLeftCell="B4" activePane="bottomRight" state="frozen"/>
      <selection activeCell="B35" sqref="B35"/>
      <selection pane="topRight" activeCell="B35" sqref="B35"/>
      <selection pane="bottomLeft" activeCell="B35" sqref="B35"/>
      <selection pane="bottomRight" sqref="A1:A3"/>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5" customFormat="1" ht="17.25" thickTop="1" thickBot="1">
      <c r="A1" s="1192" t="s">
        <v>155</v>
      </c>
      <c r="B1" s="1193" t="s">
        <v>195</v>
      </c>
      <c r="C1" s="1194"/>
      <c r="D1" s="1194"/>
      <c r="E1" s="1194"/>
      <c r="F1" s="1194"/>
      <c r="G1" s="1194"/>
      <c r="H1" s="1194"/>
      <c r="I1" s="1194"/>
      <c r="J1" s="1194"/>
      <c r="K1" s="1194"/>
      <c r="L1" s="1194"/>
      <c r="M1" s="1194"/>
      <c r="N1" s="1194"/>
      <c r="O1" s="1194"/>
      <c r="P1" s="1194"/>
    </row>
    <row r="2" spans="1:16" s="335"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6" s="335"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6" s="16" customFormat="1" ht="15.75">
      <c r="A4" s="14"/>
      <c r="B4" s="15"/>
      <c r="C4" s="15"/>
      <c r="D4" s="15"/>
      <c r="E4" s="15"/>
      <c r="F4" s="15"/>
      <c r="G4" s="15"/>
      <c r="H4" s="15"/>
      <c r="I4" s="15"/>
      <c r="J4" s="15"/>
      <c r="K4" s="15"/>
      <c r="L4" s="15"/>
      <c r="M4" s="15"/>
      <c r="N4" s="15"/>
      <c r="O4" s="15"/>
      <c r="P4" s="15"/>
    </row>
    <row r="5" spans="1:16">
      <c r="A5" s="17" t="s">
        <v>557</v>
      </c>
      <c r="B5" s="31">
        <f>IF(ISERROR(SUM(HH_hh_ele_kWh,HH_rest_kWh)/1000),0,SUM(HH_hh_ele_kWh,HH_rest_kWh)/1000)</f>
        <v>58691.372432723998</v>
      </c>
      <c r="C5" s="18">
        <f>IF(ISERROR('Eigen informatie GS &amp; warmtenet'!B57),0,'Eigen informatie GS &amp; warmtenet'!B57)</f>
        <v>0</v>
      </c>
      <c r="D5" s="31">
        <f>(SUM(HH_hh_gas_kWh,HH_rest_gas_kWh)/1000)*0.902</f>
        <v>134386.95699264199</v>
      </c>
      <c r="E5" s="18">
        <f>B46*B57</f>
        <v>8059.0637505309951</v>
      </c>
      <c r="F5" s="18">
        <f>B51*B62</f>
        <v>0</v>
      </c>
      <c r="G5" s="19"/>
      <c r="H5" s="18"/>
      <c r="I5" s="18"/>
      <c r="J5" s="18">
        <f>B50*B61+C50*C61</f>
        <v>186.18641104690877</v>
      </c>
      <c r="K5" s="18"/>
      <c r="L5" s="18"/>
      <c r="M5" s="18"/>
      <c r="N5" s="18">
        <f>B48*B59+C48*C59</f>
        <v>35865.54095676211</v>
      </c>
      <c r="O5" s="18">
        <f>B69*B70*B71</f>
        <v>154.77000000000001</v>
      </c>
      <c r="P5" s="18">
        <f>B77*B78*B79/1000-B77*B78*B79/1000/B80</f>
        <v>1086.8</v>
      </c>
    </row>
    <row r="6" spans="1:16">
      <c r="A6" s="17" t="s">
        <v>639</v>
      </c>
      <c r="B6" s="780">
        <f>kWh_PV_kleiner_dan_10kW</f>
        <v>5037.1598819936517</v>
      </c>
      <c r="C6" s="781"/>
      <c r="D6" s="781"/>
      <c r="E6" s="782"/>
      <c r="F6" s="782"/>
      <c r="G6" s="782"/>
      <c r="H6" s="782"/>
      <c r="I6" s="782"/>
      <c r="J6" s="782"/>
      <c r="K6" s="782"/>
      <c r="L6" s="782"/>
      <c r="M6" s="782"/>
      <c r="N6" s="782"/>
      <c r="O6" s="782"/>
      <c r="P6" s="782"/>
    </row>
    <row r="7" spans="1:16">
      <c r="B7" s="20"/>
      <c r="C7" s="20"/>
      <c r="D7" s="20"/>
      <c r="E7" s="20"/>
      <c r="F7" s="20"/>
      <c r="G7" s="20"/>
      <c r="H7" s="20"/>
      <c r="I7" s="20"/>
      <c r="J7" s="20"/>
      <c r="K7" s="20"/>
      <c r="L7" s="20"/>
      <c r="M7" s="20"/>
      <c r="N7" s="20"/>
      <c r="O7" s="20"/>
      <c r="P7" s="20"/>
    </row>
    <row r="8" spans="1:16" s="8" customFormat="1">
      <c r="A8" s="21" t="s">
        <v>212</v>
      </c>
      <c r="B8" s="22">
        <f>B5+B6</f>
        <v>63728.532314717653</v>
      </c>
      <c r="C8" s="22">
        <f>C5</f>
        <v>0</v>
      </c>
      <c r="D8" s="22">
        <f>D5</f>
        <v>134386.95699264199</v>
      </c>
      <c r="E8" s="22">
        <f>E5</f>
        <v>8059.0637505309951</v>
      </c>
      <c r="F8" s="22">
        <f>F5</f>
        <v>0</v>
      </c>
      <c r="G8" s="22"/>
      <c r="H8" s="22"/>
      <c r="I8" s="22"/>
      <c r="J8" s="22">
        <f>J5</f>
        <v>186.18641104690877</v>
      </c>
      <c r="K8" s="22"/>
      <c r="L8" s="22">
        <f>L5</f>
        <v>0</v>
      </c>
      <c r="M8" s="22">
        <f>M5</f>
        <v>0</v>
      </c>
      <c r="N8" s="22">
        <f>N5</f>
        <v>35865.54095676211</v>
      </c>
      <c r="O8" s="22">
        <f>O5</f>
        <v>154.77000000000001</v>
      </c>
      <c r="P8" s="22">
        <f>P5</f>
        <v>1086.8</v>
      </c>
    </row>
    <row r="9" spans="1:16">
      <c r="B9" s="20"/>
      <c r="C9" s="20"/>
      <c r="D9" s="262"/>
      <c r="E9" s="20"/>
      <c r="F9" s="20"/>
      <c r="G9" s="20"/>
      <c r="H9" s="20"/>
      <c r="I9" s="20"/>
      <c r="J9" s="20"/>
      <c r="K9" s="20"/>
      <c r="L9" s="20"/>
      <c r="M9" s="20"/>
      <c r="N9" s="20"/>
      <c r="O9" s="20"/>
      <c r="P9" s="20"/>
    </row>
    <row r="10" spans="1:16">
      <c r="A10" s="25" t="s">
        <v>214</v>
      </c>
      <c r="B10" s="26">
        <f ca="1">'EF ele_warmte'!B12</f>
        <v>0.16752363209235635</v>
      </c>
      <c r="C10" s="26">
        <f ca="1">'EF ele_warmte'!B22</f>
        <v>0.23727688128042965</v>
      </c>
      <c r="D10" s="26">
        <f>EF_CO2_aardgas</f>
        <v>0.20200000000000001</v>
      </c>
      <c r="E10" s="26">
        <f>EF_VLgas_CO2</f>
        <v>0.22700000000000001</v>
      </c>
      <c r="F10" s="26">
        <f>EF_stookolie_CO2</f>
        <v>0.26700000000000002</v>
      </c>
      <c r="G10" s="26">
        <f>EF_diesel_CO2</f>
        <v>0.26700000000000002</v>
      </c>
      <c r="H10" s="26">
        <f>EF_benzine_CO2</f>
        <v>0.249</v>
      </c>
      <c r="I10" s="26">
        <f>EF_bruinkool_CO2</f>
        <v>0.35099999999999998</v>
      </c>
      <c r="J10" s="26">
        <f>EF_steenkool_CO2</f>
        <v>0.35399999999999998</v>
      </c>
      <c r="K10" s="26">
        <f>EF_anderfossiel_CO2</f>
        <v>0.26400000000000001</v>
      </c>
      <c r="L10" s="26">
        <f>'EF brandstof'!J4</f>
        <v>0</v>
      </c>
      <c r="M10" s="26">
        <f>'EF brandstof'!K4</f>
        <v>0</v>
      </c>
      <c r="N10" s="26">
        <f>'EF brandstof'!L4</f>
        <v>0</v>
      </c>
      <c r="O10" s="26">
        <v>0</v>
      </c>
      <c r="P10" s="26">
        <v>0</v>
      </c>
    </row>
    <row r="11" spans="1:16">
      <c r="A11" s="8"/>
      <c r="B11" s="23"/>
      <c r="C11" s="23"/>
      <c r="D11" s="23"/>
      <c r="E11" s="23"/>
      <c r="F11" s="23"/>
      <c r="G11" s="23"/>
      <c r="H11" s="23"/>
      <c r="I11" s="23"/>
      <c r="J11" s="23"/>
      <c r="K11" s="23"/>
      <c r="L11" s="23"/>
      <c r="M11" s="23"/>
      <c r="N11" s="23"/>
      <c r="O11" s="23"/>
      <c r="P11" s="23"/>
    </row>
    <row r="12" spans="1:16">
      <c r="A12" s="21" t="s">
        <v>213</v>
      </c>
      <c r="B12" s="24">
        <f ca="1">B10*B8</f>
        <v>10676.035201276603</v>
      </c>
      <c r="C12" s="24">
        <f ca="1">C10*C8</f>
        <v>0</v>
      </c>
      <c r="D12" s="24">
        <f>D8*D10</f>
        <v>27146.165312513684</v>
      </c>
      <c r="E12" s="24">
        <f>E10*E8</f>
        <v>1829.4074713705359</v>
      </c>
      <c r="F12" s="24">
        <f>F10*F8</f>
        <v>0</v>
      </c>
      <c r="G12" s="24"/>
      <c r="H12" s="24"/>
      <c r="I12" s="24"/>
      <c r="J12" s="24">
        <f>J10*J8</f>
        <v>65.909989510605698</v>
      </c>
      <c r="K12" s="24"/>
      <c r="L12" s="24">
        <f>L10*L8</f>
        <v>0</v>
      </c>
      <c r="M12" s="24">
        <f>M10*M8</f>
        <v>0</v>
      </c>
      <c r="N12" s="24">
        <f>N10*N8</f>
        <v>0</v>
      </c>
      <c r="O12" s="24">
        <f>O10*O8</f>
        <v>0</v>
      </c>
      <c r="P12" s="24">
        <f>P10*P8</f>
        <v>0</v>
      </c>
    </row>
    <row r="15" spans="1:16">
      <c r="A15" s="196" t="s">
        <v>501</v>
      </c>
      <c r="B15" s="206"/>
      <c r="C15" s="206"/>
      <c r="D15" s="228"/>
    </row>
    <row r="16" spans="1:16">
      <c r="A16" s="3"/>
      <c r="B16" s="44"/>
      <c r="C16" s="44"/>
      <c r="D16" s="177"/>
    </row>
    <row r="17" spans="1:7">
      <c r="A17" s="229" t="s">
        <v>215</v>
      </c>
      <c r="B17" s="205" t="s">
        <v>216</v>
      </c>
      <c r="C17" s="205" t="s">
        <v>220</v>
      </c>
      <c r="D17" s="230" t="s">
        <v>182</v>
      </c>
      <c r="E17" s="16"/>
    </row>
    <row r="18" spans="1:7">
      <c r="A18" s="174" t="s">
        <v>71</v>
      </c>
      <c r="B18" s="38">
        <f>Aantalw2001_aardgas</f>
        <v>4748</v>
      </c>
      <c r="C18" s="169" t="s">
        <v>111</v>
      </c>
      <c r="D18" s="231"/>
      <c r="E18" s="16"/>
    </row>
    <row r="19" spans="1:7">
      <c r="A19" s="174" t="s">
        <v>72</v>
      </c>
      <c r="B19" s="38">
        <f>aantalw2001_ander</f>
        <v>10</v>
      </c>
      <c r="C19" s="169" t="s">
        <v>111</v>
      </c>
      <c r="D19" s="232"/>
      <c r="E19" s="16"/>
    </row>
    <row r="20" spans="1:7">
      <c r="A20" s="174" t="s">
        <v>73</v>
      </c>
      <c r="B20" s="38">
        <f>aantalw2001_propaan</f>
        <v>189</v>
      </c>
      <c r="C20" s="170">
        <f>IF(ISERROR(B20/SUM($B$20,$B$21,$B$22)*100),0,B20/SUM($B$20,$B$21,$B$22)*100)</f>
        <v>9.7573567372225085</v>
      </c>
      <c r="D20" s="232"/>
      <c r="E20" s="16"/>
    </row>
    <row r="21" spans="1:7">
      <c r="A21" s="174" t="s">
        <v>74</v>
      </c>
      <c r="B21" s="38">
        <f>aantalw2001_elektriciteit</f>
        <v>1489</v>
      </c>
      <c r="C21" s="170">
        <f>IF(ISERROR(B21/SUM($B$20,$B$21,$B$22)*100),0,B21/SUM($B$20,$B$21,$B$22)*100)</f>
        <v>76.871450696954057</v>
      </c>
      <c r="D21" s="232"/>
      <c r="E21" s="16"/>
    </row>
    <row r="22" spans="1:7">
      <c r="A22" s="174" t="s">
        <v>75</v>
      </c>
      <c r="B22" s="38">
        <f>aantalw2001_hout</f>
        <v>259</v>
      </c>
      <c r="C22" s="170">
        <f>IF(ISERROR(B22/SUM($B$20,$B$21,$B$22)*100),0,B22/SUM($B$20,$B$21,$B$22)*100)</f>
        <v>13.371192565823439</v>
      </c>
      <c r="D22" s="232"/>
      <c r="E22" s="16"/>
    </row>
    <row r="23" spans="1:7">
      <c r="A23" s="174" t="s">
        <v>76</v>
      </c>
      <c r="B23" s="38">
        <f>aantalw2001_niet_gespec</f>
        <v>107</v>
      </c>
      <c r="C23" s="169" t="s">
        <v>111</v>
      </c>
      <c r="D23" s="231"/>
      <c r="E23" s="16"/>
    </row>
    <row r="24" spans="1:7">
      <c r="A24" s="174" t="s">
        <v>77</v>
      </c>
      <c r="B24" s="38">
        <f>aantalw2001_steenkool</f>
        <v>243</v>
      </c>
      <c r="C24" s="169" t="s">
        <v>111</v>
      </c>
      <c r="D24" s="232"/>
      <c r="E24" s="16"/>
    </row>
    <row r="25" spans="1:7">
      <c r="A25" s="174" t="s">
        <v>78</v>
      </c>
      <c r="B25" s="38">
        <f>aantalw2001_stookolie</f>
        <v>2196</v>
      </c>
      <c r="C25" s="169" t="s">
        <v>111</v>
      </c>
      <c r="D25" s="231"/>
      <c r="E25" s="53"/>
    </row>
    <row r="26" spans="1:7">
      <c r="A26" s="174" t="s">
        <v>79</v>
      </c>
      <c r="B26" s="38">
        <f>aantalw2001_WP</f>
        <v>5</v>
      </c>
      <c r="C26" s="169" t="s">
        <v>111</v>
      </c>
      <c r="D26" s="231"/>
      <c r="E26" s="16"/>
    </row>
    <row r="27" spans="1:7" s="16" customFormat="1">
      <c r="A27" s="174"/>
      <c r="B27" s="30"/>
      <c r="C27" s="37"/>
      <c r="D27" s="231"/>
    </row>
    <row r="28" spans="1:7" s="16" customFormat="1">
      <c r="A28" s="233" t="s">
        <v>665</v>
      </c>
      <c r="B28" s="38">
        <f>aantalHuishoudens2011</f>
        <v>10930</v>
      </c>
      <c r="C28" s="37"/>
      <c r="D28" s="231"/>
    </row>
    <row r="29" spans="1:7" s="16" customFormat="1">
      <c r="A29" s="233" t="s">
        <v>666</v>
      </c>
      <c r="B29" s="38">
        <f>SUM(HH_hh_gas_aantal,HH_rest_gas_aantal)</f>
        <v>7119</v>
      </c>
      <c r="C29" s="37"/>
      <c r="D29" s="231"/>
    </row>
    <row r="30" spans="1:7" s="16" customFormat="1">
      <c r="A30" s="234"/>
      <c r="B30" s="30"/>
      <c r="C30" s="37"/>
      <c r="D30" s="235"/>
    </row>
    <row r="31" spans="1:7">
      <c r="A31" s="175" t="s">
        <v>667</v>
      </c>
      <c r="B31" s="171" t="s">
        <v>216</v>
      </c>
      <c r="C31" s="168" t="s">
        <v>217</v>
      </c>
      <c r="D31" s="177"/>
      <c r="G31" s="16"/>
    </row>
    <row r="32" spans="1:7">
      <c r="A32" s="174" t="s">
        <v>71</v>
      </c>
      <c r="B32" s="38">
        <f>B29</f>
        <v>7119</v>
      </c>
      <c r="C32" s="170">
        <f>IF(ISERROR(B32/SUM($B$32,$B$34,$B$35,$B$36,$B$38,$B$39)*100),0,B32/SUM($B$32,$B$34,$B$35,$B$36,$B$38,$B$39)*100)</f>
        <v>65.474110181182752</v>
      </c>
      <c r="D32" s="236"/>
      <c r="G32" s="16"/>
    </row>
    <row r="33" spans="1:7">
      <c r="A33" s="174" t="s">
        <v>72</v>
      </c>
      <c r="B33" s="35" t="s">
        <v>111</v>
      </c>
      <c r="C33" s="170"/>
      <c r="D33" s="236"/>
      <c r="G33" s="16"/>
    </row>
    <row r="34" spans="1:7">
      <c r="A34" s="174" t="s">
        <v>73</v>
      </c>
      <c r="B34" s="34">
        <f>IF((($B$28-$B$32-$B$39-$B$77-$B$38)*C20/100)&lt;0,0,($B$28-$B$32-$B$39-$B$77-$B$38)*C20/100)</f>
        <v>365.71548786783683</v>
      </c>
      <c r="C34" s="170">
        <f>IF(ISERROR(B34/SUM($B$32,$B$34,$B$35,$B$36,$B$38,$B$39)*100),0,B34/SUM($B$32,$B$34,$B$35,$B$36,$B$38,$B$39)*100)</f>
        <v>3.3635196161853851</v>
      </c>
      <c r="D34" s="236"/>
      <c r="G34" s="16"/>
    </row>
    <row r="35" spans="1:7">
      <c r="A35" s="174" t="s">
        <v>74</v>
      </c>
      <c r="B35" s="34">
        <f>IF((($B$28-$B$32-$B$39-$B$77-$B$38)*C21/100)&lt;0,0,($B$28-$B$32-$B$39-$B$77-$B$38)*C21/100)</f>
        <v>2881.2188435725348</v>
      </c>
      <c r="C35" s="170">
        <f>IF(ISERROR(B35/SUM($B$32,$B$34,$B$35,$B$36,$B$38,$B$39)*100),0,B35/SUM($B$32,$B$34,$B$35,$B$36,$B$38,$B$39)*100)</f>
        <v>26.498839727513428</v>
      </c>
      <c r="D35" s="236"/>
      <c r="G35" s="16"/>
    </row>
    <row r="36" spans="1:7">
      <c r="A36" s="174" t="s">
        <v>75</v>
      </c>
      <c r="B36" s="34">
        <f>IF((($B$28-$B$32-$B$39-$B$77-$B$38)*C22/100)&lt;0,0,($B$28-$B$32-$B$39-$B$77-$B$38)*C22/100)</f>
        <v>501.16566855962833</v>
      </c>
      <c r="C36" s="170">
        <f>IF(ISERROR(B36/SUM($B$32,$B$34,$B$35,$B$36,$B$38,$B$39)*100),0,B36/SUM($B$32,$B$34,$B$35,$B$36,$B$38,$B$39)*100)</f>
        <v>4.6092676221799724</v>
      </c>
      <c r="D36" s="236"/>
      <c r="G36" s="16"/>
    </row>
    <row r="37" spans="1:7">
      <c r="A37" s="174" t="s">
        <v>76</v>
      </c>
      <c r="B37" s="35" t="s">
        <v>111</v>
      </c>
      <c r="C37" s="170"/>
      <c r="D37" s="176"/>
      <c r="G37" s="16"/>
    </row>
    <row r="38" spans="1:7">
      <c r="A38" s="174" t="s">
        <v>77</v>
      </c>
      <c r="B38" s="34">
        <f>IF((B24-(B29-B18)*0.1)&lt;0,0,B24-(B29-B18)*0.1)</f>
        <v>5.8999999999999773</v>
      </c>
      <c r="C38" s="170">
        <f>IF(ISERROR(B38/SUM($B$32,$B$34,$B$35,$B$36,$B$38,$B$39)*100),0,B38/SUM($B$32,$B$34,$B$35,$B$36,$B$38,$B$39)*100)</f>
        <v>5.4262852938471245E-2</v>
      </c>
      <c r="D38" s="237"/>
      <c r="G38" s="16"/>
    </row>
    <row r="39" spans="1:7">
      <c r="A39" s="174" t="s">
        <v>78</v>
      </c>
      <c r="B39" s="34">
        <f>IF((B25-(B29-B18))&lt;0,0,B25-(B29-B18)*0.9)</f>
        <v>0</v>
      </c>
      <c r="C39" s="170">
        <f>IF(ISERROR(B39/SUM($B$32,$B$34,$B$35,$B$36,$B$38,$B$39)*100),0,B39/SUM($B$32,$B$34,$B$35,$B$36,$B$38,$B$39)*100)</f>
        <v>0</v>
      </c>
      <c r="D39" s="237"/>
      <c r="G39" s="16"/>
    </row>
    <row r="40" spans="1:7">
      <c r="A40" s="174" t="s">
        <v>79</v>
      </c>
      <c r="B40" s="34" t="s">
        <v>219</v>
      </c>
      <c r="C40" s="170"/>
      <c r="D40" s="236"/>
      <c r="G40" s="16"/>
    </row>
    <row r="41" spans="1:7">
      <c r="A41" s="3"/>
      <c r="B41" s="44"/>
      <c r="C41" s="44"/>
      <c r="D41" s="177"/>
    </row>
    <row r="42" spans="1:7">
      <c r="A42" s="3"/>
      <c r="B42" s="44"/>
      <c r="C42" s="44"/>
      <c r="D42" s="177"/>
    </row>
    <row r="43" spans="1:7">
      <c r="A43" s="175" t="s">
        <v>493</v>
      </c>
      <c r="B43" s="172" t="s">
        <v>668</v>
      </c>
      <c r="C43" s="172" t="s">
        <v>669</v>
      </c>
      <c r="D43" s="177"/>
    </row>
    <row r="44" spans="1:7">
      <c r="A44" s="174" t="s">
        <v>71</v>
      </c>
      <c r="B44" s="34">
        <f t="shared" ref="B44:B52" si="0">B32</f>
        <v>7119</v>
      </c>
      <c r="C44" s="35" t="s">
        <v>111</v>
      </c>
      <c r="D44" s="177"/>
    </row>
    <row r="45" spans="1:7">
      <c r="A45" s="174" t="s">
        <v>72</v>
      </c>
      <c r="B45" s="34" t="str">
        <f t="shared" si="0"/>
        <v>-</v>
      </c>
      <c r="C45" s="35" t="s">
        <v>111</v>
      </c>
      <c r="D45" s="177"/>
    </row>
    <row r="46" spans="1:7">
      <c r="A46" s="174" t="s">
        <v>73</v>
      </c>
      <c r="B46" s="34">
        <f t="shared" si="0"/>
        <v>365.71548786783683</v>
      </c>
      <c r="C46" s="35" t="s">
        <v>111</v>
      </c>
      <c r="D46" s="177"/>
    </row>
    <row r="47" spans="1:7">
      <c r="A47" s="174" t="s">
        <v>74</v>
      </c>
      <c r="B47" s="34">
        <f t="shared" si="0"/>
        <v>2881.2188435725348</v>
      </c>
      <c r="C47" s="35" t="s">
        <v>111</v>
      </c>
      <c r="D47" s="177"/>
    </row>
    <row r="48" spans="1:7">
      <c r="A48" s="174" t="s">
        <v>75</v>
      </c>
      <c r="B48" s="34">
        <f t="shared" si="0"/>
        <v>501.16566855962833</v>
      </c>
      <c r="C48" s="34">
        <f>B48*10</f>
        <v>5011.6566855962828</v>
      </c>
      <c r="D48" s="237"/>
    </row>
    <row r="49" spans="1:6">
      <c r="A49" s="174" t="s">
        <v>76</v>
      </c>
      <c r="B49" s="34" t="str">
        <f t="shared" si="0"/>
        <v>-</v>
      </c>
      <c r="C49" s="35" t="s">
        <v>111</v>
      </c>
      <c r="D49" s="237"/>
    </row>
    <row r="50" spans="1:6">
      <c r="A50" s="174" t="s">
        <v>77</v>
      </c>
      <c r="B50" s="34">
        <f t="shared" si="0"/>
        <v>5.8999999999999773</v>
      </c>
      <c r="C50" s="34">
        <f>B50*2</f>
        <v>11.799999999999955</v>
      </c>
      <c r="D50" s="237"/>
    </row>
    <row r="51" spans="1:6">
      <c r="A51" s="174" t="s">
        <v>78</v>
      </c>
      <c r="B51" s="34">
        <f t="shared" si="0"/>
        <v>0</v>
      </c>
      <c r="C51" s="35" t="s">
        <v>111</v>
      </c>
      <c r="D51" s="177"/>
    </row>
    <row r="52" spans="1:6">
      <c r="A52" s="174" t="s">
        <v>79</v>
      </c>
      <c r="B52" s="34" t="str">
        <f t="shared" si="0"/>
        <v>zie verder</v>
      </c>
      <c r="C52" s="35" t="s">
        <v>111</v>
      </c>
      <c r="D52" s="177"/>
    </row>
    <row r="53" spans="1:6">
      <c r="A53" s="3"/>
      <c r="B53" s="44"/>
      <c r="C53" s="44"/>
      <c r="D53" s="177"/>
    </row>
    <row r="54" spans="1:6">
      <c r="A54" s="175" t="s">
        <v>496</v>
      </c>
      <c r="B54" s="168" t="s">
        <v>704</v>
      </c>
      <c r="C54" s="168" t="s">
        <v>705</v>
      </c>
      <c r="D54" s="303" t="s">
        <v>703</v>
      </c>
      <c r="E54" s="165"/>
      <c r="F54" s="165"/>
    </row>
    <row r="55" spans="1:6">
      <c r="A55" s="174" t="s">
        <v>71</v>
      </c>
      <c r="B55" s="166">
        <v>14.426485935817475</v>
      </c>
      <c r="C55" s="173" t="s">
        <v>111</v>
      </c>
      <c r="D55" s="176"/>
      <c r="E55" s="166"/>
      <c r="F55" s="166"/>
    </row>
    <row r="56" spans="1:6">
      <c r="A56" s="174" t="s">
        <v>72</v>
      </c>
      <c r="B56" s="173" t="s">
        <v>111</v>
      </c>
      <c r="C56" s="173" t="s">
        <v>111</v>
      </c>
      <c r="D56" s="176"/>
      <c r="E56" s="166"/>
      <c r="F56" s="166"/>
    </row>
    <row r="57" spans="1:6">
      <c r="A57" s="174" t="s">
        <v>73</v>
      </c>
      <c r="B57" s="166">
        <v>22.036430006058151</v>
      </c>
      <c r="C57" s="173" t="s">
        <v>111</v>
      </c>
      <c r="D57" s="176"/>
      <c r="E57" s="166"/>
      <c r="F57" s="166"/>
    </row>
    <row r="58" spans="1:6">
      <c r="A58" s="174" t="s">
        <v>74</v>
      </c>
      <c r="B58" s="166">
        <v>12.369136601247668</v>
      </c>
      <c r="C58" s="173" t="s">
        <v>111</v>
      </c>
      <c r="D58" s="176"/>
      <c r="E58" s="166"/>
      <c r="F58" s="166"/>
    </row>
    <row r="59" spans="1:6">
      <c r="A59" s="174" t="s">
        <v>75</v>
      </c>
      <c r="B59" s="173">
        <v>9.301621274555453</v>
      </c>
      <c r="C59" s="173">
        <v>6.2262620266253235</v>
      </c>
      <c r="D59" s="176"/>
      <c r="E59" s="166"/>
      <c r="F59" s="166"/>
    </row>
    <row r="60" spans="1:6">
      <c r="A60" s="174" t="s">
        <v>76</v>
      </c>
      <c r="B60" s="173" t="s">
        <v>111</v>
      </c>
      <c r="C60" s="173" t="s">
        <v>111</v>
      </c>
      <c r="D60" s="176"/>
      <c r="E60" s="166"/>
      <c r="F60" s="166"/>
    </row>
    <row r="61" spans="1:6">
      <c r="A61" s="174" t="s">
        <v>77</v>
      </c>
      <c r="B61" s="166">
        <v>14.253824185783198</v>
      </c>
      <c r="C61" s="173">
        <v>8.6515973178634429</v>
      </c>
      <c r="D61" s="176"/>
      <c r="E61" s="166"/>
      <c r="F61" s="166"/>
    </row>
    <row r="62" spans="1:6">
      <c r="A62" s="174" t="s">
        <v>78</v>
      </c>
      <c r="B62" s="173">
        <v>19.739884289637082</v>
      </c>
      <c r="C62" s="173" t="s">
        <v>111</v>
      </c>
      <c r="D62" s="177"/>
      <c r="E62" s="166"/>
      <c r="F62" s="166"/>
    </row>
    <row r="63" spans="1:6">
      <c r="A63" s="174" t="s">
        <v>79</v>
      </c>
      <c r="B63" s="173" t="s">
        <v>219</v>
      </c>
      <c r="C63" s="173" t="s">
        <v>111</v>
      </c>
      <c r="D63" s="177"/>
      <c r="E63" s="166"/>
      <c r="F63" s="166"/>
    </row>
    <row r="64" spans="1:6">
      <c r="A64" s="178"/>
      <c r="B64" s="238"/>
      <c r="C64" s="238"/>
      <c r="D64" s="179"/>
      <c r="E64" s="166"/>
      <c r="F64" s="166"/>
    </row>
    <row r="65" spans="1:6">
      <c r="E65" s="16"/>
      <c r="F65" s="16"/>
    </row>
    <row r="66" spans="1:6">
      <c r="A66" s="197" t="s">
        <v>494</v>
      </c>
      <c r="B66" s="206"/>
      <c r="C66" s="206"/>
      <c r="D66" s="207"/>
    </row>
    <row r="67" spans="1:6" s="16" customFormat="1">
      <c r="A67" s="175"/>
      <c r="B67" s="33"/>
      <c r="C67" s="33"/>
      <c r="D67" s="208"/>
    </row>
    <row r="68" spans="1:6" s="16" customFormat="1">
      <c r="A68" s="209"/>
      <c r="B68" s="210"/>
      <c r="C68" s="211" t="s">
        <v>379</v>
      </c>
      <c r="D68" s="225" t="s">
        <v>182</v>
      </c>
    </row>
    <row r="69" spans="1:6">
      <c r="A69" s="174" t="s">
        <v>266</v>
      </c>
      <c r="B69" s="321">
        <f>aantalZB_NB_wonen+aantalZB_NB_wonen_met_kantoor+ZB_HH_bestaande_bouw</f>
        <v>99</v>
      </c>
      <c r="C69" s="44"/>
      <c r="D69" s="176"/>
    </row>
    <row r="70" spans="1:6">
      <c r="A70" s="174" t="s">
        <v>491</v>
      </c>
      <c r="B70" s="317">
        <v>4.2</v>
      </c>
      <c r="C70" s="44"/>
      <c r="D70" s="311" t="s">
        <v>525</v>
      </c>
    </row>
    <row r="71" spans="1:6">
      <c r="A71" s="248" t="s">
        <v>492</v>
      </c>
      <c r="B71" s="322">
        <f>1.34/3.6</f>
        <v>0.37222222222222223</v>
      </c>
      <c r="C71" s="44" t="s">
        <v>218</v>
      </c>
      <c r="D71" s="311" t="s">
        <v>525</v>
      </c>
    </row>
    <row r="72" spans="1:6">
      <c r="A72" s="178"/>
      <c r="B72" s="249"/>
      <c r="C72" s="181"/>
      <c r="D72" s="182"/>
    </row>
    <row r="73" spans="1:6">
      <c r="D73" s="167"/>
    </row>
    <row r="74" spans="1:6">
      <c r="A74" s="197" t="s">
        <v>495</v>
      </c>
      <c r="B74" s="206"/>
      <c r="C74" s="206"/>
      <c r="D74" s="207"/>
    </row>
    <row r="75" spans="1:6">
      <c r="A75" s="175"/>
      <c r="B75" s="33"/>
      <c r="C75" s="33"/>
      <c r="D75" s="212"/>
    </row>
    <row r="76" spans="1:6">
      <c r="A76" s="186"/>
      <c r="B76" s="185"/>
      <c r="C76" s="211" t="s">
        <v>379</v>
      </c>
      <c r="D76" s="226" t="s">
        <v>182</v>
      </c>
    </row>
    <row r="77" spans="1:6">
      <c r="A77" s="174" t="s">
        <v>266</v>
      </c>
      <c r="B77" s="321">
        <f>aantalWP_NB_wonen+aantalWP_NB_wonen_met_kantoor+WP_HH_bestaande_bouw</f>
        <v>57</v>
      </c>
      <c r="C77" s="33"/>
      <c r="D77" s="180"/>
    </row>
    <row r="78" spans="1:6">
      <c r="A78" s="174" t="s">
        <v>461</v>
      </c>
      <c r="B78" s="317">
        <v>13</v>
      </c>
      <c r="C78" s="33" t="s">
        <v>263</v>
      </c>
      <c r="D78" s="311" t="s">
        <v>525</v>
      </c>
    </row>
    <row r="79" spans="1:6">
      <c r="A79" s="174" t="s">
        <v>462</v>
      </c>
      <c r="B79" s="317">
        <v>2000</v>
      </c>
      <c r="C79" s="33" t="s">
        <v>265</v>
      </c>
      <c r="D79" s="311" t="s">
        <v>525</v>
      </c>
    </row>
    <row r="80" spans="1:6">
      <c r="A80" s="174" t="s">
        <v>422</v>
      </c>
      <c r="B80" s="317">
        <v>3.75</v>
      </c>
      <c r="C80" s="44"/>
      <c r="D80" s="311" t="s">
        <v>525</v>
      </c>
    </row>
    <row r="81" spans="1:4">
      <c r="A81" s="4"/>
      <c r="B81" s="181"/>
      <c r="C81" s="181"/>
      <c r="D81" s="179"/>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sheetPr codeName="Sheet6">
    <tabColor theme="5" tint="-0.249977111117893"/>
  </sheetPr>
  <dimension ref="A1:R55"/>
  <sheetViews>
    <sheetView showGridLines="0" topLeftCell="D1" zoomScale="80" zoomScaleNormal="80" workbookViewId="0">
      <selection activeCell="Q13" sqref="Q13"/>
    </sheetView>
  </sheetViews>
  <sheetFormatPr defaultColWidth="9.140625" defaultRowHeight="15"/>
  <cols>
    <col min="1" max="1" width="67.5703125" style="16" customWidth="1"/>
    <col min="2" max="2" width="31.85546875" style="16" customWidth="1"/>
    <col min="3" max="3" width="34" style="16" customWidth="1"/>
    <col min="4" max="4" width="64.85546875" style="16" customWidth="1"/>
    <col min="5" max="5" width="25.5703125" style="16" customWidth="1"/>
    <col min="6" max="6" width="28.140625" style="16" bestFit="1"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156</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254"/>
      <c r="G4" s="15"/>
      <c r="H4" s="15"/>
      <c r="I4" s="15"/>
      <c r="J4" s="15"/>
      <c r="K4" s="15"/>
      <c r="L4" s="15"/>
      <c r="M4" s="15"/>
      <c r="N4" s="15"/>
      <c r="O4" s="15"/>
      <c r="P4" s="15"/>
      <c r="R4" s="6"/>
    </row>
    <row r="5" spans="1:18">
      <c r="A5" s="17" t="s">
        <v>259</v>
      </c>
      <c r="B5" s="31">
        <f>SUM(B6:B12)</f>
        <v>26830.484437582942</v>
      </c>
      <c r="C5" s="18">
        <f>IF(ISERROR('Eigen informatie GS &amp; warmtenet'!B58),0,'Eigen informatie GS &amp; warmtenet'!B58)</f>
        <v>0</v>
      </c>
      <c r="D5" s="31">
        <f>SUM(D6:D12)</f>
        <v>31135.769353326847</v>
      </c>
      <c r="E5" s="18">
        <f>SUM(E6:E12)</f>
        <v>315.5133936626039</v>
      </c>
      <c r="F5" s="18">
        <f>SUM(F6:F12)</f>
        <v>5371.2704825278433</v>
      </c>
      <c r="G5" s="19"/>
      <c r="H5" s="18"/>
      <c r="I5" s="18"/>
      <c r="J5" s="18">
        <f>SUM(J6:J12)</f>
        <v>0</v>
      </c>
      <c r="K5" s="18"/>
      <c r="L5" s="18"/>
      <c r="M5" s="18"/>
      <c r="N5" s="18">
        <f>SUM(N6:N12)</f>
        <v>2045.8960398571189</v>
      </c>
      <c r="O5" s="18">
        <f>B38*B39*B40</f>
        <v>0</v>
      </c>
      <c r="P5" s="18">
        <f>B46*B47*B48/1000-B46*B47*B48/1000/B49</f>
        <v>0</v>
      </c>
      <c r="R5" s="33"/>
    </row>
    <row r="6" spans="1:18">
      <c r="A6" s="33" t="s">
        <v>54</v>
      </c>
      <c r="B6" s="38">
        <f>B26</f>
        <v>7283.3964784924901</v>
      </c>
      <c r="C6" s="34"/>
      <c r="D6" s="38">
        <f>IF(ISERROR(TER_kantoor_gas_kWh/1000),0,TER_kantoor_gas_kWh/1000)*0.902</f>
        <v>5715.6984743793628</v>
      </c>
      <c r="E6" s="34">
        <f>$C$26*'E Balans VL '!I12/100/3.6*1000000</f>
        <v>11.95352978977091</v>
      </c>
      <c r="F6" s="34">
        <f>$C$26*('E Balans VL '!L12+'E Balans VL '!N12)/100/3.6*1000000</f>
        <v>858.54107580124196</v>
      </c>
      <c r="G6" s="35"/>
      <c r="H6" s="34"/>
      <c r="I6" s="34"/>
      <c r="J6" s="34">
        <f>$C$26*('E Balans VL '!D12+'E Balans VL '!E12)/100/3.6*1000000</f>
        <v>0</v>
      </c>
      <c r="K6" s="34"/>
      <c r="L6" s="34"/>
      <c r="M6" s="34"/>
      <c r="N6" s="34">
        <f>$C$26*'E Balans VL '!Y12/100/3.6*1000000</f>
        <v>1.4715757687734996</v>
      </c>
      <c r="O6" s="34"/>
      <c r="P6" s="34"/>
      <c r="R6" s="33"/>
    </row>
    <row r="7" spans="1:18">
      <c r="A7" s="33" t="s">
        <v>53</v>
      </c>
      <c r="B7" s="38">
        <f t="shared" ref="B7:B12" si="0">B27</f>
        <v>4036.4610949647699</v>
      </c>
      <c r="C7" s="34"/>
      <c r="D7" s="38">
        <f>IF(ISERROR(TER_horeca_gas_kWh/1000),0,TER_horeca_gas_kWh/1000)*0.902</f>
        <v>9009.7129926689686</v>
      </c>
      <c r="E7" s="34">
        <f>$C$27*'E Balans VL '!I9/100/3.6*1000000</f>
        <v>209.46312237115066</v>
      </c>
      <c r="F7" s="34">
        <f>$C$27*('E Balans VL '!L9+'E Balans VL '!N9)/100/3.6*1000000</f>
        <v>921.12335074164707</v>
      </c>
      <c r="G7" s="35"/>
      <c r="H7" s="34"/>
      <c r="I7" s="34"/>
      <c r="J7" s="34">
        <f>$C$27*('E Balans VL '!D9+'E Balans VL '!E9)/100/3.6*1000000</f>
        <v>0</v>
      </c>
      <c r="K7" s="34"/>
      <c r="L7" s="34"/>
      <c r="M7" s="34"/>
      <c r="N7" s="34">
        <f>$C$27*'E Balans VL '!Y9/100/3.6*1000000</f>
        <v>0.42624844183928146</v>
      </c>
      <c r="O7" s="34"/>
      <c r="P7" s="34"/>
      <c r="R7" s="33"/>
    </row>
    <row r="8" spans="1:18">
      <c r="A8" s="6" t="s">
        <v>52</v>
      </c>
      <c r="B8" s="38">
        <f t="shared" si="0"/>
        <v>9477.3215892639491</v>
      </c>
      <c r="C8" s="34"/>
      <c r="D8" s="38">
        <f>IF(ISERROR(TER_handel_gas_kWh/1000),0,TER_handel_gas_kWh/1000)*0.902</f>
        <v>4872.125594286229</v>
      </c>
      <c r="E8" s="34">
        <f>$C$28*'E Balans VL '!I13/100/3.6*1000000</f>
        <v>51.036541366220774</v>
      </c>
      <c r="F8" s="34">
        <f>$C$28*('E Balans VL '!L13+'E Balans VL '!N13)/100/3.6*1000000</f>
        <v>1932.7075126820926</v>
      </c>
      <c r="G8" s="35"/>
      <c r="H8" s="34"/>
      <c r="I8" s="34"/>
      <c r="J8" s="34">
        <f>$C$28*('E Balans VL '!D13+'E Balans VL '!E13)/100/3.6*1000000</f>
        <v>0</v>
      </c>
      <c r="K8" s="34"/>
      <c r="L8" s="34"/>
      <c r="M8" s="34"/>
      <c r="N8" s="34">
        <f>$C$28*'E Balans VL '!Y13/100/3.6*1000000</f>
        <v>47.125715433269626</v>
      </c>
      <c r="O8" s="34"/>
      <c r="P8" s="34"/>
      <c r="R8" s="33"/>
    </row>
    <row r="9" spans="1:18">
      <c r="A9" s="33" t="s">
        <v>51</v>
      </c>
      <c r="B9" s="38">
        <f t="shared" si="0"/>
        <v>713.85492469576593</v>
      </c>
      <c r="C9" s="34"/>
      <c r="D9" s="38">
        <f>IF(ISERROR(TER_gezond_gas_kWh/1000),0,TER_gezond_gas_kWh/1000)*0.902</f>
        <v>1566.4297369638007</v>
      </c>
      <c r="E9" s="34">
        <f>$C$29*'E Balans VL '!I10/100/3.6*1000000</f>
        <v>0.70743834829811081</v>
      </c>
      <c r="F9" s="34">
        <f>$C$29*('E Balans VL '!L10+'E Balans VL '!N10)/100/3.6*1000000</f>
        <v>247.68708279061445</v>
      </c>
      <c r="G9" s="35"/>
      <c r="H9" s="34"/>
      <c r="I9" s="34"/>
      <c r="J9" s="34">
        <f>$C$29*('E Balans VL '!D10+'E Balans VL '!E10)/100/3.6*1000000</f>
        <v>0</v>
      </c>
      <c r="K9" s="34"/>
      <c r="L9" s="34"/>
      <c r="M9" s="34"/>
      <c r="N9" s="34">
        <f>$C$29*'E Balans VL '!Y10/100/3.6*1000000</f>
        <v>6.1512260451477738</v>
      </c>
      <c r="O9" s="34"/>
      <c r="P9" s="34"/>
      <c r="R9" s="33"/>
    </row>
    <row r="10" spans="1:18">
      <c r="A10" s="33" t="s">
        <v>50</v>
      </c>
      <c r="B10" s="38">
        <f t="shared" si="0"/>
        <v>3242.7585352463698</v>
      </c>
      <c r="C10" s="34"/>
      <c r="D10" s="38">
        <f>IF(ISERROR(TER_ander_gas_kWh/1000),0,TER_ander_gas_kWh/1000)*0.902</f>
        <v>4569.5329090076566</v>
      </c>
      <c r="E10" s="34">
        <f>$C$30*'E Balans VL '!I14/100/3.6*1000000</f>
        <v>26.529005724660934</v>
      </c>
      <c r="F10" s="34">
        <f>$C$30*('E Balans VL '!L14+'E Balans VL '!N14)/100/3.6*1000000</f>
        <v>948.05057753833808</v>
      </c>
      <c r="G10" s="35"/>
      <c r="H10" s="34"/>
      <c r="I10" s="34"/>
      <c r="J10" s="34">
        <f>$C$30*('E Balans VL '!D14+'E Balans VL '!E14)/100/3.6*1000000</f>
        <v>0</v>
      </c>
      <c r="K10" s="34"/>
      <c r="L10" s="34"/>
      <c r="M10" s="34"/>
      <c r="N10" s="34">
        <f>$C$30*'E Balans VL '!Y14/100/3.6*1000000</f>
        <v>1870.646188966145</v>
      </c>
      <c r="O10" s="34"/>
      <c r="P10" s="34"/>
      <c r="R10" s="33"/>
    </row>
    <row r="11" spans="1:18">
      <c r="A11" s="33" t="s">
        <v>55</v>
      </c>
      <c r="B11" s="38">
        <f t="shared" si="0"/>
        <v>264.15419376833</v>
      </c>
      <c r="C11" s="34"/>
      <c r="D11" s="38">
        <f>IF(ISERROR(TER_onderwijs_gas_kWh/1000),0,TER_onderwijs_gas_kWh/1000)*0.902</f>
        <v>759.98339676185481</v>
      </c>
      <c r="E11" s="34">
        <f>$C$31*'E Balans VL '!I11/100/3.6*1000000</f>
        <v>0.16281349926679103</v>
      </c>
      <c r="F11" s="34">
        <f>$C$31*('E Balans VL '!L11+'E Balans VL '!N11)/100/3.6*1000000</f>
        <v>102.12628920065256</v>
      </c>
      <c r="G11" s="35"/>
      <c r="H11" s="34"/>
      <c r="I11" s="34"/>
      <c r="J11" s="34">
        <f>$C$31*('E Balans VL '!D11+'E Balans VL '!E11)/100/3.6*1000000</f>
        <v>0</v>
      </c>
      <c r="K11" s="34"/>
      <c r="L11" s="34"/>
      <c r="M11" s="34"/>
      <c r="N11" s="34">
        <f>$C$31*'E Balans VL '!Y11/100/3.6*1000000</f>
        <v>0.85923698529329495</v>
      </c>
      <c r="O11" s="34"/>
      <c r="P11" s="34"/>
      <c r="R11" s="33"/>
    </row>
    <row r="12" spans="1:18">
      <c r="A12" s="33" t="s">
        <v>260</v>
      </c>
      <c r="B12" s="38">
        <f t="shared" si="0"/>
        <v>1812.5376211512701</v>
      </c>
      <c r="C12" s="34"/>
      <c r="D12" s="38">
        <f>IF(ISERROR(TER_rest_gas_kWh/1000),0,TER_rest_gas_kWh/1000)*0.902</f>
        <v>4642.286249258972</v>
      </c>
      <c r="E12" s="34">
        <f>$C$32*'E Balans VL '!I8/100/3.6*1000000</f>
        <v>15.660942563235739</v>
      </c>
      <c r="F12" s="34">
        <f>$C$32*('E Balans VL '!L8+'E Balans VL '!N8)/100/3.6*1000000</f>
        <v>361.03459377325595</v>
      </c>
      <c r="G12" s="35"/>
      <c r="H12" s="34"/>
      <c r="I12" s="34"/>
      <c r="J12" s="34">
        <f>$C$32*('E Balans VL '!D8+'E Balans VL '!E8)/100/3.6*1000000</f>
        <v>0</v>
      </c>
      <c r="K12" s="34"/>
      <c r="L12" s="34"/>
      <c r="M12" s="34"/>
      <c r="N12" s="34">
        <f>$C$32*'E Balans VL '!Y8/100/3.6*1000000</f>
        <v>119.21584821665023</v>
      </c>
      <c r="O12" s="34"/>
      <c r="P12" s="34"/>
      <c r="R12" s="33"/>
    </row>
    <row r="13" spans="1:18">
      <c r="A13" s="17" t="s">
        <v>502</v>
      </c>
      <c r="B13" s="250">
        <f ca="1">'lokale energieproductie'!N91+'lokale energieproductie'!N60</f>
        <v>16924.5</v>
      </c>
      <c r="C13" s="250">
        <f ca="1">'lokale energieproductie'!O91+'lokale energieproductie'!O60</f>
        <v>22.5</v>
      </c>
      <c r="D13" s="312">
        <f ca="1">('lokale energieproductie'!P60+'lokale energieproductie'!P91)*(-1)</f>
        <v>-30</v>
      </c>
      <c r="E13" s="251"/>
      <c r="F13" s="312">
        <f ca="1">('lokale energieproductie'!S60+'lokale energieproductie'!S91)*(-1)</f>
        <v>0</v>
      </c>
      <c r="G13" s="252"/>
      <c r="H13" s="251"/>
      <c r="I13" s="251"/>
      <c r="J13" s="251"/>
      <c r="K13" s="251"/>
      <c r="L13" s="312">
        <f ca="1">('lokale energieproductie'!U60+'lokale energieproductie'!T60+'lokale energieproductie'!U91+'lokale energieproductie'!T91)*(-1)</f>
        <v>0</v>
      </c>
      <c r="M13" s="251"/>
      <c r="N13" s="312">
        <f ca="1">('lokale energieproductie'!Q60+'lokale energieproductie'!R60+'lokale energieproductie'!V60+'lokale energieproductie'!Q91+'lokale energieproductie'!R91+'lokale energieproductie'!V91)*(-1)</f>
        <v>-48342.857142857152</v>
      </c>
      <c r="O13" s="251"/>
      <c r="P13" s="251"/>
      <c r="R13" s="33"/>
    </row>
    <row r="14" spans="1:18">
      <c r="A14" s="17" t="s">
        <v>516</v>
      </c>
      <c r="B14" s="250">
        <f>('Eigen gebouwen'!B15)*(-1)</f>
        <v>0</v>
      </c>
      <c r="C14" s="250">
        <f>('Eigen gebouwen'!C15)*(-1)</f>
        <v>0</v>
      </c>
      <c r="D14" s="250">
        <f>('Eigen gebouwen'!D15)*(-1)</f>
        <v>0</v>
      </c>
      <c r="E14" s="250">
        <f>('Eigen gebouwen'!E15)*(-1)</f>
        <v>0</v>
      </c>
      <c r="F14" s="250">
        <f>('Eigen gebouwen'!F15)*(-1)</f>
        <v>0</v>
      </c>
      <c r="G14" s="250">
        <f>('Eigen gebouwen'!G15)*(-1)</f>
        <v>0</v>
      </c>
      <c r="H14" s="250">
        <f>('Eigen gebouwen'!H15)*(-1)</f>
        <v>0</v>
      </c>
      <c r="I14" s="250">
        <f>('Eigen gebouwen'!I15)*(-1)</f>
        <v>0</v>
      </c>
      <c r="J14" s="250">
        <f>('Eigen gebouwen'!J15)*(-1)</f>
        <v>0</v>
      </c>
      <c r="K14" s="250">
        <f>('Eigen gebouwen'!K15)*(-1)</f>
        <v>0</v>
      </c>
      <c r="L14" s="250">
        <f>('Eigen gebouwen'!L15)*(-1)</f>
        <v>0</v>
      </c>
      <c r="M14" s="250">
        <f>('Eigen gebouwen'!M15)*(-1)</f>
        <v>0</v>
      </c>
      <c r="N14" s="250">
        <f>('Eigen gebouwen'!N15)*(-1)</f>
        <v>0</v>
      </c>
      <c r="O14" s="250"/>
      <c r="P14" s="250"/>
      <c r="R14" s="33"/>
    </row>
    <row r="15" spans="1:18">
      <c r="A15" s="33"/>
      <c r="B15" s="30"/>
      <c r="C15" s="30"/>
      <c r="D15" s="253"/>
      <c r="E15" s="30"/>
      <c r="F15" s="30"/>
      <c r="G15" s="29"/>
      <c r="H15" s="30"/>
      <c r="I15" s="30"/>
      <c r="J15" s="30"/>
      <c r="K15" s="30"/>
      <c r="L15" s="30"/>
      <c r="M15" s="30"/>
      <c r="N15" s="30"/>
      <c r="O15" s="30"/>
      <c r="P15" s="30"/>
      <c r="R15" s="33"/>
    </row>
    <row r="16" spans="1:18">
      <c r="A16" s="21" t="s">
        <v>261</v>
      </c>
      <c r="B16" s="22">
        <f t="shared" ref="B16:N16" ca="1" si="1">MAX((B5+B13+B14),0)</f>
        <v>43754.984437582942</v>
      </c>
      <c r="C16" s="22">
        <f t="shared" ca="1" si="1"/>
        <v>22.5</v>
      </c>
      <c r="D16" s="22">
        <f t="shared" ca="1" si="1"/>
        <v>31105.769353326847</v>
      </c>
      <c r="E16" s="22">
        <f t="shared" si="1"/>
        <v>315.5133936626039</v>
      </c>
      <c r="F16" s="22">
        <f t="shared" ca="1" si="1"/>
        <v>5371.2704825278433</v>
      </c>
      <c r="G16" s="22">
        <f t="shared" si="1"/>
        <v>0</v>
      </c>
      <c r="H16" s="22">
        <f t="shared" si="1"/>
        <v>0</v>
      </c>
      <c r="I16" s="22">
        <f t="shared" si="1"/>
        <v>0</v>
      </c>
      <c r="J16" s="22">
        <f t="shared" si="1"/>
        <v>0</v>
      </c>
      <c r="K16" s="22">
        <f t="shared" si="1"/>
        <v>0</v>
      </c>
      <c r="L16" s="22">
        <f t="shared" ca="1" si="1"/>
        <v>0</v>
      </c>
      <c r="M16" s="22">
        <f t="shared" si="1"/>
        <v>0</v>
      </c>
      <c r="N16" s="22">
        <f t="shared" ca="1" si="1"/>
        <v>0</v>
      </c>
      <c r="O16" s="22">
        <f>O5</f>
        <v>0</v>
      </c>
      <c r="P16" s="22">
        <f>P5</f>
        <v>0</v>
      </c>
      <c r="R16" s="33"/>
    </row>
    <row r="17" spans="1:18">
      <c r="A17"/>
      <c r="B17" s="20"/>
      <c r="C17" s="20"/>
      <c r="D17" s="20"/>
      <c r="E17" s="20"/>
      <c r="F17" s="20"/>
      <c r="G17" s="20"/>
      <c r="H17" s="20"/>
      <c r="I17" s="20"/>
      <c r="J17" s="20"/>
      <c r="K17" s="20"/>
      <c r="L17" s="20"/>
      <c r="M17" s="20"/>
      <c r="N17" s="20"/>
      <c r="O17" s="20"/>
      <c r="P17" s="20"/>
      <c r="R17" s="33"/>
    </row>
    <row r="18" spans="1:18">
      <c r="A18" s="25" t="s">
        <v>214</v>
      </c>
      <c r="B18" s="26">
        <f ca="1">'EF ele_warmte'!B12</f>
        <v>0.16752363209235635</v>
      </c>
      <c r="C18" s="26">
        <f ca="1">'EF ele_warmte'!B22</f>
        <v>0.23727688128042965</v>
      </c>
      <c r="D18" s="26">
        <f>EF_CO2_aardgas</f>
        <v>0.20200000000000001</v>
      </c>
      <c r="E18" s="26">
        <f>EF_VLgas_CO2</f>
        <v>0.22700000000000001</v>
      </c>
      <c r="F18" s="26">
        <f>EF_stookolie_CO2</f>
        <v>0.26700000000000002</v>
      </c>
      <c r="G18" s="26">
        <f>EF_diesel_CO2</f>
        <v>0.26700000000000002</v>
      </c>
      <c r="H18" s="26">
        <f>EF_benzine_CO2</f>
        <v>0.249</v>
      </c>
      <c r="I18" s="26">
        <f>EF_bruinkool_CO2</f>
        <v>0.35099999999999998</v>
      </c>
      <c r="J18" s="26">
        <f>EF_steenkool_CO2</f>
        <v>0.35399999999999998</v>
      </c>
      <c r="K18" s="26">
        <f>EF_anderfossiel_CO2</f>
        <v>0.26400000000000001</v>
      </c>
      <c r="L18" s="26">
        <f>'EF brandstof'!J4</f>
        <v>0</v>
      </c>
      <c r="M18" s="26">
        <f>'EF brandstof'!K4</f>
        <v>0</v>
      </c>
      <c r="N18" s="26">
        <f>'EF brandstof'!L4</f>
        <v>0</v>
      </c>
      <c r="O18" s="26">
        <v>0</v>
      </c>
      <c r="P18" s="26">
        <v>0</v>
      </c>
    </row>
    <row r="19" spans="1:18">
      <c r="A19"/>
      <c r="B19" s="23"/>
      <c r="C19" s="23"/>
      <c r="D19" s="23"/>
      <c r="E19" s="23"/>
      <c r="F19" s="23"/>
      <c r="G19" s="23"/>
      <c r="H19" s="23"/>
      <c r="I19" s="23"/>
      <c r="J19" s="23"/>
      <c r="K19" s="23"/>
      <c r="L19" s="23"/>
      <c r="M19" s="23"/>
      <c r="N19" s="23"/>
      <c r="O19" s="23"/>
      <c r="P19" s="23"/>
    </row>
    <row r="20" spans="1:18">
      <c r="A20" s="21" t="s">
        <v>213</v>
      </c>
      <c r="B20" s="24">
        <f ca="1">B16*B18</f>
        <v>7329.9939151284225</v>
      </c>
      <c r="C20" s="24">
        <f t="shared" ref="C20:P20" ca="1" si="2">C16*C18</f>
        <v>5.338729828809667</v>
      </c>
      <c r="D20" s="24">
        <f t="shared" ca="1" si="2"/>
        <v>6283.3654093720234</v>
      </c>
      <c r="E20" s="24">
        <f t="shared" si="2"/>
        <v>71.621540361411093</v>
      </c>
      <c r="F20" s="24">
        <f t="shared" ca="1" si="2"/>
        <v>1434.1292188349344</v>
      </c>
      <c r="G20" s="24">
        <f t="shared" si="2"/>
        <v>0</v>
      </c>
      <c r="H20" s="24">
        <f t="shared" si="2"/>
        <v>0</v>
      </c>
      <c r="I20" s="24">
        <f t="shared" si="2"/>
        <v>0</v>
      </c>
      <c r="J20" s="24">
        <f t="shared" si="2"/>
        <v>0</v>
      </c>
      <c r="K20" s="24">
        <f t="shared" si="2"/>
        <v>0</v>
      </c>
      <c r="L20" s="24">
        <f t="shared" ca="1" si="2"/>
        <v>0</v>
      </c>
      <c r="M20" s="24">
        <f t="shared" si="2"/>
        <v>0</v>
      </c>
      <c r="N20" s="24">
        <f t="shared" ca="1" si="2"/>
        <v>0</v>
      </c>
      <c r="O20" s="24">
        <f t="shared" si="2"/>
        <v>0</v>
      </c>
      <c r="P20" s="24">
        <f t="shared" si="2"/>
        <v>0</v>
      </c>
    </row>
    <row r="21" spans="1:18">
      <c r="A21" s="43"/>
      <c r="B21" s="30"/>
      <c r="C21" s="30"/>
      <c r="D21" s="30"/>
      <c r="E21" s="30"/>
      <c r="F21" s="30"/>
      <c r="G21" s="30"/>
      <c r="H21" s="30"/>
      <c r="I21" s="30"/>
      <c r="J21" s="30"/>
      <c r="K21" s="30"/>
      <c r="L21" s="30"/>
      <c r="M21" s="30"/>
      <c r="N21" s="30"/>
      <c r="O21" s="30"/>
      <c r="P21" s="30"/>
    </row>
    <row r="23" spans="1:18">
      <c r="A23" s="196" t="s">
        <v>501</v>
      </c>
      <c r="B23" s="206"/>
      <c r="C23" s="206"/>
      <c r="D23" s="228"/>
    </row>
    <row r="24" spans="1:18">
      <c r="A24" s="239"/>
      <c r="B24" s="33"/>
      <c r="C24" s="33"/>
      <c r="D24" s="240"/>
    </row>
    <row r="25" spans="1:18">
      <c r="A25" s="241"/>
      <c r="B25" s="227" t="s">
        <v>267</v>
      </c>
      <c r="C25" s="227" t="s">
        <v>268</v>
      </c>
      <c r="D25" s="242" t="s">
        <v>182</v>
      </c>
    </row>
    <row r="26" spans="1:18">
      <c r="A26" s="234" t="s">
        <v>54</v>
      </c>
      <c r="B26" s="34">
        <f>IF(ISERROR(TER_kantoor_ele_kWh/1000),0,TER_kantoor_ele_kWh/1000)</f>
        <v>7283.3964784924901</v>
      </c>
      <c r="C26" s="40">
        <f>IF(ISERROR(B26*3.6/1000000/'E Balans VL '!Z12*100),0,B26*3.6/1000000/'E Balans VL '!Z12*100)</f>
        <v>0.15476695201824714</v>
      </c>
      <c r="D26" s="240" t="s">
        <v>707</v>
      </c>
      <c r="F26" s="6"/>
    </row>
    <row r="27" spans="1:18">
      <c r="A27" s="234" t="s">
        <v>53</v>
      </c>
      <c r="B27" s="34">
        <f>IF(ISERROR(TER_horeca_ele_kWh/1000),0,TER_horeca_ele_kWh/1000)</f>
        <v>4036.4610949647699</v>
      </c>
      <c r="C27" s="40">
        <f>IF(ISERROR(B27*3.6/1000000/'E Balans VL '!Z9*100),0,B27*3.6/1000000/'E Balans VL '!Z9*100)</f>
        <v>0.31770070199201106</v>
      </c>
      <c r="D27" s="240" t="s">
        <v>707</v>
      </c>
      <c r="F27" s="6"/>
    </row>
    <row r="28" spans="1:18">
      <c r="A28" s="174" t="s">
        <v>52</v>
      </c>
      <c r="B28" s="34">
        <f>IF(ISERROR(TER_handel_ele_kWh/1000),0,TER_handel_ele_kWh/1000)</f>
        <v>9477.3215892639491</v>
      </c>
      <c r="C28" s="40">
        <f>IF(ISERROR(B28*3.6/1000000/'E Balans VL '!Z13*100),0,B28*3.6/1000000/'E Balans VL '!Z13*100)</f>
        <v>0.2654648497775543</v>
      </c>
      <c r="D28" s="240" t="s">
        <v>707</v>
      </c>
      <c r="F28" s="6"/>
    </row>
    <row r="29" spans="1:18">
      <c r="A29" s="234" t="s">
        <v>51</v>
      </c>
      <c r="B29" s="34">
        <f>IF(ISERROR(TER_gezond_ele_kWh/1000),0,TER_gezond_ele_kWh/1000)</f>
        <v>713.85492469576593</v>
      </c>
      <c r="C29" s="40">
        <f>IF(ISERROR(B29*3.6/1000000/'E Balans VL '!Z10*100),0,B29*3.6/1000000/'E Balans VL '!Z10*100)</f>
        <v>9.132363097214409E-2</v>
      </c>
      <c r="D29" s="240" t="s">
        <v>707</v>
      </c>
      <c r="F29" s="6"/>
    </row>
    <row r="30" spans="1:18">
      <c r="A30" s="234" t="s">
        <v>50</v>
      </c>
      <c r="B30" s="34">
        <f>IF(ISERROR(TER_ander_ele_kWh/1000),0,TER_ander_ele_kWh/1000)</f>
        <v>3242.7585352463698</v>
      </c>
      <c r="C30" s="40">
        <f>IF(ISERROR(B30*3.6/1000000/'E Balans VL '!Z14*100),0,B30*3.6/1000000/'E Balans VL '!Z14*100)</f>
        <v>0.24253101447569086</v>
      </c>
      <c r="D30" s="240" t="s">
        <v>707</v>
      </c>
      <c r="F30" s="6"/>
    </row>
    <row r="31" spans="1:18">
      <c r="A31" s="234" t="s">
        <v>55</v>
      </c>
      <c r="B31" s="34">
        <f>IF(ISERROR(TER_onderwijs_ele_kWh/1000),0,TER_onderwijs_ele_kWh/1000)</f>
        <v>264.15419376833</v>
      </c>
      <c r="C31" s="40">
        <f>IF(ISERROR(B31*3.6/1000000/'E Balans VL '!Z11*100),0,B31*3.6/1000000/'E Balans VL '!Z11*100)</f>
        <v>5.5776500181323914E-2</v>
      </c>
      <c r="D31" s="240" t="s">
        <v>707</v>
      </c>
    </row>
    <row r="32" spans="1:18">
      <c r="A32" s="234" t="s">
        <v>260</v>
      </c>
      <c r="B32" s="34">
        <f>IF(ISERROR(TER_rest_ele_kWh/1000),0,TER_rest_ele_kWh/1000)</f>
        <v>1812.5376211512701</v>
      </c>
      <c r="C32" s="40">
        <f>IF(ISERROR(B32*3.6/1000000/'E Balans VL '!Z8*100),0,B32*3.6/1000000/'E Balans VL '!Z8*100)</f>
        <v>1.493156178909778E-2</v>
      </c>
      <c r="D32" s="240" t="s">
        <v>707</v>
      </c>
    </row>
    <row r="33" spans="1:4">
      <c r="A33" s="243"/>
      <c r="B33" s="183"/>
      <c r="C33" s="183"/>
      <c r="D33" s="244"/>
    </row>
    <row r="34" spans="1:4">
      <c r="A34" s="33"/>
      <c r="B34" s="33"/>
      <c r="C34" s="33"/>
    </row>
    <row r="35" spans="1:4">
      <c r="A35" s="196" t="s">
        <v>494</v>
      </c>
      <c r="B35" s="206"/>
      <c r="C35" s="206"/>
      <c r="D35" s="228"/>
    </row>
    <row r="36" spans="1:4">
      <c r="A36" s="239"/>
      <c r="B36" s="33"/>
      <c r="C36" s="33"/>
      <c r="D36" s="235"/>
    </row>
    <row r="37" spans="1:4">
      <c r="A37" s="245"/>
      <c r="B37" s="246"/>
      <c r="C37" s="227" t="s">
        <v>379</v>
      </c>
      <c r="D37" s="247" t="s">
        <v>182</v>
      </c>
    </row>
    <row r="38" spans="1:4">
      <c r="A38" s="174" t="s">
        <v>266</v>
      </c>
      <c r="B38" s="321">
        <f>aantalZB_NB_ander+aantalZB_NB_ander_met_kantoor+aantalZB_NB_kantoor+aantalZB_NB_school+ZB_NHH_bestaande_bouw</f>
        <v>0</v>
      </c>
      <c r="C38" s="44"/>
      <c r="D38" s="235"/>
    </row>
    <row r="39" spans="1:4">
      <c r="A39" s="174" t="s">
        <v>491</v>
      </c>
      <c r="B39" s="317">
        <v>4.2</v>
      </c>
      <c r="C39" s="44"/>
      <c r="D39" s="311" t="s">
        <v>525</v>
      </c>
    </row>
    <row r="40" spans="1:4">
      <c r="A40" s="6" t="s">
        <v>492</v>
      </c>
      <c r="B40" s="322">
        <f>1.34/3.6</f>
        <v>0.37222222222222223</v>
      </c>
      <c r="C40" s="44" t="s">
        <v>218</v>
      </c>
      <c r="D40" s="311" t="s">
        <v>525</v>
      </c>
    </row>
    <row r="41" spans="1:4">
      <c r="A41" s="243"/>
      <c r="B41" s="183"/>
      <c r="C41" s="183"/>
      <c r="D41" s="244"/>
    </row>
    <row r="43" spans="1:4">
      <c r="A43" s="197" t="s">
        <v>495</v>
      </c>
      <c r="B43" s="206"/>
      <c r="C43" s="206"/>
      <c r="D43" s="228"/>
    </row>
    <row r="44" spans="1:4">
      <c r="A44" s="233"/>
      <c r="B44" s="33"/>
      <c r="C44" s="33"/>
      <c r="D44" s="235"/>
    </row>
    <row r="45" spans="1:4">
      <c r="A45" s="245"/>
      <c r="B45" s="246"/>
      <c r="C45" s="227" t="s">
        <v>379</v>
      </c>
      <c r="D45" s="247" t="s">
        <v>182</v>
      </c>
    </row>
    <row r="46" spans="1:4">
      <c r="A46" s="174" t="s">
        <v>266</v>
      </c>
      <c r="B46" s="544">
        <f>aantalWP_NB_ander+antalWP_NB_ander_met_kantoor+aantalWP_NB_kantoor+aantalWP_NB_school+WP_NHH_bestaande_bouw</f>
        <v>0</v>
      </c>
      <c r="C46" s="33"/>
      <c r="D46" s="235"/>
    </row>
    <row r="47" spans="1:4">
      <c r="A47" s="174" t="s">
        <v>461</v>
      </c>
      <c r="B47" s="545">
        <v>13</v>
      </c>
      <c r="C47" s="33" t="s">
        <v>263</v>
      </c>
      <c r="D47" s="311" t="s">
        <v>525</v>
      </c>
    </row>
    <row r="48" spans="1:4">
      <c r="A48" s="174" t="s">
        <v>462</v>
      </c>
      <c r="B48" s="545">
        <v>2000</v>
      </c>
      <c r="C48" s="33" t="s">
        <v>265</v>
      </c>
      <c r="D48" s="311" t="s">
        <v>525</v>
      </c>
    </row>
    <row r="49" spans="1:4">
      <c r="A49" s="174" t="s">
        <v>422</v>
      </c>
      <c r="B49" s="545">
        <v>3.75</v>
      </c>
      <c r="C49" s="33"/>
      <c r="D49" s="311" t="s">
        <v>525</v>
      </c>
    </row>
    <row r="50" spans="1:4">
      <c r="A50" s="178"/>
      <c r="B50" s="183"/>
      <c r="C50" s="183"/>
      <c r="D50" s="244"/>
    </row>
    <row r="51" spans="1:4">
      <c r="A51" s="6"/>
      <c r="B51" s="33"/>
      <c r="C51" s="33"/>
    </row>
    <row r="52" spans="1:4">
      <c r="A52" s="33"/>
      <c r="B52" s="33"/>
      <c r="C52" s="33"/>
    </row>
    <row r="53" spans="1:4">
      <c r="A53" s="33"/>
      <c r="B53" s="33"/>
      <c r="C53" s="33"/>
    </row>
    <row r="54" spans="1:4">
      <c r="A54" s="33"/>
      <c r="B54" s="33"/>
      <c r="C54" s="33"/>
    </row>
    <row r="55" spans="1:4">
      <c r="A55" s="33"/>
      <c r="B55" s="33"/>
      <c r="C55" s="33"/>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sheetPr codeName="Sheet7">
    <tabColor theme="5" tint="-0.249977111117893"/>
  </sheetPr>
  <dimension ref="A1:R55"/>
  <sheetViews>
    <sheetView showGridLines="0" zoomScale="80" zoomScaleNormal="80" workbookViewId="0">
      <selection activeCell="D16" sqref="D16"/>
    </sheetView>
  </sheetViews>
  <sheetFormatPr defaultColWidth="9.140625" defaultRowHeight="15"/>
  <cols>
    <col min="1" max="1" width="67.5703125" style="16" customWidth="1"/>
    <col min="2" max="2" width="22.5703125" style="16" customWidth="1"/>
    <col min="3" max="3" width="39.5703125" style="16" customWidth="1"/>
    <col min="4" max="4" width="65.710937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163</v>
      </c>
      <c r="B1" s="1193" t="s">
        <v>195</v>
      </c>
      <c r="C1" s="1194"/>
      <c r="D1" s="1194"/>
      <c r="E1" s="1194"/>
      <c r="F1" s="1194"/>
      <c r="G1" s="1194"/>
      <c r="H1" s="1194"/>
      <c r="I1" s="1194"/>
      <c r="J1" s="1194"/>
      <c r="K1" s="1194"/>
      <c r="L1" s="1194"/>
      <c r="M1" s="1194"/>
      <c r="N1" s="1194"/>
      <c r="O1" s="1194"/>
      <c r="P1" s="1194"/>
      <c r="R1" s="762"/>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c r="R2" s="762"/>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c r="R3" s="762"/>
    </row>
    <row r="4" spans="1:18" ht="15.75">
      <c r="A4" s="14"/>
      <c r="B4" s="15"/>
      <c r="C4" s="15"/>
      <c r="D4" s="15"/>
      <c r="E4" s="15"/>
      <c r="F4" s="15"/>
      <c r="G4" s="15"/>
      <c r="H4" s="15"/>
      <c r="I4" s="15"/>
      <c r="J4" s="15"/>
      <c r="K4" s="15"/>
      <c r="L4" s="15"/>
      <c r="M4" s="15"/>
      <c r="N4" s="15"/>
      <c r="O4" s="15"/>
      <c r="P4" s="15"/>
      <c r="R4" s="6"/>
    </row>
    <row r="5" spans="1:18">
      <c r="A5" s="17" t="s">
        <v>269</v>
      </c>
      <c r="B5" s="31">
        <f>SUM(B6:B15)</f>
        <v>9363.3139116933835</v>
      </c>
      <c r="C5" s="18">
        <f>IF(ISERROR('Eigen informatie GS &amp; warmtenet'!B59),0,'Eigen informatie GS &amp; warmtenet'!B59)</f>
        <v>0</v>
      </c>
      <c r="D5" s="31">
        <f>SUM(D6:D15)</f>
        <v>23846.634232726465</v>
      </c>
      <c r="E5" s="18">
        <f>SUM(E6:E15)</f>
        <v>109.69251909117477</v>
      </c>
      <c r="F5" s="18">
        <f>SUM(F6:F15)</f>
        <v>3798.0763627999227</v>
      </c>
      <c r="G5" s="19"/>
      <c r="H5" s="18"/>
      <c r="I5" s="18"/>
      <c r="J5" s="18">
        <f>SUM(J6:J15)</f>
        <v>48.938552143039402</v>
      </c>
      <c r="K5" s="18"/>
      <c r="L5" s="18"/>
      <c r="M5" s="18"/>
      <c r="N5" s="18">
        <f>SUM(N6:N15)</f>
        <v>329.95610821667441</v>
      </c>
      <c r="O5" s="18">
        <f>B43*B44*B45</f>
        <v>0</v>
      </c>
      <c r="P5" s="18">
        <f>B51*B52*B53/1000-B51*B52*B53/1000/B54</f>
        <v>0</v>
      </c>
      <c r="R5" s="33"/>
    </row>
    <row r="6" spans="1:18">
      <c r="A6" s="6" t="s">
        <v>35</v>
      </c>
      <c r="B6" s="38">
        <f>IF( ISERROR(IND_ijzer_ele_kWh/1000),0,IND_ijzer_ele_kWh/1000)</f>
        <v>0</v>
      </c>
      <c r="C6" s="34"/>
      <c r="D6" s="38">
        <f>IF( ISERROR(IND_ijzer_gas_kWh/1000),0,IND_ijzer_gas_kWh/1000)*0.902</f>
        <v>0</v>
      </c>
      <c r="E6" s="34"/>
      <c r="F6" s="34"/>
      <c r="G6" s="35"/>
      <c r="H6" s="34"/>
      <c r="I6" s="34"/>
      <c r="J6" s="41"/>
      <c r="K6" s="34"/>
      <c r="L6" s="34"/>
      <c r="M6" s="34"/>
      <c r="N6" s="34"/>
      <c r="O6" s="34"/>
      <c r="P6" s="34"/>
      <c r="R6" s="33"/>
    </row>
    <row r="7" spans="1:18">
      <c r="A7" s="6" t="s">
        <v>38</v>
      </c>
      <c r="B7" s="38">
        <f t="shared" ref="B7:B15" si="0">B29</f>
        <v>0</v>
      </c>
      <c r="C7" s="34"/>
      <c r="D7" s="38">
        <f>IF( ISERROR(IND_nonf_gas_kWhh/1000),0,IND_nonf_gas_kWh/1000)*0.902</f>
        <v>0</v>
      </c>
      <c r="E7" s="34">
        <f>C29*'E Balans VL '!I17/100/3.6*1000000</f>
        <v>0</v>
      </c>
      <c r="F7" s="34">
        <f>C29*'E Balans VL '!L17/100/3.6*1000000+C29*'E Balans VL '!N17/100/3.6*1000000</f>
        <v>0</v>
      </c>
      <c r="G7" s="35"/>
      <c r="H7" s="34"/>
      <c r="I7" s="34"/>
      <c r="J7" s="41">
        <f>C29*'E Balans VL '!D17/100/3.6*1000000+C29*'E Balans VL '!E17/100/3.6*1000000</f>
        <v>0</v>
      </c>
      <c r="K7" s="34"/>
      <c r="L7" s="34"/>
      <c r="M7" s="34"/>
      <c r="N7" s="34">
        <f>C29*'E Balans VL '!Y17/100/3.6*1000000</f>
        <v>0</v>
      </c>
      <c r="O7" s="34"/>
      <c r="P7" s="34"/>
      <c r="R7" s="33"/>
    </row>
    <row r="8" spans="1:18">
      <c r="A8" s="6" t="s">
        <v>36</v>
      </c>
      <c r="B8" s="38">
        <f t="shared" si="0"/>
        <v>1438.7777998255301</v>
      </c>
      <c r="C8" s="34"/>
      <c r="D8" s="38">
        <f>IF( ISERROR(IND_metaal_Gas_kWH/1000),0,IND_metaal_Gas_kWH/1000)*0.902</f>
        <v>261.18373829633663</v>
      </c>
      <c r="E8" s="34">
        <f>C30*'E Balans VL '!I18/100/3.6*1000000</f>
        <v>13.102690137476289</v>
      </c>
      <c r="F8" s="34">
        <f>C30*'E Balans VL '!L18/100/3.6*1000000+C30*'E Balans VL '!N18/100/3.6*1000000</f>
        <v>189.76386553071103</v>
      </c>
      <c r="G8" s="35"/>
      <c r="H8" s="34"/>
      <c r="I8" s="34"/>
      <c r="J8" s="41">
        <f>C30*'E Balans VL '!D18/100/3.6*1000000+C30*'E Balans VL '!E18/100/3.6*1000000</f>
        <v>23.59386688699707</v>
      </c>
      <c r="K8" s="34"/>
      <c r="L8" s="34"/>
      <c r="M8" s="34"/>
      <c r="N8" s="34">
        <f>C30*'E Balans VL '!Y18/100/3.6*1000000</f>
        <v>4.9445077449855113</v>
      </c>
      <c r="O8" s="34"/>
      <c r="P8" s="34"/>
      <c r="R8" s="33"/>
    </row>
    <row r="9" spans="1:18">
      <c r="A9" s="6" t="s">
        <v>33</v>
      </c>
      <c r="B9" s="38">
        <f t="shared" si="0"/>
        <v>3195.5439395112999</v>
      </c>
      <c r="C9" s="34"/>
      <c r="D9" s="38">
        <f>IF( ISERROR(IND_andere_gas_kWh/1000),0,IND_andere_gas_kWh/1000)*0.902</f>
        <v>2588.5760435180887</v>
      </c>
      <c r="E9" s="34">
        <f>C31*'E Balans VL '!I19/100/3.6*1000000</f>
        <v>18.470721504918767</v>
      </c>
      <c r="F9" s="34">
        <f>C31*'E Balans VL '!L19/100/3.6*1000000+C31*'E Balans VL '!N19/100/3.6*1000000</f>
        <v>2542.2089673709629</v>
      </c>
      <c r="G9" s="35"/>
      <c r="H9" s="34"/>
      <c r="I9" s="34"/>
      <c r="J9" s="41">
        <f>C31*'E Balans VL '!D19/100/3.6*1000000+C31*'E Balans VL '!E19/100/3.6*1000000</f>
        <v>0.30226296158104476</v>
      </c>
      <c r="K9" s="34"/>
      <c r="L9" s="34"/>
      <c r="M9" s="34"/>
      <c r="N9" s="34">
        <f>C31*'E Balans VL '!Y19/100/3.6*1000000</f>
        <v>242.11081256625002</v>
      </c>
      <c r="O9" s="34"/>
      <c r="P9" s="34"/>
      <c r="R9" s="33"/>
    </row>
    <row r="10" spans="1:18">
      <c r="A10" s="6" t="s">
        <v>41</v>
      </c>
      <c r="B10" s="38">
        <f t="shared" si="0"/>
        <v>386.33862684005999</v>
      </c>
      <c r="C10" s="34"/>
      <c r="D10" s="38">
        <f>IF( ISERROR(IND_voed_gas_kWh/1000),0,IND_voed_gas_kWh/1000)*0.902</f>
        <v>974.12816721636227</v>
      </c>
      <c r="E10" s="34">
        <f>C32*'E Balans VL '!I20/100/3.6*1000000</f>
        <v>3.7987194221443206</v>
      </c>
      <c r="F10" s="34">
        <f>C32*'E Balans VL '!L20/100/3.6*1000000+C32*'E Balans VL '!N20/100/3.6*1000000</f>
        <v>42.907947251299547</v>
      </c>
      <c r="G10" s="35"/>
      <c r="H10" s="34"/>
      <c r="I10" s="34"/>
      <c r="J10" s="41">
        <f>C32*'E Balans VL '!D20/100/3.6*1000000+C32*'E Balans VL '!E20/100/3.6*1000000</f>
        <v>1.5227359155598112E-3</v>
      </c>
      <c r="K10" s="34"/>
      <c r="L10" s="34"/>
      <c r="M10" s="34"/>
      <c r="N10" s="34">
        <f>C32*'E Balans VL '!Y20/100/3.6*1000000</f>
        <v>5.7207662992601884</v>
      </c>
      <c r="O10" s="34"/>
      <c r="P10" s="34"/>
      <c r="R10" s="33"/>
    </row>
    <row r="11" spans="1:18">
      <c r="A11" s="6" t="s">
        <v>40</v>
      </c>
      <c r="B11" s="38">
        <f t="shared" si="0"/>
        <v>0</v>
      </c>
      <c r="C11" s="34"/>
      <c r="D11" s="38">
        <f>IF( ISERROR(IND_textiel_gas_kWh/1000),0,IND_textiel_gas_kWh/1000)*0.902</f>
        <v>0</v>
      </c>
      <c r="E11" s="34">
        <f>C33*'E Balans VL '!I21/100/3.6*1000000</f>
        <v>0</v>
      </c>
      <c r="F11" s="34">
        <f>C33*'E Balans VL '!L21/100/3.6*1000000+C33*'E Balans VL '!N21/100/3.6*1000000</f>
        <v>0</v>
      </c>
      <c r="G11" s="35"/>
      <c r="H11" s="34"/>
      <c r="I11" s="34"/>
      <c r="J11" s="41">
        <f>C33*'E Balans VL '!D21/100/3.6*1000000+C33*'E Balans VL '!E21/100/3.6*1000000</f>
        <v>0</v>
      </c>
      <c r="K11" s="34"/>
      <c r="L11" s="34"/>
      <c r="M11" s="34"/>
      <c r="N11" s="34">
        <f>C33*'E Balans VL '!Y21/100/3.6*1000000</f>
        <v>0</v>
      </c>
      <c r="O11" s="34"/>
      <c r="P11" s="34"/>
      <c r="R11" s="33"/>
    </row>
    <row r="12" spans="1:18">
      <c r="A12" s="6" t="s">
        <v>37</v>
      </c>
      <c r="B12" s="38">
        <f t="shared" si="0"/>
        <v>2116.6266740278697</v>
      </c>
      <c r="C12" s="34"/>
      <c r="D12" s="38">
        <f>IF( ISERROR(IND_min_gas_kWh/1000),0,IND_min_gas_kWh/1000)*0.902</f>
        <v>0</v>
      </c>
      <c r="E12" s="34">
        <f>C34*'E Balans VL '!I22/100/3.6*1000000</f>
        <v>53.660252713354637</v>
      </c>
      <c r="F12" s="34">
        <f>C34*'E Balans VL '!L22/100/3.6*1000000+C34*'E Balans VL '!N22/100/3.6*1000000</f>
        <v>585.67797839686614</v>
      </c>
      <c r="G12" s="35"/>
      <c r="H12" s="34"/>
      <c r="I12" s="34"/>
      <c r="J12" s="41">
        <f>C34*'E Balans VL '!D22/100/3.6*1000000+C34*'E Balans VL '!E22/100/3.6*1000000</f>
        <v>13.978627893374078</v>
      </c>
      <c r="K12" s="34"/>
      <c r="L12" s="34"/>
      <c r="M12" s="34"/>
      <c r="N12" s="34">
        <f>C34*'E Balans VL '!Y22/100/3.6*1000000</f>
        <v>0</v>
      </c>
      <c r="O12" s="34"/>
      <c r="P12" s="34"/>
      <c r="R12" s="33"/>
    </row>
    <row r="13" spans="1:18">
      <c r="A13" s="6" t="s">
        <v>39</v>
      </c>
      <c r="B13" s="38">
        <f t="shared" si="0"/>
        <v>26.230345018103101</v>
      </c>
      <c r="C13" s="34"/>
      <c r="D13" s="38">
        <f>IF( ISERROR(IND_papier_gas_kWh/1000),0,IND_papier_gas_kWh/1000)*0.902</f>
        <v>0</v>
      </c>
      <c r="E13" s="34">
        <f>C35*'E Balans VL '!I23/100/3.6*1000000</f>
        <v>0.89344358285803349</v>
      </c>
      <c r="F13" s="34">
        <f>C35*'E Balans VL '!L23/100/3.6*1000000+C35*'E Balans VL '!N23/100/3.6*1000000</f>
        <v>4.3326373840444763</v>
      </c>
      <c r="G13" s="35"/>
      <c r="H13" s="34"/>
      <c r="I13" s="34"/>
      <c r="J13" s="41">
        <f>C35*'E Balans VL '!D23/100/3.6*1000000+C35*'E Balans VL '!E23/100/3.6*1000000</f>
        <v>0</v>
      </c>
      <c r="K13" s="34"/>
      <c r="L13" s="34"/>
      <c r="M13" s="34"/>
      <c r="N13" s="34">
        <f>C35*'E Balans VL '!Y23/100/3.6*1000000</f>
        <v>9.6520635233395176</v>
      </c>
      <c r="O13" s="34"/>
      <c r="P13" s="34"/>
      <c r="R13" s="33"/>
    </row>
    <row r="14" spans="1:18">
      <c r="A14" s="6" t="s">
        <v>34</v>
      </c>
      <c r="B14" s="38">
        <f t="shared" si="0"/>
        <v>0</v>
      </c>
      <c r="C14" s="34"/>
      <c r="D14" s="38">
        <f>IF( ISERROR(IND_chemie_gas_kWh/1000),0,IND_chemie_gas_kWh/1000)*0.902</f>
        <v>0</v>
      </c>
      <c r="E14" s="34">
        <f>C36*'E Balans VL '!I24/100/3.6*1000000</f>
        <v>0</v>
      </c>
      <c r="F14" s="34">
        <f>C36*'E Balans VL '!L24/100/3.6*1000000+C36*'E Balans VL '!N24/100/3.6*1000000</f>
        <v>0</v>
      </c>
      <c r="G14" s="35"/>
      <c r="H14" s="34"/>
      <c r="I14" s="34"/>
      <c r="J14" s="41">
        <f>C36*'E Balans VL '!D24/100/3.6*1000000+C36*'E Balans VL '!E24/100/3.6*1000000</f>
        <v>0</v>
      </c>
      <c r="K14" s="34"/>
      <c r="L14" s="34"/>
      <c r="M14" s="34"/>
      <c r="N14" s="34">
        <f>C36*'E Balans VL '!Y24/100/3.6*1000000</f>
        <v>0</v>
      </c>
      <c r="O14" s="34"/>
      <c r="P14" s="34"/>
      <c r="R14" s="33"/>
    </row>
    <row r="15" spans="1:18">
      <c r="A15" s="6" t="s">
        <v>270</v>
      </c>
      <c r="B15" s="38">
        <f t="shared" si="0"/>
        <v>2199.7965264705199</v>
      </c>
      <c r="C15" s="34"/>
      <c r="D15" s="38">
        <f>IF( ISERROR(IND_rest_gas_kWh/1000),0,IND_rest_gas_kWh/1000)*0.902</f>
        <v>20022.746283695677</v>
      </c>
      <c r="E15" s="34">
        <f>C37*'E Balans VL '!I15/100/3.6*1000000</f>
        <v>19.766691730422718</v>
      </c>
      <c r="F15" s="34">
        <f>C37*'E Balans VL '!L15/100/3.6*1000000+C37*'E Balans VL '!N15/100/3.6*1000000</f>
        <v>433.18496686603828</v>
      </c>
      <c r="G15" s="35"/>
      <c r="H15" s="34"/>
      <c r="I15" s="34"/>
      <c r="J15" s="41">
        <f>C37*'E Balans VL '!D15/100/3.6*1000000+C37*'E Balans VL '!E15/100/3.6*1000000</f>
        <v>11.062271665171654</v>
      </c>
      <c r="K15" s="34"/>
      <c r="L15" s="34"/>
      <c r="M15" s="34"/>
      <c r="N15" s="34">
        <f>C37*'E Balans VL '!Y15/100/3.6*1000000</f>
        <v>67.527958082839177</v>
      </c>
      <c r="O15" s="34"/>
      <c r="P15" s="34"/>
      <c r="R15" s="33"/>
    </row>
    <row r="16" spans="1:18">
      <c r="A16" s="17" t="s">
        <v>502</v>
      </c>
      <c r="B16" s="250">
        <f>'lokale energieproductie'!N90+'lokale energieproductie'!N59</f>
        <v>0</v>
      </c>
      <c r="C16" s="250">
        <f>'lokale energieproductie'!O90+'lokale energieproductie'!O59</f>
        <v>0</v>
      </c>
      <c r="D16" s="312">
        <f>('lokale energieproductie'!P59+'lokale energieproductie'!P90)*(-1)</f>
        <v>0</v>
      </c>
      <c r="E16" s="251"/>
      <c r="F16" s="312">
        <f>('lokale energieproductie'!S59+'lokale energieproductie'!S90)*(-1)</f>
        <v>0</v>
      </c>
      <c r="G16" s="252"/>
      <c r="H16" s="251"/>
      <c r="I16" s="251"/>
      <c r="J16" s="251"/>
      <c r="K16" s="251"/>
      <c r="L16" s="312">
        <f>('lokale energieproductie'!T59+'lokale energieproductie'!U59+'lokale energieproductie'!T90+'lokale energieproductie'!U90)*(-1)</f>
        <v>0</v>
      </c>
      <c r="M16" s="251"/>
      <c r="N16" s="312">
        <f>('lokale energieproductie'!Q59+'lokale energieproductie'!R59+'lokale energieproductie'!V59+'lokale energieproductie'!Q90+'lokale energieproductie'!R90+'lokale energieproductie'!V90)*(-1)</f>
        <v>0</v>
      </c>
      <c r="O16" s="251"/>
      <c r="P16" s="251"/>
      <c r="R16" s="33"/>
    </row>
    <row r="17" spans="1:18">
      <c r="A17" s="6"/>
      <c r="B17" s="30"/>
      <c r="C17" s="30"/>
      <c r="D17" s="253"/>
      <c r="E17" s="30"/>
      <c r="F17" s="30"/>
      <c r="G17" s="29"/>
      <c r="H17" s="30"/>
      <c r="I17" s="30"/>
      <c r="J17" s="30"/>
      <c r="K17" s="30"/>
      <c r="L17" s="30"/>
      <c r="M17" s="30"/>
      <c r="N17" s="30"/>
      <c r="O17" s="30"/>
      <c r="P17" s="30"/>
      <c r="R17" s="33"/>
    </row>
    <row r="18" spans="1:18">
      <c r="A18" s="21" t="s">
        <v>278</v>
      </c>
      <c r="B18" s="22">
        <f>B5+B16</f>
        <v>9363.3139116933835</v>
      </c>
      <c r="C18" s="22">
        <f>C5+C16</f>
        <v>0</v>
      </c>
      <c r="D18" s="22">
        <f>MAX((D5+D16),0)</f>
        <v>23846.634232726465</v>
      </c>
      <c r="E18" s="22">
        <f>MAX((E5+E16),0)</f>
        <v>109.69251909117477</v>
      </c>
      <c r="F18" s="22">
        <f>MAX((F5+F16),0)</f>
        <v>3798.0763627999227</v>
      </c>
      <c r="G18" s="22"/>
      <c r="H18" s="22"/>
      <c r="I18" s="22"/>
      <c r="J18" s="22">
        <f>MAX((J5+J16),0)</f>
        <v>48.938552143039402</v>
      </c>
      <c r="K18" s="22"/>
      <c r="L18" s="22">
        <f>MAX((L5+L16),0)</f>
        <v>0</v>
      </c>
      <c r="M18" s="22"/>
      <c r="N18" s="22">
        <f>MAX((N5+N16),0)</f>
        <v>329.95610821667441</v>
      </c>
      <c r="O18" s="22">
        <f>O5</f>
        <v>0</v>
      </c>
      <c r="P18" s="22">
        <f>P5</f>
        <v>0</v>
      </c>
      <c r="R18" s="33"/>
    </row>
    <row r="19" spans="1:18">
      <c r="A19" s="8"/>
      <c r="B19" s="23"/>
      <c r="C19" s="23"/>
      <c r="D19" s="23"/>
      <c r="E19" s="23"/>
      <c r="F19" s="23"/>
      <c r="G19" s="23"/>
      <c r="H19" s="23"/>
      <c r="I19" s="23"/>
      <c r="J19" s="23"/>
      <c r="K19" s="23"/>
      <c r="L19" s="23"/>
      <c r="M19" s="23"/>
      <c r="N19" s="23"/>
      <c r="O19" s="23"/>
      <c r="P19" s="23"/>
    </row>
    <row r="20" spans="1:18">
      <c r="A20" s="25" t="s">
        <v>214</v>
      </c>
      <c r="B20" s="26">
        <f ca="1">'EF ele_warmte'!B12</f>
        <v>0.16752363209235635</v>
      </c>
      <c r="C20" s="26">
        <f ca="1">'EF ele_warmte'!B22</f>
        <v>0.23727688128042965</v>
      </c>
      <c r="D20" s="26">
        <f>EF_CO2_aardgas</f>
        <v>0.20200000000000001</v>
      </c>
      <c r="E20" s="26">
        <f>EF_VLgas_CO2</f>
        <v>0.22700000000000001</v>
      </c>
      <c r="F20" s="26">
        <f>EF_stookolie_CO2</f>
        <v>0.26700000000000002</v>
      </c>
      <c r="G20" s="26">
        <f>EF_diesel_CO2</f>
        <v>0.26700000000000002</v>
      </c>
      <c r="H20" s="26">
        <f>EF_benzine_CO2</f>
        <v>0.249</v>
      </c>
      <c r="I20" s="26">
        <f>EF_bruinkool_CO2</f>
        <v>0.35099999999999998</v>
      </c>
      <c r="J20" s="26">
        <f>EF_steenkool_CO2</f>
        <v>0.35399999999999998</v>
      </c>
      <c r="K20" s="26">
        <f>EF_anderfossiel_CO2</f>
        <v>0.26400000000000001</v>
      </c>
      <c r="L20" s="26">
        <f>'EF brandstof'!J4</f>
        <v>0</v>
      </c>
      <c r="M20" s="26">
        <f>'EF brandstof'!K4</f>
        <v>0</v>
      </c>
      <c r="N20" s="26">
        <f>'EF brandstof'!L4</f>
        <v>0</v>
      </c>
      <c r="O20" s="26">
        <v>0</v>
      </c>
      <c r="P20" s="26">
        <v>0</v>
      </c>
    </row>
    <row r="21" spans="1:18">
      <c r="A21"/>
      <c r="B21" s="23"/>
      <c r="C21" s="23"/>
      <c r="D21" s="23"/>
      <c r="E21" s="23"/>
      <c r="F21" s="23"/>
      <c r="G21" s="23"/>
      <c r="H21" s="23"/>
      <c r="I21" s="23"/>
      <c r="J21" s="23"/>
      <c r="K21" s="23"/>
      <c r="L21" s="23"/>
      <c r="M21" s="23"/>
      <c r="N21" s="23"/>
      <c r="O21" s="23"/>
      <c r="P21" s="23"/>
    </row>
    <row r="22" spans="1:18">
      <c r="A22" s="21" t="s">
        <v>213</v>
      </c>
      <c r="B22" s="24">
        <f ca="1">B18*B20</f>
        <v>1568.5763549077644</v>
      </c>
      <c r="C22" s="24">
        <f ca="1">C18*C20</f>
        <v>0</v>
      </c>
      <c r="D22" s="24">
        <f>D18*D20</f>
        <v>4817.0201150107459</v>
      </c>
      <c r="E22" s="24">
        <f>E18*E20</f>
        <v>24.900201833696674</v>
      </c>
      <c r="F22" s="24">
        <f>F18*F20</f>
        <v>1014.0863888675794</v>
      </c>
      <c r="G22" s="24"/>
      <c r="H22" s="24"/>
      <c r="I22" s="24"/>
      <c r="J22" s="24">
        <f>J18*J20</f>
        <v>17.324247458635949</v>
      </c>
      <c r="K22" s="24"/>
      <c r="L22" s="24">
        <f>L18*L20</f>
        <v>0</v>
      </c>
      <c r="M22" s="24">
        <f>M18*M20</f>
        <v>0</v>
      </c>
      <c r="N22" s="24">
        <f>N18*N20</f>
        <v>0</v>
      </c>
      <c r="O22" s="24">
        <f>O18*O20</f>
        <v>0</v>
      </c>
      <c r="P22" s="24">
        <f>P18*P20</f>
        <v>0</v>
      </c>
    </row>
    <row r="23" spans="1:18" s="33" customFormat="1">
      <c r="A23" s="43"/>
      <c r="B23" s="30"/>
      <c r="C23" s="30"/>
      <c r="D23" s="30"/>
      <c r="E23" s="30"/>
      <c r="F23" s="30"/>
      <c r="G23" s="30"/>
      <c r="H23" s="30"/>
      <c r="I23" s="30"/>
      <c r="J23" s="30"/>
      <c r="K23" s="30"/>
      <c r="L23" s="30"/>
      <c r="M23" s="30"/>
      <c r="N23" s="30"/>
      <c r="O23" s="30"/>
      <c r="P23" s="30"/>
    </row>
    <row r="24" spans="1:18" s="33" customFormat="1">
      <c r="A24" s="43"/>
      <c r="B24" s="30"/>
      <c r="C24" s="30"/>
      <c r="D24" s="30"/>
      <c r="E24" s="30"/>
      <c r="F24" s="30"/>
      <c r="G24" s="30"/>
      <c r="H24" s="30"/>
      <c r="I24" s="30"/>
      <c r="J24" s="30"/>
      <c r="K24" s="30"/>
      <c r="L24" s="30"/>
      <c r="M24" s="30"/>
      <c r="N24" s="30"/>
      <c r="O24" s="30"/>
      <c r="P24" s="30"/>
    </row>
    <row r="25" spans="1:18">
      <c r="A25" s="196" t="s">
        <v>501</v>
      </c>
      <c r="B25" s="206"/>
      <c r="C25" s="206"/>
      <c r="D25" s="228"/>
    </row>
    <row r="26" spans="1:18">
      <c r="A26" s="239"/>
      <c r="B26" s="33"/>
      <c r="C26" s="33"/>
      <c r="D26" s="240"/>
    </row>
    <row r="27" spans="1:18">
      <c r="A27" s="241"/>
      <c r="B27" s="227" t="s">
        <v>267</v>
      </c>
      <c r="C27" s="227" t="s">
        <v>268</v>
      </c>
      <c r="D27" s="242" t="s">
        <v>182</v>
      </c>
    </row>
    <row r="28" spans="1:18">
      <c r="A28" s="174" t="s">
        <v>35</v>
      </c>
      <c r="B28" s="38"/>
      <c r="C28" s="40"/>
      <c r="D28" s="240" t="s">
        <v>707</v>
      </c>
    </row>
    <row r="29" spans="1:18">
      <c r="A29" s="174" t="s">
        <v>38</v>
      </c>
      <c r="B29" s="38">
        <f>IF( ISERROR(IND_nonf_ele_kWh/1000),0,IND_nonf_ele_kWh/1000)</f>
        <v>0</v>
      </c>
      <c r="C29" s="40">
        <f>IF(ISERROR(B29*3.6/1000000/'E Balans VL '!Z17*100),0,B29*3.6/1000000/'E Balans VL '!Z17*100)</f>
        <v>0</v>
      </c>
      <c r="D29" s="240" t="s">
        <v>707</v>
      </c>
    </row>
    <row r="30" spans="1:18">
      <c r="A30" s="174" t="s">
        <v>36</v>
      </c>
      <c r="B30" s="38">
        <f>IF( ISERROR(IND_metaal_ele_kWh/1000),0,IND_metaal_ele_kWh/1000)</f>
        <v>1438.7777998255301</v>
      </c>
      <c r="C30" s="40">
        <f>IF(ISERROR(B30*3.6/1000000/'E Balans VL '!Z18*100),0,B30*3.6/1000000/'E Balans VL '!Z18*100)</f>
        <v>8.0058363535689209E-2</v>
      </c>
      <c r="D30" s="240" t="s">
        <v>707</v>
      </c>
    </row>
    <row r="31" spans="1:18">
      <c r="A31" s="6" t="s">
        <v>33</v>
      </c>
      <c r="B31" s="38">
        <f>IF( ISERROR(IND_ander_ele_kWh/1000),0,IND_ander_ele_kWh/1000)</f>
        <v>3195.5439395112999</v>
      </c>
      <c r="C31" s="40">
        <f>IF(ISERROR(B31*3.6/1000000/'E Balans VL '!Z19*100),0,B31*3.6/1000000/'E Balans VL '!Z19*100)</f>
        <v>0.14855244528215172</v>
      </c>
      <c r="D31" s="240" t="s">
        <v>707</v>
      </c>
    </row>
    <row r="32" spans="1:18">
      <c r="A32" s="174" t="s">
        <v>41</v>
      </c>
      <c r="B32" s="38">
        <f>IF( ISERROR(IND_voed_ele_kWh/1000),0,IND_voed_ele_kWh/1000)</f>
        <v>386.33862684005999</v>
      </c>
      <c r="C32" s="40">
        <f>IF(ISERROR(B32*3.6/1000000/'E Balans VL '!Z20*100),0,B32*3.6/1000000/'E Balans VL '!Z20*100)</f>
        <v>1.3656290214895549E-2</v>
      </c>
      <c r="D32" s="240" t="s">
        <v>707</v>
      </c>
    </row>
    <row r="33" spans="1:5">
      <c r="A33" s="174" t="s">
        <v>40</v>
      </c>
      <c r="B33" s="38">
        <f>IF( ISERROR(IND_textiel_ele_kWh/1000),0,IND_textiel_ele_kWh/1000)</f>
        <v>0</v>
      </c>
      <c r="C33" s="40">
        <f>IF(ISERROR(B33*3.6/1000000/'E Balans VL '!Z21*100),0,B33*3.6/1000000/'E Balans VL '!Z21*100)</f>
        <v>0</v>
      </c>
      <c r="D33" s="240" t="s">
        <v>707</v>
      </c>
    </row>
    <row r="34" spans="1:5">
      <c r="A34" s="174" t="s">
        <v>37</v>
      </c>
      <c r="B34" s="38">
        <f>IF( ISERROR(IND_min_ele_kWh/1000),0,IND_min_ele_kWh/1000)</f>
        <v>2116.6266740278697</v>
      </c>
      <c r="C34" s="40">
        <f>IF(ISERROR(B34*3.6/1000000/'E Balans VL '!Z22*100),0,B34*3.6/1000000/'E Balans VL '!Z22*100)</f>
        <v>0.42538227462386102</v>
      </c>
      <c r="D34" s="240" t="s">
        <v>707</v>
      </c>
    </row>
    <row r="35" spans="1:5">
      <c r="A35" s="174" t="s">
        <v>39</v>
      </c>
      <c r="B35" s="38">
        <f>IF( ISERROR(IND_papier_ele_kWh/1000),0,IND_papier_ele_kWh/1000)</f>
        <v>26.230345018103101</v>
      </c>
      <c r="C35" s="40">
        <f>IF(ISERROR(B35*3.6/1000000/'E Balans VL '!Z22*100),0,B35*3.6/1000000/'E Balans VL '!Z22*100)</f>
        <v>5.2715596778983237E-3</v>
      </c>
      <c r="D35" s="240" t="s">
        <v>707</v>
      </c>
    </row>
    <row r="36" spans="1:5">
      <c r="A36" s="174" t="s">
        <v>34</v>
      </c>
      <c r="B36" s="38">
        <f>IF( ISERROR(IND_chemie_ele_kWh/1000),0,IND_chemie_ele_kWh/1000)</f>
        <v>0</v>
      </c>
      <c r="C36" s="40">
        <f>IF(ISERROR(B36*3.6/1000000/'E Balans VL '!Z24*100),0,B36*3.6/1000000/'E Balans VL '!Z24*100)</f>
        <v>0</v>
      </c>
      <c r="D36" s="240" t="s">
        <v>707</v>
      </c>
    </row>
    <row r="37" spans="1:5">
      <c r="A37" s="174" t="s">
        <v>270</v>
      </c>
      <c r="B37" s="38">
        <f>IF( ISERROR(IND_rest_ele_kWh/1000),0,IND_rest_ele_kWh/1000)</f>
        <v>2199.7965264705199</v>
      </c>
      <c r="C37" s="40">
        <f>IF(ISERROR(B37*3.6/1000000/'E Balans VL '!Z15*100),0,B37*3.6/1000000/'E Balans VL '!Z15*100)</f>
        <v>1.6611713365708797E-2</v>
      </c>
      <c r="D37" s="240" t="s">
        <v>707</v>
      </c>
    </row>
    <row r="38" spans="1:5">
      <c r="A38" s="243"/>
      <c r="B38" s="183"/>
      <c r="C38" s="183"/>
      <c r="D38" s="244"/>
    </row>
    <row r="39" spans="1:5">
      <c r="A39" s="234"/>
      <c r="B39" s="33"/>
      <c r="C39" s="33"/>
      <c r="D39" s="33"/>
      <c r="E39" s="33"/>
    </row>
    <row r="40" spans="1:5">
      <c r="A40" s="196" t="s">
        <v>494</v>
      </c>
      <c r="B40" s="206"/>
      <c r="C40" s="206"/>
      <c r="D40" s="228"/>
    </row>
    <row r="41" spans="1:5">
      <c r="A41" s="239"/>
      <c r="B41" s="33"/>
      <c r="C41" s="33"/>
      <c r="D41" s="235"/>
    </row>
    <row r="42" spans="1:5">
      <c r="A42" s="245"/>
      <c r="B42" s="246"/>
      <c r="C42" s="227" t="s">
        <v>379</v>
      </c>
      <c r="D42" s="247" t="s">
        <v>182</v>
      </c>
    </row>
    <row r="43" spans="1:5">
      <c r="A43" s="174" t="s">
        <v>266</v>
      </c>
      <c r="B43" s="321">
        <f>aantalZB_NB_industrie+aantalZB_NB_industrie_met_kantoor</f>
        <v>0</v>
      </c>
      <c r="C43" s="44"/>
      <c r="D43" s="235"/>
    </row>
    <row r="44" spans="1:5">
      <c r="A44" s="174" t="s">
        <v>491</v>
      </c>
      <c r="B44" s="317">
        <v>4.2</v>
      </c>
      <c r="C44" s="44"/>
      <c r="D44" s="311" t="s">
        <v>525</v>
      </c>
    </row>
    <row r="45" spans="1:5">
      <c r="A45" s="6" t="s">
        <v>492</v>
      </c>
      <c r="B45" s="322">
        <f>1.34/3.6</f>
        <v>0.37222222222222223</v>
      </c>
      <c r="C45" s="44" t="s">
        <v>218</v>
      </c>
      <c r="D45" s="311" t="s">
        <v>525</v>
      </c>
    </row>
    <row r="46" spans="1:5" s="33" customFormat="1">
      <c r="A46" s="178"/>
      <c r="B46" s="249"/>
      <c r="C46" s="183"/>
      <c r="D46" s="244"/>
    </row>
    <row r="48" spans="1:5">
      <c r="A48" s="197" t="s">
        <v>495</v>
      </c>
      <c r="B48" s="206"/>
      <c r="C48" s="206"/>
      <c r="D48" s="228"/>
    </row>
    <row r="49" spans="1:4">
      <c r="A49" s="233"/>
      <c r="B49" s="33"/>
      <c r="C49" s="33"/>
      <c r="D49" s="235"/>
    </row>
    <row r="50" spans="1:4">
      <c r="A50" s="245"/>
      <c r="B50" s="246"/>
      <c r="C50" s="227" t="s">
        <v>379</v>
      </c>
      <c r="D50" s="247" t="s">
        <v>182</v>
      </c>
    </row>
    <row r="51" spans="1:4">
      <c r="A51" s="174" t="s">
        <v>266</v>
      </c>
      <c r="B51" s="321">
        <f>aantalWP_NB_industrie+AantalWP_NB_industrie_met_kantoor</f>
        <v>0</v>
      </c>
      <c r="C51" s="33"/>
      <c r="D51" s="235"/>
    </row>
    <row r="52" spans="1:4">
      <c r="A52" s="174" t="s">
        <v>262</v>
      </c>
      <c r="B52" s="317">
        <v>13</v>
      </c>
      <c r="C52" s="33" t="s">
        <v>263</v>
      </c>
      <c r="D52" s="311" t="s">
        <v>525</v>
      </c>
    </row>
    <row r="53" spans="1:4">
      <c r="A53" s="174" t="s">
        <v>264</v>
      </c>
      <c r="B53" s="317">
        <v>2000</v>
      </c>
      <c r="C53" s="33" t="s">
        <v>265</v>
      </c>
      <c r="D53" s="311" t="s">
        <v>525</v>
      </c>
    </row>
    <row r="54" spans="1:4">
      <c r="A54" s="174" t="s">
        <v>422</v>
      </c>
      <c r="B54" s="317">
        <v>3.75</v>
      </c>
      <c r="C54" s="33"/>
      <c r="D54" s="311" t="s">
        <v>525</v>
      </c>
    </row>
    <row r="55" spans="1:4">
      <c r="A55" s="178"/>
      <c r="B55" s="183"/>
      <c r="C55" s="183"/>
      <c r="D55" s="244"/>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6" customWidth="1"/>
    <col min="2" max="2" width="51.140625" style="16" bestFit="1" customWidth="1"/>
    <col min="3" max="3" width="61.7109375" style="16" bestFit="1" customWidth="1"/>
    <col min="4" max="4" width="15" style="16" customWidth="1"/>
    <col min="5" max="5" width="25.5703125" style="16" customWidth="1"/>
    <col min="6" max="6" width="22.85546875" style="16" customWidth="1"/>
    <col min="7" max="7" width="17.42578125" style="16" customWidth="1"/>
    <col min="8" max="8" width="15.28515625" style="16" customWidth="1"/>
    <col min="9" max="9" width="17" style="16" customWidth="1"/>
    <col min="10" max="10" width="16" style="16" customWidth="1"/>
    <col min="11" max="11" width="20" style="16" customWidth="1"/>
    <col min="12" max="12" width="19.5703125" style="16" customWidth="1"/>
    <col min="13" max="13" width="19" style="16" customWidth="1"/>
    <col min="14" max="14" width="20.28515625" style="16" customWidth="1"/>
    <col min="15" max="15" width="17.140625" style="16" customWidth="1"/>
    <col min="16" max="16" width="21.85546875" style="16" customWidth="1"/>
    <col min="17" max="16384" width="9.140625" style="16"/>
  </cols>
  <sheetData>
    <row r="1" spans="1:18" s="318" customFormat="1" ht="17.25" thickTop="1" thickBot="1">
      <c r="A1" s="1192" t="s">
        <v>271</v>
      </c>
      <c r="B1" s="1193" t="s">
        <v>195</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ht="15.75">
      <c r="A4" s="14"/>
      <c r="B4" s="15"/>
      <c r="C4" s="15"/>
      <c r="D4" s="15"/>
      <c r="E4" s="15"/>
      <c r="F4" s="15"/>
      <c r="G4" s="15"/>
      <c r="H4" s="15"/>
      <c r="I4" s="15"/>
      <c r="J4" s="15"/>
      <c r="K4" s="15"/>
      <c r="L4" s="15"/>
      <c r="M4" s="15"/>
      <c r="N4" s="15"/>
      <c r="O4" s="15"/>
      <c r="P4" s="15"/>
      <c r="R4" s="6"/>
    </row>
    <row r="5" spans="1:18">
      <c r="A5" s="17" t="s">
        <v>272</v>
      </c>
      <c r="B5" s="31">
        <f>IF(ISERROR(SUM(LB_lb_ele_kWh,LB_rest_ele_kWh)/1000),0,SUM(LB_lb_ele_kWh,LB_rest_ele_kWh)/1000)</f>
        <v>4779.8766703658339</v>
      </c>
      <c r="C5" s="18">
        <f>'Eigen informatie GS &amp; warmtenet'!B60</f>
        <v>0</v>
      </c>
      <c r="D5" s="31">
        <f>IF(ISERROR(SUM(LB_lb_gas_kWh,LB_rest_gas_kWh)/1000),0,SUM(LB_lb_gas_kWh,LB_rest_gas_kWh)/1000)*0.902</f>
        <v>11026.340852853751</v>
      </c>
      <c r="E5" s="18">
        <f>B17*'E Balans VL '!I25/3.6*1000000/100</f>
        <v>45.029640857271225</v>
      </c>
      <c r="F5" s="18">
        <f>B17*('E Balans VL '!L25/3.6*1000000+'E Balans VL '!N25/3.6*1000000)/100</f>
        <v>15598.323877156412</v>
      </c>
      <c r="G5" s="19"/>
      <c r="H5" s="18"/>
      <c r="I5" s="18"/>
      <c r="J5" s="18">
        <f>('E Balans VL '!D25+'E Balans VL '!E25)/3.6*1000000*landbouw!B17/100</f>
        <v>591.29399343991224</v>
      </c>
      <c r="K5" s="18"/>
      <c r="L5" s="18">
        <f>L6*(-1)</f>
        <v>0</v>
      </c>
      <c r="M5" s="18"/>
      <c r="N5" s="18">
        <f>N6*(-1)</f>
        <v>21.730519480519479</v>
      </c>
      <c r="O5" s="18"/>
      <c r="P5" s="18"/>
      <c r="R5" s="33"/>
    </row>
    <row r="6" spans="1:18">
      <c r="A6" s="17" t="s">
        <v>502</v>
      </c>
      <c r="B6" s="18" t="s">
        <v>211</v>
      </c>
      <c r="C6" s="18">
        <f>'lokale energieproductie'!O92+'lokale energieproductie'!O61</f>
        <v>7525.8652597402597</v>
      </c>
      <c r="D6" s="312">
        <f>('lokale energieproductie'!P61+'lokale energieproductie'!P92)*(-1)</f>
        <v>-15030.000000000002</v>
      </c>
      <c r="E6" s="251"/>
      <c r="F6" s="312">
        <f>('lokale energieproductie'!S61+'lokale energieproductie'!S92)*(-1)</f>
        <v>0</v>
      </c>
      <c r="G6" s="252"/>
      <c r="H6" s="251"/>
      <c r="I6" s="251"/>
      <c r="J6" s="251"/>
      <c r="K6" s="251"/>
      <c r="L6" s="312">
        <f>('lokale energieproductie'!T61+'lokale energieproductie'!U61+'lokale energieproductie'!T92+'lokale energieproductie'!U92)*(-1)</f>
        <v>0</v>
      </c>
      <c r="M6" s="251"/>
      <c r="N6" s="312">
        <f>('lokale energieproductie'!V61+'lokale energieproductie'!R61+'lokale energieproductie'!Q61+'lokale energieproductie'!Q92+'lokale energieproductie'!R92+'lokale energieproductie'!V92)*(-1)</f>
        <v>-21.730519480519479</v>
      </c>
      <c r="O6" s="251"/>
      <c r="P6" s="251"/>
      <c r="R6" s="33"/>
    </row>
    <row r="7" spans="1:18">
      <c r="A7" s="33"/>
      <c r="B7" s="30"/>
      <c r="C7" s="30"/>
      <c r="D7" s="253"/>
      <c r="E7" s="30"/>
      <c r="F7" s="30"/>
      <c r="G7" s="29"/>
      <c r="H7" s="30"/>
      <c r="I7" s="30"/>
      <c r="J7" s="30"/>
      <c r="K7" s="30"/>
      <c r="L7" s="30"/>
      <c r="M7" s="30"/>
      <c r="N7" s="30"/>
      <c r="O7" s="30"/>
      <c r="P7" s="30"/>
      <c r="R7" s="33"/>
    </row>
    <row r="8" spans="1:18">
      <c r="A8" s="21" t="s">
        <v>273</v>
      </c>
      <c r="B8" s="22">
        <f>B5</f>
        <v>4779.8766703658339</v>
      </c>
      <c r="C8" s="22">
        <f>C5+C6</f>
        <v>7525.8652597402597</v>
      </c>
      <c r="D8" s="22">
        <f>MAX((D5+D6),0)</f>
        <v>0</v>
      </c>
      <c r="E8" s="22">
        <f>MAX((E5+E6),0)</f>
        <v>45.029640857271225</v>
      </c>
      <c r="F8" s="22">
        <f>MAX((F5+F6),0)</f>
        <v>15598.323877156412</v>
      </c>
      <c r="G8" s="22"/>
      <c r="H8" s="22"/>
      <c r="I8" s="22"/>
      <c r="J8" s="22">
        <f>MAX((J5+J6),0)</f>
        <v>591.29399343991224</v>
      </c>
      <c r="K8" s="22"/>
      <c r="L8" s="22">
        <f>MAX((L5+L6),0)</f>
        <v>0</v>
      </c>
      <c r="M8" s="22"/>
      <c r="N8" s="22">
        <f>MAX((N5+N6),0)</f>
        <v>0</v>
      </c>
      <c r="O8" s="22"/>
      <c r="P8" s="22"/>
      <c r="R8" s="33"/>
    </row>
    <row r="9" spans="1:18">
      <c r="A9"/>
      <c r="B9" s="20"/>
      <c r="C9" s="20"/>
      <c r="D9" s="20"/>
      <c r="E9" s="20"/>
      <c r="F9" s="20"/>
      <c r="G9" s="20"/>
      <c r="H9" s="20"/>
      <c r="I9" s="20"/>
      <c r="J9" s="20"/>
      <c r="K9" s="20"/>
      <c r="L9" s="20"/>
      <c r="M9" s="20"/>
      <c r="N9" s="20"/>
      <c r="O9" s="20"/>
      <c r="P9" s="20"/>
      <c r="R9" s="33"/>
    </row>
    <row r="10" spans="1:18">
      <c r="A10" s="25" t="s">
        <v>214</v>
      </c>
      <c r="B10" s="32">
        <f ca="1">'EF ele_warmte'!B12</f>
        <v>0.16752363209235635</v>
      </c>
      <c r="C10" s="32">
        <f ca="1">'EF ele_warmte'!B22</f>
        <v>0.23727688128042965</v>
      </c>
      <c r="D10" s="32">
        <f>EF_CO2_aardgas</f>
        <v>0.20200000000000001</v>
      </c>
      <c r="E10" s="32">
        <f>EF_VLgas_CO2</f>
        <v>0.22700000000000001</v>
      </c>
      <c r="F10" s="32">
        <f>EF_stookolie_CO2</f>
        <v>0.26700000000000002</v>
      </c>
      <c r="G10" s="32">
        <f>EF_diesel_CO2</f>
        <v>0.26700000000000002</v>
      </c>
      <c r="H10" s="32">
        <f>EF_benzine_CO2</f>
        <v>0.249</v>
      </c>
      <c r="I10" s="32">
        <f>EF_bruinkool_CO2</f>
        <v>0.35099999999999998</v>
      </c>
      <c r="J10" s="32">
        <f>EF_steenkool_CO2</f>
        <v>0.35399999999999998</v>
      </c>
      <c r="K10" s="32">
        <f>EF_anderfossiel_CO2</f>
        <v>0.26400000000000001</v>
      </c>
      <c r="L10" s="32">
        <f>'EF brandstof'!J4</f>
        <v>0</v>
      </c>
      <c r="M10" s="32">
        <f>'EF brandstof'!K4</f>
        <v>0</v>
      </c>
      <c r="N10" s="32">
        <f>'EF brandstof'!L4</f>
        <v>0</v>
      </c>
      <c r="O10" s="32"/>
      <c r="P10" s="32"/>
    </row>
    <row r="11" spans="1:18">
      <c r="A11"/>
      <c r="B11" s="23"/>
      <c r="C11" s="23"/>
      <c r="D11" s="23"/>
      <c r="E11" s="23"/>
      <c r="F11" s="23"/>
      <c r="G11" s="23"/>
      <c r="H11" s="23"/>
      <c r="I11" s="23"/>
      <c r="J11" s="23"/>
      <c r="K11" s="23"/>
      <c r="L11" s="23"/>
      <c r="M11" s="23"/>
      <c r="N11" s="23"/>
      <c r="O11" s="23"/>
      <c r="P11" s="23"/>
    </row>
    <row r="12" spans="1:18">
      <c r="A12" s="21" t="s">
        <v>213</v>
      </c>
      <c r="B12" s="24">
        <f ca="1">B8*B10</f>
        <v>800.74230077320328</v>
      </c>
      <c r="C12" s="24">
        <f ca="1">C8*C10</f>
        <v>1785.7138377678993</v>
      </c>
      <c r="D12" s="24">
        <f>D8*D10</f>
        <v>0</v>
      </c>
      <c r="E12" s="24">
        <f>E8*E10</f>
        <v>10.221728474600569</v>
      </c>
      <c r="F12" s="24">
        <f>F8*F10</f>
        <v>4164.7524752007621</v>
      </c>
      <c r="G12" s="24"/>
      <c r="H12" s="24"/>
      <c r="I12" s="24"/>
      <c r="J12" s="24">
        <f>J8*J10</f>
        <v>209.31807367772893</v>
      </c>
      <c r="K12" s="24"/>
      <c r="L12" s="24">
        <f>L8*L10</f>
        <v>0</v>
      </c>
      <c r="M12" s="24">
        <f>M8*M10</f>
        <v>0</v>
      </c>
      <c r="N12" s="24">
        <f>N8*N10</f>
        <v>0</v>
      </c>
      <c r="O12" s="24"/>
      <c r="P12" s="24"/>
    </row>
    <row r="14" spans="1:18">
      <c r="A14" s="196" t="s">
        <v>508</v>
      </c>
      <c r="B14" s="206"/>
      <c r="C14" s="228"/>
    </row>
    <row r="15" spans="1:18">
      <c r="A15" s="239"/>
      <c r="B15" s="33"/>
      <c r="C15" s="240"/>
    </row>
    <row r="16" spans="1:18">
      <c r="A16" s="258"/>
      <c r="B16" s="43" t="s">
        <v>292</v>
      </c>
      <c r="C16" s="242" t="s">
        <v>182</v>
      </c>
    </row>
    <row r="17" spans="1:4">
      <c r="A17" s="259" t="s">
        <v>112</v>
      </c>
      <c r="B17" s="257">
        <f>IF(ISERROR(SUM(LB_lb_ele_kWh,LB_rest_ele_kWh)*3.6/1000000000/'E Balans VL '!Z26*100),0,SUM(LB_lb_ele_kWh,LB_rest_ele_kWh)*3.6/1000000000/'E Balans VL '!Z26*100)</f>
        <v>0.64711892117997805</v>
      </c>
      <c r="C17" s="240" t="s">
        <v>707</v>
      </c>
      <c r="D17" s="255"/>
    </row>
    <row r="18" spans="1:4">
      <c r="A18" s="243"/>
      <c r="B18" s="256"/>
      <c r="C18" s="244"/>
    </row>
    <row r="19" spans="1:4">
      <c r="A19" s="33"/>
      <c r="B19" s="49"/>
      <c r="C19" s="33"/>
    </row>
    <row r="20" spans="1:4">
      <c r="A20" s="33"/>
      <c r="B20" s="49"/>
      <c r="C20" s="33"/>
    </row>
    <row r="21" spans="1:4" ht="15.75" thickBot="1">
      <c r="B21" s="33"/>
    </row>
    <row r="22" spans="1:4" ht="15.75" customHeight="1">
      <c r="A22" s="1200" t="s">
        <v>303</v>
      </c>
      <c r="B22" s="1203" t="s">
        <v>304</v>
      </c>
      <c r="C22" s="1203" t="s">
        <v>507</v>
      </c>
    </row>
    <row r="23" spans="1:4">
      <c r="A23" s="1201"/>
      <c r="B23" s="1204"/>
      <c r="C23" s="1204"/>
    </row>
    <row r="24" spans="1:4" ht="15.75" thickBot="1">
      <c r="A24" s="1202"/>
      <c r="B24" s="1205"/>
      <c r="C24" s="1205"/>
    </row>
    <row r="25" spans="1:4" ht="15.75">
      <c r="A25" s="14"/>
      <c r="B25" s="33"/>
    </row>
    <row r="26" spans="1:4">
      <c r="A26" s="42" t="s">
        <v>274</v>
      </c>
      <c r="B26" s="250">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1094.6618576428036</v>
      </c>
      <c r="C26" s="250">
        <f>B26*'GWP N2O_CH4'!B5</f>
        <v>22987.899010498877</v>
      </c>
      <c r="D26" s="51"/>
    </row>
    <row r="27" spans="1:4">
      <c r="A27" s="42" t="s">
        <v>275</v>
      </c>
      <c r="B27" s="250">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459.53765820906381</v>
      </c>
      <c r="C27" s="250">
        <f>B27*'GWP N2O_CH4'!B5</f>
        <v>9650.2908223903396</v>
      </c>
      <c r="D27" s="51"/>
    </row>
    <row r="28" spans="1:4">
      <c r="A28" s="42" t="s">
        <v>276</v>
      </c>
      <c r="B28" s="250">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20.400070613267673</v>
      </c>
      <c r="C28" s="250">
        <f>B28*'GWP N2O_CH4'!B4</f>
        <v>6324.0218901129783</v>
      </c>
      <c r="D28" s="51"/>
    </row>
    <row r="29" spans="1:4">
      <c r="A29" s="42" t="s">
        <v>277</v>
      </c>
      <c r="B29" s="250">
        <f>B34*'ha_N2O bodem landbouw'!B4</f>
        <v>25.012179613527017</v>
      </c>
      <c r="C29" s="250">
        <f>B29*'GWP N2O_CH4'!B4</f>
        <v>7753.7756801933756</v>
      </c>
      <c r="D29" s="51"/>
    </row>
    <row r="31" spans="1:4">
      <c r="A31" s="196" t="s">
        <v>509</v>
      </c>
      <c r="B31" s="206"/>
      <c r="C31" s="228"/>
    </row>
    <row r="32" spans="1:4">
      <c r="A32" s="239"/>
      <c r="B32" s="33"/>
      <c r="C32" s="240"/>
    </row>
    <row r="33" spans="1:5">
      <c r="A33" s="241"/>
      <c r="B33" s="227" t="s">
        <v>643</v>
      </c>
      <c r="C33" s="242" t="s">
        <v>182</v>
      </c>
    </row>
    <row r="34" spans="1:5">
      <c r="A34" s="260" t="s">
        <v>112</v>
      </c>
      <c r="B34" s="36">
        <f>IF(ISERROR(aantalCultuurgronden/'ha_N2O bodem landbouw'!B5),0,aantalCultuurgronden/'ha_N2O bodem landbouw'!B5)</f>
        <v>6.7525011055638521E-3</v>
      </c>
      <c r="C34" s="261" t="s">
        <v>642</v>
      </c>
      <c r="D34" s="28"/>
      <c r="E34" s="28"/>
    </row>
    <row r="35" spans="1:5">
      <c r="A35" s="243"/>
      <c r="B35" s="183"/>
      <c r="C35" s="244"/>
      <c r="D35" s="255"/>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sheetPr codeName="Sheet15">
    <tabColor theme="5" tint="-0.249977111117893"/>
  </sheetPr>
  <dimension ref="A1:R79"/>
  <sheetViews>
    <sheetView showGridLines="0" zoomScale="85" zoomScaleNormal="85" workbookViewId="0">
      <selection activeCell="A46" sqref="A46:A48"/>
    </sheetView>
  </sheetViews>
  <sheetFormatPr defaultRowHeight="15"/>
  <cols>
    <col min="1" max="1" width="49.42578125" bestFit="1" customWidth="1"/>
    <col min="2" max="2" width="13" bestFit="1" customWidth="1"/>
    <col min="3" max="3" width="15.85546875" bestFit="1" customWidth="1"/>
    <col min="4" max="4" width="13" bestFit="1" customWidth="1"/>
    <col min="5" max="5" width="23.855468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16.85546875" customWidth="1"/>
    <col min="13" max="13" width="15.140625" bestFit="1" customWidth="1"/>
    <col min="14" max="14" width="12.28515625" customWidth="1"/>
    <col min="15" max="15" width="12.140625" customWidth="1"/>
    <col min="16" max="16" width="14.140625" customWidth="1"/>
    <col min="17" max="17" width="6.42578125" bestFit="1" customWidth="1"/>
  </cols>
  <sheetData>
    <row r="1" spans="1:18" s="318" customFormat="1" ht="17.25" thickTop="1" thickBot="1">
      <c r="A1" s="1192" t="s">
        <v>511</v>
      </c>
      <c r="B1" s="1193" t="s">
        <v>564</v>
      </c>
      <c r="C1" s="1194"/>
      <c r="D1" s="1194"/>
      <c r="E1" s="1194"/>
      <c r="F1" s="1194"/>
      <c r="G1" s="1194"/>
      <c r="H1" s="1194"/>
      <c r="I1" s="1194"/>
      <c r="J1" s="1194"/>
      <c r="K1" s="1194"/>
      <c r="L1" s="1194"/>
      <c r="M1" s="1194"/>
      <c r="N1" s="1194"/>
      <c r="O1" s="1194"/>
      <c r="P1" s="1194"/>
    </row>
    <row r="2" spans="1:18" s="318" customFormat="1" ht="15.75" thickTop="1">
      <c r="A2" s="1192"/>
      <c r="B2" s="1195" t="s">
        <v>21</v>
      </c>
      <c r="C2" s="1195" t="s">
        <v>196</v>
      </c>
      <c r="D2" s="1197" t="s">
        <v>197</v>
      </c>
      <c r="E2" s="1198"/>
      <c r="F2" s="1198"/>
      <c r="G2" s="1198"/>
      <c r="H2" s="1198"/>
      <c r="I2" s="1198"/>
      <c r="J2" s="1198"/>
      <c r="K2" s="1199"/>
      <c r="L2" s="1197" t="s">
        <v>198</v>
      </c>
      <c r="M2" s="1198"/>
      <c r="N2" s="1198"/>
      <c r="O2" s="1198"/>
      <c r="P2" s="1199"/>
    </row>
    <row r="3" spans="1:18" s="318" customFormat="1" ht="45">
      <c r="A3" s="1192"/>
      <c r="B3" s="1196"/>
      <c r="C3" s="1196"/>
      <c r="D3" s="363" t="s">
        <v>199</v>
      </c>
      <c r="E3" s="363" t="s">
        <v>200</v>
      </c>
      <c r="F3" s="363" t="s">
        <v>201</v>
      </c>
      <c r="G3" s="363" t="s">
        <v>202</v>
      </c>
      <c r="H3" s="363" t="s">
        <v>120</v>
      </c>
      <c r="I3" s="363" t="s">
        <v>203</v>
      </c>
      <c r="J3" s="363" t="s">
        <v>204</v>
      </c>
      <c r="K3" s="363" t="s">
        <v>205</v>
      </c>
      <c r="L3" s="363" t="s">
        <v>206</v>
      </c>
      <c r="M3" s="363" t="s">
        <v>207</v>
      </c>
      <c r="N3" s="363" t="s">
        <v>208</v>
      </c>
      <c r="O3" s="363" t="s">
        <v>209</v>
      </c>
      <c r="P3" s="363" t="s">
        <v>210</v>
      </c>
    </row>
    <row r="4" spans="1:18">
      <c r="C4" s="16"/>
    </row>
    <row r="5" spans="1:18" s="8" customFormat="1">
      <c r="A5" s="289" t="s">
        <v>329</v>
      </c>
      <c r="B5" s="432">
        <f>SUM(B6:B11)</f>
        <v>2.3016514477344391E-5</v>
      </c>
      <c r="C5" s="447" t="s">
        <v>211</v>
      </c>
      <c r="D5" s="432">
        <f>SUM(D6:D11)</f>
        <v>5.9736651294521839E-5</v>
      </c>
      <c r="E5" s="432">
        <f>SUM(E6:E11)</f>
        <v>3.9994163192675347E-3</v>
      </c>
      <c r="F5" s="445" t="s">
        <v>211</v>
      </c>
      <c r="G5" s="432">
        <f>SUM(G6:G11)</f>
        <v>1.0883622989409243</v>
      </c>
      <c r="H5" s="432">
        <f>SUM(H6:H11)</f>
        <v>0.13798600327306698</v>
      </c>
      <c r="I5" s="447" t="s">
        <v>211</v>
      </c>
      <c r="J5" s="447" t="s">
        <v>211</v>
      </c>
      <c r="K5" s="447" t="s">
        <v>211</v>
      </c>
      <c r="L5" s="447" t="s">
        <v>211</v>
      </c>
      <c r="M5" s="432">
        <f>SUM(M6:M11)</f>
        <v>5.4777335425386972E-2</v>
      </c>
      <c r="N5" s="447" t="s">
        <v>211</v>
      </c>
      <c r="O5" s="447" t="s">
        <v>211</v>
      </c>
      <c r="P5" s="448" t="s">
        <v>211</v>
      </c>
    </row>
    <row r="6" spans="1:18">
      <c r="A6" s="265" t="s">
        <v>765</v>
      </c>
      <c r="B6" s="433">
        <f>vkm_2011_GW_PW*SUMIFS(TableVerdeelsleutelVkm[ELECTRIC],TableVerdeelsleutelVkm[Voertuigtype],"Lichte voertuigen")*SUMIFS(TableECFTransport[EnergieConsumptieFactor (PJ per km)],TableECFTransport[Index],CONCATENATE($A6,"_ELECTRIC_ELECTRIC"))
+vkm_2011_GW_PW*SUMIFS(TableVerdeelsleutelVkm[DIESEL HYBRID PHEV],TableVerdeelsleutelVkm[Voertuigtype],"Lichte voertuigen")*SUMIFS(TableECFTransport[EnergieConsumptieFactor (PJ per km)],TableECFTransport[Index],CONCATENATE($A6,"_DIESEL HYBRID PHEV_ELECTRIC"))
+vkm_2011_GW_PW*SUMIFS(TableVerdeelsleutelVkm[PETROL HYBRID PHEV],TableVerdeelsleutelVkm[Voertuigtype],"Lichte voertuigen")*SUMIFS(TableECFTransport[EnergieConsumptieFactor (PJ per km)],TableECFTransport[Index],CONCATENATE($A6,"_PETROL HYBRID PHEV_ELECTRIC"))</f>
        <v>8.8676977086510553E-6</v>
      </c>
      <c r="C6" s="433"/>
      <c r="D6" s="433">
        <f>vkm_2011_GW_PW*SUMIFS(TableVerdeelsleutelVkm[CNG],TableVerdeelsleutelVkm[Voertuigtype],"Lichte voertuigen")*SUMIFS(TableECFTransport[EnergieConsumptieFactor (PJ per km)],TableECFTransport[Index],CONCATENATE($A6,"_CNG_CNG"))</f>
        <v>2.1655066312803354E-5</v>
      </c>
      <c r="E6" s="435">
        <f>vkm_2011_GW_PW*SUMIFS(TableVerdeelsleutelVkm[LPG],TableVerdeelsleutelVkm[Voertuigtype],"Lichte voertuigen")*SUMIFS(TableECFTransport[EnergieConsumptieFactor (PJ per km)],TableECFTransport[Index],CONCATENATE($A6,"_LPG_LPG"))</f>
        <v>1.2836004206498535E-3</v>
      </c>
      <c r="F6" s="435"/>
      <c r="G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CS_DIESEL")))*(1-$C$35)</f>
        <v>0.18555954040817565</v>
      </c>
      <c r="H6" s="433">
        <f>(vkm_2011_GW_PW*SUMIFS(TableVerdeelsleutelVkm[PETROL],TableVerdeelsleutelVkm[Voertuigtype],"Lichte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CS_PETROL")))*(1-$C$42)</f>
        <v>4.862982451413863E-2</v>
      </c>
      <c r="I6" s="433"/>
      <c r="J6" s="433"/>
      <c r="K6" s="433"/>
      <c r="L6" s="433"/>
      <c r="M6" s="433">
        <f>(vkm_2011_GW_PW*SUMIFS(TableVerdeelsleutelVkm[DIESEL],TableVerdeelsleutelVkm[Voertuigtype],"Lichte voertuigen")*SUMIFS(TableECFTransport[EnergieConsumptieFactor (PJ per km)],TableECFTransport[Index],CONCATENATE($A6,"_DIESEL_DIESEL"))
+vkm_2011_GW_PW*SUMIFS(TableVerdeelsleutelVkm[DIESEL HYBRID PHEV],TableVerdeelsleutelVkm[Voertuigtype],"Lichte voertuigen")*SUMIFS(TableECFTransport[EnergieConsumptieFactor (PJ per km)],TableECFTransport[Index],CONCATENATE($A6,"_DIESEL HYBRID PHEV_DIESEL"))
+vkm_2011_GW_PW*SUMIFS(TableVerdeelsleutelVkm[DIESEL HYBRID CS],TableVerdeelsleutelVkm[Voertuigtype],"Lichte voertuigen")*SUMIFS(TableECFTransport[EnergieConsumptieFactor (PJ per km)],TableECFTransport[Index],CONCATENATE($A6,"_DIESEL HYBRID CS_DIESEL")))*($C$35)
+(vkm_2011_GW_PW*SUMIFS(TableVerdeelsleutelVkm[PETROL],TableVerdeelsleutelVkm[Voertuigtype],"Lichte voertuigen")*SUMIFS(TableECFTransport[EnergieConsumptieFactor (PJ per km)],TableECFTransport[Index],CONCATENATE($A6,"_PETROL_PETROL"))
+vkm_2011_GW_PW*SUMIFS(TableVerdeelsleutelVkm[PETROL HYBRID PHEV],TableVerdeelsleutelVkm[Voertuigtype],"Lichte voertuigen")*SUMIFS(TableECFTransport[EnergieConsumptieFactor (PJ per km)],TableECFTransport[Index],CONCATENATE($A6,"_PETROL HYBRID PHEV_PETROL"))
+vkm_2011_GW_PW*SUMIFS(TableVerdeelsleutelVkm[PETROL HYBRID CS],TableVerdeelsleutelVkm[Voertuigtype],"Lichte voertuigen")*SUMIFS(TableECFTransport[EnergieConsumptieFactor (PJ per km)],TableECFTransport[Index],CONCATENATE($A6,"_PETROL HYBRID CS_PETROL")))*($C$42)</f>
        <v>1.0487431047389254E-2</v>
      </c>
      <c r="N6" s="433"/>
      <c r="O6" s="433"/>
      <c r="P6" s="434"/>
    </row>
    <row r="7" spans="1:18">
      <c r="A7" s="265" t="s">
        <v>766</v>
      </c>
      <c r="B7" s="433">
        <f>vkm_2011_GW_ZV*SUMIFS(TableVerdeelsleutelVkm[ELECTRIC],TableVerdeelsleutelVkm[Voertuigtype],"Zware voertuigen")*SUMIFS(TableECFTransport[EnergieConsumptieFactor (PJ per km)],TableECFTransport[Index],CONCATENATE($A7,"_ELECTRIC_ELECTRIC"))
+vkm_2011_GW_ZV*SUMIFS(TableVerdeelsleutelVkm[DIESEL HYBRID PHEV],TableVerdeelsleutelVkm[Voertuigtype],"Zware voertuigen")*SUMIFS(TableECFTransport[EnergieConsumptieFactor (PJ per km)],TableECFTransport[Index],CONCATENATE($A7,"_DIESEL HYBRID PHEV_ELECTRIC"))
+vkm_2011_GW_ZV*SUMIFS(TableVerdeelsleutelVkm[PETROL HYBRID PHEV],TableVerdeelsleutelVkm[Voertuigtype],"Zware voertuigen")*SUMIFS(TableECFTransport[EnergieConsumptieFactor (PJ per km)],TableECFTransport[Index],CONCATENATE($A7,"_PETROL HYBRID PHEV_ELECTRIC"))</f>
        <v>0</v>
      </c>
      <c r="C7" s="433"/>
      <c r="D7" s="435">
        <f>vkm_2011_GW_ZV*SUMIFS(TableVerdeelsleutelVkm[CNG],TableVerdeelsleutelVkm[Voertuigtype],"Zware voertuigen")*SUMIFS(TableECFTransport[EnergieConsumptieFactor (PJ per km)],TableECFTransport[Index],CONCATENATE($A7,"_CNG_CNG"))</f>
        <v>0</v>
      </c>
      <c r="E7" s="435">
        <f>vkm_2011_GW_ZV*SUMIFS(TableVerdeelsleutelVkm[LPG],TableVerdeelsleutelVkm[Voertuigtype],"Zware voertuigen")*SUMIFS(TableECFTransport[EnergieConsumptieFactor (PJ per km)],TableECFTransport[Index],CONCATENATE($A7,"_LPG_LPG"))</f>
        <v>0</v>
      </c>
      <c r="F7" s="435"/>
      <c r="G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CS_DIESEL")))*(1-$C$35)</f>
        <v>8.6134974890017715E-2</v>
      </c>
      <c r="H7" s="893">
        <f>(vkm_2011_GW_ZV*SUMIFS(TableVerdeelsleutelVkm[PETROL],TableVerdeelsleutelVkm[Voertuigtype],"Zware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CS_PETROL")))*(1-$C$42)</f>
        <v>3.4752104247715124E-5</v>
      </c>
      <c r="I7" s="433"/>
      <c r="J7" s="433"/>
      <c r="K7" s="433"/>
      <c r="L7" s="433"/>
      <c r="M7" s="433">
        <f>(vkm_2011_GW_ZV*SUMIFS(TableVerdeelsleutelVkm[DIESEL],TableVerdeelsleutelVkm[Voertuigtype],"Zware voertuigen")*SUMIFS(TableECFTransport[EnergieConsumptieFactor (PJ per km)],TableECFTransport[Index],CONCATENATE($A7,"_DIESEL_DIESEL"))
+vkm_2011_GW_ZV*SUMIFS(TableVerdeelsleutelVkm[DIESEL HYBRID PHEV],TableVerdeelsleutelVkm[Voertuigtype],"Zware voertuigen")*SUMIFS(TableECFTransport[EnergieConsumptieFactor (PJ per km)],TableECFTransport[Index],CONCATENATE($A7,"_DIESEL HYBRID PHEV_DIESEL"))
+vkm_2011_GW_ZV*SUMIFS(TableVerdeelsleutelVkm[DIESEL HYBRID CS],TableVerdeelsleutelVkm[Voertuigtype],"Zware voertuigen")*SUMIFS(TableECFTransport[EnergieConsumptieFactor (PJ per km)],TableECFTransport[Index],CONCATENATE($A7,"_DIESEL HYBRID CS_DIESEL")))*($C$35)
+(vkm_2011_GW_ZV*SUMIFS(TableVerdeelsleutelVkm[PETROL],TableVerdeelsleutelVkm[Voertuigtype],"Zware voertuigen")*SUMIFS(TableECFTransport[EnergieConsumptieFactor (PJ per km)],TableECFTransport[Index],CONCATENATE($A7,"_PETROL_PETROL"))
+vkm_2011_GW_ZV*SUMIFS(TableVerdeelsleutelVkm[PETROL HYBRID PHEV],TableVerdeelsleutelVkm[Voertuigtype],"Zware voertuigen")*SUMIFS(TableECFTransport[EnergieConsumptieFactor (PJ per km)],TableECFTransport[Index],CONCATENATE($A7,"_PETROL HYBRID PHEV_PETROL"))
+vkm_2011_GW_ZV*SUMIFS(TableVerdeelsleutelVkm[PETROL HYBRID CS],TableVerdeelsleutelVkm[Voertuigtype],"Zware voertuigen")*SUMIFS(TableECFTransport[EnergieConsumptieFactor (PJ per km)],TableECFTransport[Index],CONCATENATE($A7,"_PETROL HYBRID CS_PETROL")))*($C$42)</f>
        <v>3.8372864813756608E-3</v>
      </c>
      <c r="N7" s="433"/>
      <c r="O7" s="433"/>
      <c r="P7" s="434"/>
    </row>
    <row r="8" spans="1:18">
      <c r="A8" s="265" t="s">
        <v>767</v>
      </c>
      <c r="B8" s="433">
        <f>vkm_2011_NGW_PW*SUMIFS(TableVerdeelsleutelVkm[ELECTRIC],TableVerdeelsleutelVkm[Voertuigtype],"Lichte voertuigen")*SUMIFS(TableECFTransport[EnergieConsumptieFactor (PJ per km)],TableECFTransport[Index],CONCATENATE($A8,"_ELECTRIC_ELECTRIC"))
+vkm_2011_NGW_PW*SUMIFS(TableVerdeelsleutelVkm[DIESEL HYBRID PHEV],TableVerdeelsleutelVkm[Voertuigtype],"Lichte voertuigen")*SUMIFS(TableECFTransport[EnergieConsumptieFactor (PJ per km)],TableECFTransport[Index],CONCATENATE($A8,"_DIESEL HYBRID PHEV_ELECTRIC"))
+vkm_2011_NGW_PW*SUMIFS(TableVerdeelsleutelVkm[PETROL HYBRID PHEV],TableVerdeelsleutelVkm[Voertuigtype],"Lichte voertuigen")*SUMIFS(TableECFTransport[EnergieConsumptieFactor (PJ per km)],TableECFTransport[Index],CONCATENATE($A8,"_PETROL HYBRID PHEV_ELECTRIC"))</f>
        <v>1.2528976782467313E-6</v>
      </c>
      <c r="C8" s="433"/>
      <c r="D8" s="435">
        <f>vkm_2011_NGW_PW*SUMIFS(TableVerdeelsleutelVkm[CNG],TableVerdeelsleutelVkm[Voertuigtype],"Lichte voertuigen")*SUMIFS(TableECFTransport[EnergieConsumptieFactor (PJ per km)],TableECFTransport[Index],CONCATENATE($A8,"_CNG_CNG"))</f>
        <v>5.4894370490633051E-6</v>
      </c>
      <c r="E8" s="435">
        <f>vkm_2011_NGW_PW*SUMIFS(TableVerdeelsleutelVkm[LPG],TableVerdeelsleutelVkm[Voertuigtype],"Lichte voertuigen")*SUMIFS(TableECFTransport[EnergieConsumptieFactor (PJ per km)],TableECFTransport[Index],CONCATENATE($A8,"_LPG_LPG"))</f>
        <v>2.9850852942647224E-4</v>
      </c>
      <c r="F8" s="435"/>
      <c r="G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CS_DIESEL")))*(1-$C$35)</f>
        <v>4.076591388050145E-2</v>
      </c>
      <c r="H8" s="893">
        <f>(vkm_2011_NGW_PW*SUMIFS(TableVerdeelsleutelVkm[PETROL],TableVerdeelsleutelVkm[Voertuigtype],"Lichte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CS_PETROL")))*(1-$C$42)</f>
        <v>1.1804669791903854E-2</v>
      </c>
      <c r="I8" s="433"/>
      <c r="J8" s="433"/>
      <c r="K8" s="433"/>
      <c r="L8" s="433"/>
      <c r="M8" s="433">
        <f>(vkm_2011_NGW_PW*SUMIFS(TableVerdeelsleutelVkm[DIESEL],TableVerdeelsleutelVkm[Voertuigtype],"Lichte voertuigen")*SUMIFS(TableECFTransport[EnergieConsumptieFactor (PJ per km)],TableECFTransport[Index],CONCATENATE($A8,"_DIESEL_DIESEL"))
+vkm_2011_NGW_PW*SUMIFS(TableVerdeelsleutelVkm[DIESEL HYBRID PHEV],TableVerdeelsleutelVkm[Voertuigtype],"Lichte voertuigen")*SUMIFS(TableECFTransport[EnergieConsumptieFactor (PJ per km)],TableECFTransport[Index],CONCATENATE($A8,"_DIESEL HYBRID PHEV_DIESEL"))
+vkm_2011_NGW_PW*SUMIFS(TableVerdeelsleutelVkm[DIESEL HYBRID CS],TableVerdeelsleutelVkm[Voertuigtype],"Lichte voertuigen")*SUMIFS(TableECFTransport[EnergieConsumptieFactor (PJ per km)],TableECFTransport[Index],CONCATENATE($A8,"_DIESEL HYBRID CS_DIESEL")))*($C$35)
+(vkm_2011_NGW_PW*SUMIFS(TableVerdeelsleutelVkm[PETROL],TableVerdeelsleutelVkm[Voertuigtype],"Lichte voertuigen")*SUMIFS(TableECFTransport[EnergieConsumptieFactor (PJ per km)],TableECFTransport[Index],CONCATENATE($A8,"_PETROL_PETROL"))
+vkm_2011_NGW_PW*SUMIFS(TableVerdeelsleutelVkm[PETROL HYBRID PHEV],TableVerdeelsleutelVkm[Voertuigtype],"Lichte voertuigen")*SUMIFS(TableECFTransport[EnergieConsumptieFactor (PJ per km)],TableECFTransport[Index],CONCATENATE($A8,"_PETROL HYBRID PHEV_PETROL"))
+vkm_2011_NGW_PW*SUMIFS(TableVerdeelsleutelVkm[PETROL HYBRID CS],TableVerdeelsleutelVkm[Voertuigtype],"Lichte voertuigen")*SUMIFS(TableECFTransport[EnergieConsumptieFactor (PJ per km)],TableECFTransport[Index],CONCATENATE($A8,"_PETROL HYBRID CS_PETROL")))*($C$42)</f>
        <v>2.3552795938273511E-3</v>
      </c>
      <c r="N8" s="433"/>
      <c r="O8" s="433"/>
      <c r="P8" s="434"/>
    </row>
    <row r="9" spans="1:18">
      <c r="A9" s="265" t="s">
        <v>768</v>
      </c>
      <c r="B9" s="433">
        <f>vkm_2011_NGW_ZV*SUMIFS(TableVerdeelsleutelVkm[ELECTRIC],TableVerdeelsleutelVkm[Voertuigtype],"Zware voertuigen")*SUMIFS(TableECFTransport[EnergieConsumptieFactor (PJ per km)],TableECFTransport[Index],CONCATENATE($A9,"_ELECTRIC_ELECTRIC"))
+vkm_2011_NGW_ZV*SUMIFS(TableVerdeelsleutelVkm[DIESEL HYBRID PHEV],TableVerdeelsleutelVkm[Voertuigtype],"Zware voertuigen")*SUMIFS(TableECFTransport[EnergieConsumptieFactor (PJ per km)],TableECFTransport[Index],CONCATENATE($A9,"_DIESEL HYBRID PHEV_ELECTRIC"))
+vkm_2011_NGW_ZV*SUMIFS(TableVerdeelsleutelVkm[PETROL HYBRID PHEV],TableVerdeelsleutelVkm[Voertuigtype],"Zware voertuigen")*SUMIFS(TableECFTransport[EnergieConsumptieFactor (PJ per km)],TableECFTransport[Index],CONCATENATE($A9,"_PETROL HYBRID PHEV_ELECTRIC"))</f>
        <v>0</v>
      </c>
      <c r="C9" s="433"/>
      <c r="D9" s="435">
        <f>vkm_2011_NGW_ZV*SUMIFS(TableVerdeelsleutelVkm[CNG],TableVerdeelsleutelVkm[Voertuigtype],"Zware voertuigen")*SUMIFS(TableECFTransport[EnergieConsumptieFactor (PJ per km)],TableECFTransport[Index],CONCATENATE($A9,"_CNG_CNG"))</f>
        <v>0</v>
      </c>
      <c r="E9" s="435">
        <f>vkm_2011_NGW_ZV*SUMIFS(TableVerdeelsleutelVkm[LPG],TableVerdeelsleutelVkm[Voertuigtype],"Zware voertuigen")*SUMIFS(TableECFTransport[EnergieConsumptieFactor (PJ per km)],TableECFTransport[Index],CONCATENATE($A9,"_LPG_LPG"))</f>
        <v>0</v>
      </c>
      <c r="F9" s="435"/>
      <c r="G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CS_DIESEL")))*(1-$C$35)</f>
        <v>3.1426240549569978E-3</v>
      </c>
      <c r="H9" s="893">
        <f>(vkm_2011_NGW_ZV*SUMIFS(TableVerdeelsleutelVkm[PETROL],TableVerdeelsleutelVkm[Voertuigtype],"Zware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CS_PETROL")))*(1-$C$42)</f>
        <v>1.1039778348354752E-6</v>
      </c>
      <c r="I9" s="433"/>
      <c r="J9" s="433"/>
      <c r="K9" s="433"/>
      <c r="L9" s="433"/>
      <c r="M9" s="433">
        <f>(vkm_2011_NGW_ZV*SUMIFS(TableVerdeelsleutelVkm[DIESEL],TableVerdeelsleutelVkm[Voertuigtype],"Zware voertuigen")*SUMIFS(TableECFTransport[EnergieConsumptieFactor (PJ per km)],TableECFTransport[Index],CONCATENATE($A9,"_DIESEL_DIESEL"))
+vkm_2011_NGW_ZV*SUMIFS(TableVerdeelsleutelVkm[DIESEL HYBRID PHEV],TableVerdeelsleutelVkm[Voertuigtype],"Zware voertuigen")*SUMIFS(TableECFTransport[EnergieConsumptieFactor (PJ per km)],TableECFTransport[Index],CONCATENATE($A9,"_DIESEL HYBRID PHEV_DIESEL"))
+vkm_2011_NGW_ZV*SUMIFS(TableVerdeelsleutelVkm[DIESEL HYBRID CS],TableVerdeelsleutelVkm[Voertuigtype],"Zware voertuigen")*SUMIFS(TableECFTransport[EnergieConsumptieFactor (PJ per km)],TableECFTransport[Index],CONCATENATE($A9,"_DIESEL HYBRID CS_DIESEL")))*($C$35)
+(vkm_2011_NGW_ZV*SUMIFS(TableVerdeelsleutelVkm[PETROL],TableVerdeelsleutelVkm[Voertuigtype],"Zware voertuigen")*SUMIFS(TableECFTransport[EnergieConsumptieFactor (PJ per km)],TableECFTransport[Index],CONCATENATE($A9,"_PETROL_PETROL"))
+vkm_2011_NGW_ZV*SUMIFS(TableVerdeelsleutelVkm[PETROL HYBRID PHEV],TableVerdeelsleutelVkm[Voertuigtype],"Zware voertuigen")*SUMIFS(TableECFTransport[EnergieConsumptieFactor (PJ per km)],TableECFTransport[Index],CONCATENATE($A9,"_PETROL HYBRID PHEV_PETROL"))
+vkm_2011_NGW_ZV*SUMIFS(TableVerdeelsleutelVkm[PETROL HYBRID CS],TableVerdeelsleutelVkm[Voertuigtype],"Zware voertuigen")*SUMIFS(TableECFTransport[EnergieConsumptieFactor (PJ per km)],TableECFTransport[Index],CONCATENATE($A9,"_PETROL HYBRID CS_PETROL")))*($C$42)</f>
        <v>1.3999543063869296E-4</v>
      </c>
      <c r="N9" s="433"/>
      <c r="O9" s="433"/>
      <c r="P9" s="434"/>
    </row>
    <row r="10" spans="1:18">
      <c r="A10" s="265" t="s">
        <v>769</v>
      </c>
      <c r="B10" s="433">
        <f>vkm_2011_SW_PW*SUMIFS(TableVerdeelsleutelVkm[ELECTRIC],TableVerdeelsleutelVkm[Voertuigtype],"Lichte voertuigen")*SUMIFS(TableECFTransport[EnergieConsumptieFactor (PJ per km)],TableECFTransport[Index],CONCATENATE($A10,"_ELECTRIC_ELECTRIC"))
+vkm_2011_SW_PW*SUMIFS(TableVerdeelsleutelVkm[DIESEL HYBRID PHEV],TableVerdeelsleutelVkm[Voertuigtype],"Lichte voertuigen")*SUMIFS(TableECFTransport[EnergieConsumptieFactor (PJ per km)],TableECFTransport[Index],CONCATENATE($A10,"_DIESEL HYBRID PHEV_ELECTRIC"))
+vkm_2011_SW_PW*SUMIFS(TableVerdeelsleutelVkm[PETROL HYBRID PHEV],TableVerdeelsleutelVkm[Voertuigtype],"Lichte voertuigen")*SUMIFS(TableECFTransport[EnergieConsumptieFactor (PJ per km)],TableECFTransport[Index],CONCATENATE($A10,"_PETROL HYBRID PHEV_ELECTRIC"))</f>
        <v>1.2895919090446605E-5</v>
      </c>
      <c r="C10" s="433"/>
      <c r="D10" s="435">
        <f>vkm_2011_SW_PW*SUMIFS(TableVerdeelsleutelVkm[CNG],TableVerdeelsleutelVkm[Voertuigtype],"Lichte voertuigen")*SUMIFS(TableECFTransport[EnergieConsumptieFactor (PJ per km)],TableECFTransport[Index],CONCATENATE($A10,"_CNG_CNG"))</f>
        <v>3.2592147932655176E-5</v>
      </c>
      <c r="E10" s="435">
        <f>vkm_2011_SW_PW*SUMIFS(TableVerdeelsleutelVkm[LPG],TableVerdeelsleutelVkm[Voertuigtype],"Lichte voertuigen")*SUMIFS(TableECFTransport[EnergieConsumptieFactor (PJ per km)],TableECFTransport[Index],CONCATENATE($A10,"_LPG_LPG"))</f>
        <v>2.4173073691912089E-3</v>
      </c>
      <c r="F10" s="435"/>
      <c r="G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CS_DIESEL")))*(1-$C$35)</f>
        <v>0.31846672581009539</v>
      </c>
      <c r="H10" s="893">
        <f>(vkm_2011_SW_PW*SUMIFS(TableVerdeelsleutelVkm[PETROL],TableVerdeelsleutelVkm[Voertuigtype],"Lichte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CS_PETROL")))*(1-$C$42)</f>
        <v>7.7321192338220532E-2</v>
      </c>
      <c r="I10" s="433"/>
      <c r="J10" s="433"/>
      <c r="K10" s="433"/>
      <c r="L10" s="433"/>
      <c r="M10" s="433">
        <f>(vkm_2011_SW_PW*SUMIFS(TableVerdeelsleutelVkm[DIESEL],TableVerdeelsleutelVkm[Voertuigtype],"Lichte voertuigen")*SUMIFS(TableECFTransport[EnergieConsumptieFactor (PJ per km)],TableECFTransport[Index],CONCATENATE($A10,"_DIESEL_DIESEL"))
+vkm_2011_SW_PW*SUMIFS(TableVerdeelsleutelVkm[DIESEL HYBRID PHEV],TableVerdeelsleutelVkm[Voertuigtype],"Lichte voertuigen")*SUMIFS(TableECFTransport[EnergieConsumptieFactor (PJ per km)],TableECFTransport[Index],CONCATENATE($A10,"_DIESEL HYBRID PHEV_DIESEL"))
+vkm_2011_SW_PW*SUMIFS(TableVerdeelsleutelVkm[DIESEL HYBRID CS],TableVerdeelsleutelVkm[Voertuigtype],"Lichte voertuigen")*SUMIFS(TableECFTransport[EnergieConsumptieFactor (PJ per km)],TableECFTransport[Index],CONCATENATE($A10,"_DIESEL HYBRID CS_DIESEL")))*($C$35)
+(vkm_2011_SW_PW*SUMIFS(TableVerdeelsleutelVkm[PETROL],TableVerdeelsleutelVkm[Voertuigtype],"Lichte voertuigen")*SUMIFS(TableECFTransport[EnergieConsumptieFactor (PJ per km)],TableECFTransport[Index],CONCATENATE($A10,"_PETROL_PETROL"))
+vkm_2011_SW_PW*SUMIFS(TableVerdeelsleutelVkm[PETROL HYBRID PHEV],TableVerdeelsleutelVkm[Voertuigtype],"Lichte voertuigen")*SUMIFS(TableECFTransport[EnergieConsumptieFactor (PJ per km)],TableECFTransport[Index],CONCATENATE($A10,"_PETROL HYBRID PHEV_PETROL"))
+vkm_2011_SW_PW*SUMIFS(TableVerdeelsleutelVkm[PETROL HYBRID CS],TableVerdeelsleutelVkm[Voertuigtype],"Lichte voertuigen")*SUMIFS(TableECFTransport[EnergieConsumptieFactor (PJ per km)],TableECFTransport[Index],CONCATENATE($A10,"_PETROL HYBRID CS_PETROL")))*($C$42)</f>
        <v>1.7718240717332585E-2</v>
      </c>
      <c r="N10" s="433"/>
      <c r="O10" s="433"/>
      <c r="P10" s="434"/>
    </row>
    <row r="11" spans="1:18">
      <c r="A11" s="4" t="s">
        <v>770</v>
      </c>
      <c r="B11" s="436">
        <f>vkm_2011_SW_ZV*SUMIFS(TableVerdeelsleutelVkm[ELECTRIC],TableVerdeelsleutelVkm[Voertuigtype],"Zware voertuigen")*SUMIFS(TableECFTransport[EnergieConsumptieFactor (PJ per km)],TableECFTransport[Index],CONCATENATE($A11,"_ELECTRIC_ELECTRIC"))
+vkm_2011_SW_ZV*SUMIFS(TableVerdeelsleutelVkm[DIESEL HYBRID PHEV],TableVerdeelsleutelVkm[Voertuigtype],"Zware voertuigen")*SUMIFS(TableECFTransport[EnergieConsumptieFactor (PJ per km)],TableECFTransport[Index],CONCATENATE($A11,"_DIESEL HYBRID PHEV_ELECTRIC"))
+vkm_2011_SW_ZV*SUMIFS(TableVerdeelsleutelVkm[PETROL HYBRID PHEV],TableVerdeelsleutelVkm[Voertuigtype],"Zware voertuigen")*SUMIFS(TableECFTransport[EnergieConsumptieFactor (PJ per km)],TableECFTransport[Index],CONCATENATE($A11,"_PETROL HYBRID PHEV_ELECTRIC"))</f>
        <v>0</v>
      </c>
      <c r="C11" s="436"/>
      <c r="D11" s="437">
        <f>vkm_2011_SW_ZV*SUMIFS(TableVerdeelsleutelVkm[CNG],TableVerdeelsleutelVkm[Voertuigtype],"Zware voertuigen")*SUMIFS(TableECFTransport[EnergieConsumptieFactor (PJ per km)],TableECFTransport[Index],CONCATENATE($A11,"_CNG_CNG"))</f>
        <v>0</v>
      </c>
      <c r="E11" s="437">
        <f>vkm_2011_SW_ZV*SUMIFS(TableVerdeelsleutelVkm[LPG],TableVerdeelsleutelVkm[Voertuigtype],"Zware voertuigen")*SUMIFS(TableECFTransport[EnergieConsumptieFactor (PJ per km)],TableECFTransport[Index],CONCATENATE($A11,"_LPG_LPG"))</f>
        <v>0</v>
      </c>
      <c r="F11" s="437"/>
      <c r="G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CS_DIESEL")))*(1-$C$35)</f>
        <v>0.45429251989717706</v>
      </c>
      <c r="H11" s="894">
        <f>(vkm_2011_SW_ZV*SUMIFS(TableVerdeelsleutelVkm[PETROL],TableVerdeelsleutelVkm[Voertuigtype],"Zware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CS_PETROL")))*(1-$C$42)</f>
        <v>1.9446054672141793E-4</v>
      </c>
      <c r="I11" s="436"/>
      <c r="J11" s="436"/>
      <c r="K11" s="436"/>
      <c r="L11" s="436"/>
      <c r="M11" s="436">
        <f>(vkm_2011_SW_ZV*SUMIFS(TableVerdeelsleutelVkm[DIESEL],TableVerdeelsleutelVkm[Voertuigtype],"Zware voertuigen")*SUMIFS(TableECFTransport[EnergieConsumptieFactor (PJ per km)],TableECFTransport[Index],CONCATENATE($A11,"_DIESEL_DIESEL"))
+vkm_2011_SW_ZV*SUMIFS(TableVerdeelsleutelVkm[DIESEL HYBRID PHEV],TableVerdeelsleutelVkm[Voertuigtype],"Zware voertuigen")*SUMIFS(TableECFTransport[EnergieConsumptieFactor (PJ per km)],TableECFTransport[Index],CONCATENATE($A11,"_DIESEL HYBRID PHEV_DIESEL"))
+vkm_2011_SW_ZV*SUMIFS(TableVerdeelsleutelVkm[DIESEL HYBRID CS],TableVerdeelsleutelVkm[Voertuigtype],"Zware voertuigen")*SUMIFS(TableECFTransport[EnergieConsumptieFactor (PJ per km)],TableECFTransport[Index],CONCATENATE($A11,"_DIESEL HYBRID CS_DIESEL")))*($C$35)
+(vkm_2011_SW_ZV*SUMIFS(TableVerdeelsleutelVkm[PETROL],TableVerdeelsleutelVkm[Voertuigtype],"Zware voertuigen")*SUMIFS(TableECFTransport[EnergieConsumptieFactor (PJ per km)],TableECFTransport[Index],CONCATENATE($A11,"_PETROL_PETROL"))
+vkm_2011_SW_ZV*SUMIFS(TableVerdeelsleutelVkm[PETROL HYBRID PHEV],TableVerdeelsleutelVkm[Voertuigtype],"Zware voertuigen")*SUMIFS(TableECFTransport[EnergieConsumptieFactor (PJ per km)],TableECFTransport[Index],CONCATENATE($A11,"_PETROL HYBRID PHEV_PETROL"))
+vkm_2011_SW_ZV*SUMIFS(TableVerdeelsleutelVkm[PETROL HYBRID CS],TableVerdeelsleutelVkm[Voertuigtype],"Zware voertuigen")*SUMIFS(TableECFTransport[EnergieConsumptieFactor (PJ per km)],TableECFTransport[Index],CONCATENATE($A11,"_PETROL HYBRID CS_PETROL")))*($C$42)</f>
        <v>2.0239102154823423E-2</v>
      </c>
      <c r="N11" s="436"/>
      <c r="O11" s="436"/>
      <c r="P11" s="438"/>
    </row>
    <row r="12" spans="1:18">
      <c r="A12" s="334" t="s">
        <v>562</v>
      </c>
      <c r="B12" s="446">
        <f>('Eigen vloot'!B27)*(-1)</f>
        <v>0</v>
      </c>
      <c r="C12" s="446"/>
      <c r="D12" s="446">
        <f>('Eigen vloot'!D27)*(-1)</f>
        <v>0</v>
      </c>
      <c r="E12" s="446">
        <f>('Eigen vloot'!E27)*(-1)</f>
        <v>0</v>
      </c>
      <c r="F12" s="439"/>
      <c r="G12" s="446">
        <f>('Eigen vloot'!G27)*(-1)</f>
        <v>0</v>
      </c>
      <c r="H12" s="446">
        <f>('Eigen vloot'!H27)*(-1)</f>
        <v>0</v>
      </c>
      <c r="I12" s="446"/>
      <c r="J12" s="446"/>
      <c r="K12" s="446"/>
      <c r="L12" s="446"/>
      <c r="M12" s="446">
        <f>('Eigen vloot'!M27)*(-1)</f>
        <v>0</v>
      </c>
      <c r="N12" s="446"/>
      <c r="O12" s="446"/>
      <c r="P12" s="449"/>
    </row>
    <row r="13" spans="1:18">
      <c r="B13" s="12"/>
      <c r="C13" s="56"/>
      <c r="D13" s="56"/>
      <c r="E13" s="56"/>
      <c r="F13" s="56"/>
      <c r="G13" s="12"/>
      <c r="H13" s="12"/>
      <c r="I13" s="11"/>
      <c r="J13" s="12"/>
      <c r="K13" s="12"/>
      <c r="L13" s="12"/>
      <c r="M13" s="12"/>
      <c r="N13" s="12"/>
      <c r="O13" s="12"/>
      <c r="P13" s="12"/>
    </row>
    <row r="14" spans="1:18" s="16" customFormat="1">
      <c r="A14" s="21" t="s">
        <v>338</v>
      </c>
      <c r="B14" s="22">
        <f>((B5)*10^9/3600)+B12</f>
        <v>6.3934762437067754</v>
      </c>
      <c r="C14" s="22"/>
      <c r="D14" s="22">
        <f t="shared" ref="D14:M14" si="0">((D5)*10^9/3600)+D12</f>
        <v>16.593514248478289</v>
      </c>
      <c r="E14" s="22">
        <f t="shared" si="0"/>
        <v>1110.9489775743152</v>
      </c>
      <c r="F14" s="22"/>
      <c r="G14" s="22">
        <f t="shared" si="0"/>
        <v>302322.86081692344</v>
      </c>
      <c r="H14" s="22">
        <f t="shared" si="0"/>
        <v>38329.445353629715</v>
      </c>
      <c r="I14" s="22"/>
      <c r="J14" s="22"/>
      <c r="K14" s="22"/>
      <c r="L14" s="22"/>
      <c r="M14" s="22">
        <f t="shared" si="0"/>
        <v>15215.926507051938</v>
      </c>
      <c r="N14" s="22"/>
      <c r="O14" s="22"/>
      <c r="P14" s="22"/>
      <c r="R14" s="33"/>
    </row>
    <row r="15" spans="1:18" s="16" customFormat="1">
      <c r="A15" s="43"/>
      <c r="B15" s="55"/>
      <c r="C15" s="55"/>
      <c r="D15" s="55"/>
      <c r="E15" s="55"/>
      <c r="F15" s="55"/>
      <c r="G15" s="55"/>
      <c r="H15" s="55"/>
      <c r="I15" s="55"/>
      <c r="J15" s="55"/>
      <c r="K15" s="55"/>
      <c r="L15" s="55"/>
      <c r="M15" s="55"/>
      <c r="N15" s="55"/>
      <c r="O15" s="55"/>
      <c r="P15" s="55"/>
      <c r="R15" s="33"/>
    </row>
    <row r="16" spans="1:18">
      <c r="A16" s="25" t="s">
        <v>214</v>
      </c>
      <c r="B16" s="57">
        <f ca="1">'EF ele_warmte'!B12</f>
        <v>0.16752363209235635</v>
      </c>
      <c r="C16" s="57">
        <f ca="1">'EF ele_warmte'!B22</f>
        <v>0.23727688128042965</v>
      </c>
      <c r="D16" s="26">
        <f>EF_CO2_aardgas</f>
        <v>0.20200000000000001</v>
      </c>
      <c r="E16" s="26">
        <f>EF_VLgas_CO2</f>
        <v>0.22700000000000001</v>
      </c>
      <c r="F16" s="26">
        <f>EF_stookolie_CO2</f>
        <v>0.26700000000000002</v>
      </c>
      <c r="G16" s="26">
        <f>EF_diesel_CO2</f>
        <v>0.26700000000000002</v>
      </c>
      <c r="H16" s="26">
        <f>EF_benzine_CO2</f>
        <v>0.249</v>
      </c>
      <c r="I16" s="26">
        <f>EF_bruinkool_CO2</f>
        <v>0.35099999999999998</v>
      </c>
      <c r="J16" s="26">
        <f>EF_steenkool_CO2</f>
        <v>0.35399999999999998</v>
      </c>
      <c r="K16" s="26">
        <f>EF_anderfossiel_CO2</f>
        <v>0.26400000000000001</v>
      </c>
      <c r="L16" s="57">
        <f>'EF brandstof'!J4</f>
        <v>0</v>
      </c>
      <c r="M16" s="57">
        <f>'EF brandstof'!K4</f>
        <v>0</v>
      </c>
      <c r="N16" s="57">
        <f>'EF brandstof'!L4</f>
        <v>0</v>
      </c>
      <c r="O16" s="58"/>
      <c r="P16" s="58"/>
    </row>
    <row r="17" spans="1:18" s="16" customFormat="1">
      <c r="A17" s="43"/>
      <c r="B17" s="55"/>
      <c r="C17" s="55"/>
      <c r="D17" s="55"/>
      <c r="E17" s="55"/>
      <c r="F17" s="55"/>
      <c r="G17" s="55"/>
      <c r="H17" s="55"/>
      <c r="I17" s="55"/>
      <c r="J17" s="55"/>
      <c r="K17" s="55"/>
      <c r="L17" s="55"/>
      <c r="M17" s="55"/>
      <c r="N17" s="55"/>
      <c r="O17" s="55"/>
      <c r="P17" s="55"/>
      <c r="R17" s="33"/>
    </row>
    <row r="18" spans="1:18" s="16" customFormat="1">
      <c r="A18" s="21" t="s">
        <v>340</v>
      </c>
      <c r="B18" s="24">
        <f ca="1">B14*B16</f>
        <v>1.0710583620419543</v>
      </c>
      <c r="C18" s="24"/>
      <c r="D18" s="24">
        <f t="shared" ref="D18:M18" si="1">D14*D16</f>
        <v>3.3518898781926145</v>
      </c>
      <c r="E18" s="24">
        <f t="shared" si="1"/>
        <v>252.18541790936956</v>
      </c>
      <c r="F18" s="24"/>
      <c r="G18" s="24">
        <f t="shared" si="1"/>
        <v>80720.203838118556</v>
      </c>
      <c r="H18" s="24">
        <f t="shared" si="1"/>
        <v>9544.0318930537996</v>
      </c>
      <c r="I18" s="24"/>
      <c r="J18" s="24"/>
      <c r="K18" s="24"/>
      <c r="L18" s="24"/>
      <c r="M18" s="24">
        <f t="shared" si="1"/>
        <v>0</v>
      </c>
      <c r="N18" s="24"/>
      <c r="O18" s="24"/>
      <c r="P18" s="24"/>
    </row>
    <row r="19" spans="1:18" s="16" customFormat="1">
      <c r="A19" s="43"/>
      <c r="B19" s="313"/>
      <c r="C19" s="55"/>
      <c r="D19" s="55"/>
      <c r="E19" s="55"/>
      <c r="F19" s="55"/>
      <c r="G19" s="55"/>
      <c r="H19" s="55"/>
      <c r="I19" s="55"/>
      <c r="J19" s="55"/>
      <c r="K19" s="55"/>
      <c r="L19" s="55"/>
      <c r="M19" s="55"/>
      <c r="N19" s="55"/>
      <c r="O19" s="55"/>
      <c r="P19" s="55"/>
      <c r="R19" s="33"/>
    </row>
    <row r="20" spans="1:18">
      <c r="A20" s="1"/>
      <c r="B20" s="1"/>
      <c r="E20" s="771"/>
    </row>
    <row r="21" spans="1:18">
      <c r="A21" s="905" t="s">
        <v>513</v>
      </c>
      <c r="B21" s="906"/>
      <c r="C21" s="907"/>
      <c r="D21" s="907"/>
      <c r="E21" s="907"/>
      <c r="F21" s="907"/>
      <c r="G21" s="907"/>
      <c r="H21" s="907"/>
      <c r="I21" s="907"/>
      <c r="J21" s="907"/>
      <c r="K21" s="907"/>
      <c r="L21" s="907"/>
      <c r="M21" s="907"/>
      <c r="N21" s="908"/>
    </row>
    <row r="22" spans="1:18">
      <c r="A22" s="263"/>
      <c r="B22" s="264"/>
      <c r="C22" s="44"/>
      <c r="D22" s="44"/>
      <c r="E22" s="44"/>
      <c r="F22" s="44"/>
      <c r="G22" s="44"/>
      <c r="H22" s="44"/>
      <c r="I22" s="44"/>
      <c r="J22" s="44"/>
      <c r="K22" s="44"/>
      <c r="L22" s="44"/>
      <c r="M22" s="44"/>
      <c r="N22" s="177"/>
    </row>
    <row r="23" spans="1:18">
      <c r="A23" s="270" t="s">
        <v>308</v>
      </c>
      <c r="B23" s="909" t="s">
        <v>309</v>
      </c>
      <c r="C23" s="909" t="s">
        <v>777</v>
      </c>
      <c r="D23" s="909" t="s">
        <v>778</v>
      </c>
      <c r="E23" s="909" t="s">
        <v>779</v>
      </c>
      <c r="F23" s="909" t="s">
        <v>733</v>
      </c>
      <c r="G23" s="909" t="s">
        <v>780</v>
      </c>
      <c r="H23" s="909" t="s">
        <v>781</v>
      </c>
      <c r="I23" s="909" t="s">
        <v>119</v>
      </c>
      <c r="J23" s="909" t="s">
        <v>782</v>
      </c>
      <c r="K23" s="909" t="s">
        <v>783</v>
      </c>
      <c r="L23" s="910" t="s">
        <v>784</v>
      </c>
      <c r="M23" s="130" t="s">
        <v>182</v>
      </c>
      <c r="N23" s="271" t="s">
        <v>316</v>
      </c>
    </row>
    <row r="24" spans="1:18">
      <c r="A24" s="33" t="s">
        <v>771</v>
      </c>
      <c r="B24" s="915">
        <v>7.5383182964092058E-5</v>
      </c>
      <c r="C24" s="915">
        <v>0.79113856503471547</v>
      </c>
      <c r="D24" s="912"/>
      <c r="E24" s="911"/>
      <c r="F24" s="915">
        <v>2.0468851282562625E-5</v>
      </c>
      <c r="G24" s="911">
        <v>8.9110709653589411E-5</v>
      </c>
      <c r="H24" s="912"/>
      <c r="I24" s="916">
        <v>5.0808721234526554E-3</v>
      </c>
      <c r="J24" s="916">
        <v>0.20172107429844888</v>
      </c>
      <c r="K24" s="916">
        <v>1.9636365091363597E-3</v>
      </c>
      <c r="L24" s="890"/>
      <c r="M24" s="272" t="s">
        <v>787</v>
      </c>
      <c r="N24" s="892">
        <f>SUM(B24:K24)</f>
        <v>1.0000891107096537</v>
      </c>
    </row>
    <row r="25" spans="1:18">
      <c r="A25" s="33" t="s">
        <v>772</v>
      </c>
      <c r="B25" s="912" t="s">
        <v>789</v>
      </c>
      <c r="C25" s="911">
        <v>0.99938226685951392</v>
      </c>
      <c r="D25" s="912"/>
      <c r="E25" s="912"/>
      <c r="F25" s="911" t="s">
        <v>789</v>
      </c>
      <c r="G25" s="912" t="s">
        <v>789</v>
      </c>
      <c r="H25" s="912"/>
      <c r="I25" s="912" t="s">
        <v>789</v>
      </c>
      <c r="J25" s="912">
        <v>6.1773314048609224E-4</v>
      </c>
      <c r="K25" s="912" t="s">
        <v>789</v>
      </c>
      <c r="L25" s="890"/>
      <c r="M25" s="272" t="s">
        <v>787</v>
      </c>
      <c r="N25" s="892">
        <f>SUM(B25:K25)</f>
        <v>1</v>
      </c>
    </row>
    <row r="26" spans="1:18">
      <c r="A26" s="243"/>
      <c r="B26" s="183"/>
      <c r="C26" s="183"/>
      <c r="D26" s="183"/>
      <c r="E26" s="183"/>
      <c r="F26" s="183"/>
      <c r="G26" s="183"/>
      <c r="H26" s="183"/>
      <c r="I26" s="183"/>
      <c r="J26" s="183"/>
      <c r="K26" s="183"/>
      <c r="L26" s="181"/>
      <c r="M26" s="181"/>
      <c r="N26" s="179"/>
    </row>
    <row r="27" spans="1:18" s="44" customFormat="1"/>
    <row r="28" spans="1:18">
      <c r="A28" s="266" t="s">
        <v>514</v>
      </c>
      <c r="B28" s="267"/>
      <c r="C28" s="267"/>
      <c r="D28" s="267"/>
      <c r="E28" s="267"/>
      <c r="F28" s="267"/>
      <c r="G28" s="267"/>
      <c r="H28" s="267"/>
      <c r="I28" s="267"/>
      <c r="J28" s="267"/>
      <c r="K28" s="267"/>
      <c r="L28" s="268"/>
    </row>
    <row r="29" spans="1:18">
      <c r="A29" s="265"/>
      <c r="B29" s="269"/>
      <c r="C29" s="269"/>
      <c r="D29" s="269"/>
      <c r="E29" s="269"/>
      <c r="F29" s="44"/>
      <c r="G29" s="44"/>
      <c r="H29" s="44"/>
      <c r="I29" s="44"/>
      <c r="J29" s="44"/>
      <c r="K29" s="44"/>
      <c r="L29" s="177"/>
    </row>
    <row r="30" spans="1:18">
      <c r="A30" s="431" t="s">
        <v>202</v>
      </c>
      <c r="B30" s="276" t="s">
        <v>318</v>
      </c>
      <c r="C30" s="888">
        <v>2012</v>
      </c>
      <c r="D30" s="276" t="s">
        <v>319</v>
      </c>
      <c r="E30" s="246" t="s">
        <v>182</v>
      </c>
      <c r="F30" s="273"/>
      <c r="G30" s="246"/>
      <c r="H30" s="246"/>
      <c r="I30" s="246"/>
      <c r="J30" s="246"/>
      <c r="K30" s="246"/>
      <c r="L30" s="274"/>
    </row>
    <row r="31" spans="1:18">
      <c r="A31" s="277" t="s">
        <v>320</v>
      </c>
      <c r="B31" s="278"/>
      <c r="C31" s="279"/>
      <c r="D31" s="278">
        <v>4.2694999999999997E-2</v>
      </c>
      <c r="E31" s="333" t="s">
        <v>803</v>
      </c>
      <c r="F31" s="54"/>
      <c r="G31" s="44"/>
      <c r="H31" s="44"/>
      <c r="I31" s="44"/>
      <c r="J31" s="44"/>
      <c r="K31" s="44"/>
      <c r="L31" s="177"/>
    </row>
    <row r="32" spans="1:18">
      <c r="A32" s="280" t="s">
        <v>321</v>
      </c>
      <c r="B32" s="281"/>
      <c r="C32" s="282"/>
      <c r="D32" s="281">
        <v>3.73E-2</v>
      </c>
      <c r="E32" s="333" t="s">
        <v>803</v>
      </c>
      <c r="F32" s="54"/>
      <c r="G32" s="44"/>
      <c r="H32" s="44"/>
      <c r="I32" s="44"/>
      <c r="J32" s="44"/>
      <c r="K32" s="44"/>
      <c r="L32" s="177"/>
    </row>
    <row r="33" spans="1:16">
      <c r="A33" s="280" t="s">
        <v>322</v>
      </c>
      <c r="B33" s="283"/>
      <c r="C33" s="284"/>
      <c r="D33" s="59"/>
      <c r="E33" s="913"/>
      <c r="F33" s="54"/>
      <c r="G33" s="44"/>
      <c r="H33" s="44"/>
      <c r="I33" s="44"/>
      <c r="J33" s="44"/>
      <c r="K33" s="44"/>
      <c r="L33" s="177"/>
    </row>
    <row r="34" spans="1:16">
      <c r="A34" s="280" t="s">
        <v>323</v>
      </c>
      <c r="B34" s="283"/>
      <c r="C34" s="285">
        <v>4.8500000000000001E-2</v>
      </c>
      <c r="D34" s="59"/>
      <c r="E34" s="333" t="s">
        <v>788</v>
      </c>
      <c r="F34" s="54"/>
      <c r="G34" s="44"/>
      <c r="H34" s="44"/>
      <c r="I34" s="44"/>
      <c r="J34" s="44"/>
      <c r="K34" s="44"/>
      <c r="L34" s="177"/>
    </row>
    <row r="35" spans="1:16">
      <c r="A35" s="280" t="s">
        <v>324</v>
      </c>
      <c r="B35" s="283"/>
      <c r="C35" s="285">
        <f>1/(1+((1/C34-1)*($D$31/$D$32)))</f>
        <v>4.2632748056554821E-2</v>
      </c>
      <c r="D35" s="59"/>
      <c r="E35" s="157"/>
      <c r="F35" s="54"/>
      <c r="G35" s="44"/>
      <c r="H35" s="44"/>
      <c r="I35" s="44"/>
      <c r="J35" s="44"/>
      <c r="K35" s="44"/>
      <c r="L35" s="177"/>
    </row>
    <row r="36" spans="1:16">
      <c r="A36" s="265"/>
      <c r="B36" s="44"/>
      <c r="C36" s="44"/>
      <c r="D36" s="44"/>
      <c r="E36" s="157"/>
      <c r="F36" s="54"/>
      <c r="G36" s="44"/>
      <c r="H36" s="44"/>
      <c r="I36" s="44"/>
      <c r="J36" s="44"/>
      <c r="K36" s="44"/>
      <c r="L36" s="177"/>
    </row>
    <row r="37" spans="1:16">
      <c r="A37" s="431" t="s">
        <v>120</v>
      </c>
      <c r="B37" s="276" t="s">
        <v>318</v>
      </c>
      <c r="C37" s="888">
        <v>2012</v>
      </c>
      <c r="D37" s="276" t="s">
        <v>319</v>
      </c>
      <c r="E37" s="914" t="s">
        <v>182</v>
      </c>
      <c r="F37" s="288"/>
      <c r="G37" s="270"/>
      <c r="H37" s="270"/>
      <c r="I37" s="270"/>
      <c r="J37" s="270"/>
      <c r="K37" s="270"/>
      <c r="L37" s="271"/>
    </row>
    <row r="38" spans="1:16">
      <c r="A38" s="280" t="s">
        <v>325</v>
      </c>
      <c r="B38" s="281"/>
      <c r="C38" s="282"/>
      <c r="D38" s="281">
        <v>4.3774E-2</v>
      </c>
      <c r="E38" s="333" t="s">
        <v>803</v>
      </c>
      <c r="F38" s="284"/>
      <c r="G38" s="59"/>
      <c r="H38" s="59"/>
      <c r="I38" s="59"/>
      <c r="J38" s="59"/>
      <c r="K38" s="59"/>
      <c r="L38" s="286"/>
    </row>
    <row r="39" spans="1:16">
      <c r="A39" s="280" t="s">
        <v>326</v>
      </c>
      <c r="B39" s="281"/>
      <c r="C39" s="282"/>
      <c r="D39" s="281">
        <v>2.8799999999999999E-2</v>
      </c>
      <c r="E39" s="333" t="s">
        <v>803</v>
      </c>
      <c r="F39" s="284"/>
      <c r="G39" s="59"/>
      <c r="H39" s="59"/>
      <c r="I39" s="59"/>
      <c r="J39" s="59"/>
      <c r="K39" s="59"/>
      <c r="L39" s="286"/>
    </row>
    <row r="40" spans="1:16">
      <c r="A40" s="280" t="s">
        <v>322</v>
      </c>
      <c r="B40" s="283"/>
      <c r="C40" s="284"/>
      <c r="D40" s="284"/>
      <c r="E40" s="333"/>
      <c r="F40" s="59"/>
      <c r="G40" s="59"/>
      <c r="H40" s="59"/>
      <c r="I40" s="59"/>
      <c r="J40" s="59"/>
      <c r="K40" s="59"/>
      <c r="L40" s="286"/>
    </row>
    <row r="41" spans="1:16">
      <c r="A41" s="280" t="s">
        <v>327</v>
      </c>
      <c r="B41" s="283"/>
      <c r="C41" s="285">
        <v>6.5000000000000002E-2</v>
      </c>
      <c r="D41" s="284"/>
      <c r="E41" s="333" t="s">
        <v>788</v>
      </c>
      <c r="F41" s="59"/>
      <c r="G41" s="59"/>
      <c r="H41" s="59"/>
      <c r="I41" s="59"/>
      <c r="J41" s="59"/>
      <c r="K41" s="59"/>
      <c r="L41" s="286"/>
    </row>
    <row r="42" spans="1:16">
      <c r="A42" s="280" t="s">
        <v>324</v>
      </c>
      <c r="B42" s="283"/>
      <c r="C42" s="285">
        <f>1/(1+((1/C41-1)*($D$38/$D$39)))</f>
        <v>4.3737612641291536E-2</v>
      </c>
      <c r="D42" s="284"/>
      <c r="E42" s="157"/>
      <c r="F42" s="59"/>
      <c r="G42" s="287"/>
      <c r="H42" s="59"/>
      <c r="I42" s="59"/>
      <c r="J42" s="59"/>
      <c r="K42" s="59"/>
      <c r="L42" s="286"/>
    </row>
    <row r="43" spans="1:16">
      <c r="A43" s="4"/>
      <c r="B43" s="181"/>
      <c r="C43" s="181"/>
      <c r="D43" s="181"/>
      <c r="E43" s="181"/>
      <c r="F43" s="181"/>
      <c r="G43" s="181"/>
      <c r="H43" s="181"/>
      <c r="I43" s="181"/>
      <c r="J43" s="181"/>
      <c r="K43" s="181"/>
      <c r="L43" s="179"/>
    </row>
    <row r="44" spans="1:16" s="44" customFormat="1"/>
    <row r="45" spans="1:16" s="44" customFormat="1" ht="15.75" thickBot="1">
      <c r="A45" s="181"/>
      <c r="B45" s="181"/>
      <c r="C45" s="181"/>
      <c r="D45" s="181"/>
      <c r="E45" s="181"/>
      <c r="F45" s="181"/>
      <c r="G45" s="181"/>
      <c r="H45" s="181"/>
      <c r="I45" s="181"/>
      <c r="J45" s="181"/>
      <c r="K45" s="181"/>
      <c r="L45" s="181"/>
    </row>
    <row r="46" spans="1:16" s="16" customFormat="1" ht="17.25" thickTop="1" thickBot="1">
      <c r="A46" s="1206" t="s">
        <v>512</v>
      </c>
      <c r="B46" s="1207" t="s">
        <v>563</v>
      </c>
      <c r="C46" s="1208"/>
      <c r="D46" s="1208"/>
      <c r="E46" s="1208"/>
      <c r="F46" s="1208"/>
      <c r="G46" s="1208"/>
      <c r="H46" s="1208"/>
      <c r="I46" s="1208"/>
      <c r="J46" s="1208"/>
      <c r="K46" s="1208"/>
      <c r="L46" s="1208"/>
      <c r="M46" s="1208"/>
      <c r="N46" s="1208"/>
      <c r="O46" s="1208"/>
      <c r="P46" s="1208"/>
    </row>
    <row r="47" spans="1:16" s="16" customFormat="1" ht="15.75" thickTop="1">
      <c r="A47" s="1206"/>
      <c r="B47" s="1209" t="s">
        <v>21</v>
      </c>
      <c r="C47" s="1209" t="s">
        <v>196</v>
      </c>
      <c r="D47" s="1211" t="s">
        <v>197</v>
      </c>
      <c r="E47" s="1212"/>
      <c r="F47" s="1212"/>
      <c r="G47" s="1212"/>
      <c r="H47" s="1212"/>
      <c r="I47" s="1212"/>
      <c r="J47" s="1212"/>
      <c r="K47" s="1213"/>
      <c r="L47" s="1211" t="s">
        <v>198</v>
      </c>
      <c r="M47" s="1212"/>
      <c r="N47" s="1212"/>
      <c r="O47" s="1212"/>
      <c r="P47" s="1213"/>
    </row>
    <row r="48" spans="1:16" s="16" customFormat="1" ht="45">
      <c r="A48" s="1206"/>
      <c r="B48" s="1210"/>
      <c r="C48" s="1210"/>
      <c r="D48" s="13" t="s">
        <v>199</v>
      </c>
      <c r="E48" s="13" t="s">
        <v>200</v>
      </c>
      <c r="F48" s="13" t="s">
        <v>201</v>
      </c>
      <c r="G48" s="13" t="s">
        <v>202</v>
      </c>
      <c r="H48" s="13" t="s">
        <v>120</v>
      </c>
      <c r="I48" s="13" t="s">
        <v>203</v>
      </c>
      <c r="J48" s="13" t="s">
        <v>204</v>
      </c>
      <c r="K48" s="13" t="s">
        <v>205</v>
      </c>
      <c r="L48" s="13" t="s">
        <v>206</v>
      </c>
      <c r="M48" s="13" t="s">
        <v>207</v>
      </c>
      <c r="N48" s="13" t="s">
        <v>208</v>
      </c>
      <c r="O48" s="13" t="s">
        <v>209</v>
      </c>
      <c r="P48" s="13" t="s">
        <v>210</v>
      </c>
    </row>
    <row r="49" spans="1:18" s="16" customFormat="1">
      <c r="A49" s="43"/>
      <c r="B49" s="55"/>
      <c r="C49" s="55"/>
      <c r="D49" s="55"/>
      <c r="E49" s="55"/>
      <c r="F49" s="55"/>
      <c r="G49" s="55"/>
      <c r="H49" s="55"/>
      <c r="I49" s="55"/>
      <c r="J49" s="55"/>
      <c r="K49" s="55"/>
      <c r="L49" s="55"/>
      <c r="M49" s="55"/>
      <c r="N49" s="55"/>
      <c r="O49" s="55"/>
      <c r="P49" s="55"/>
      <c r="R49" s="33"/>
    </row>
    <row r="50" spans="1:18" s="301" customFormat="1">
      <c r="A50" s="300" t="s">
        <v>332</v>
      </c>
      <c r="B50" s="323">
        <f>SUM(B51:B52)</f>
        <v>0</v>
      </c>
      <c r="C50" s="323">
        <f t="shared" ref="C50:P50" si="2">SUM(C51:C52)</f>
        <v>0</v>
      </c>
      <c r="D50" s="323">
        <f t="shared" si="2"/>
        <v>0</v>
      </c>
      <c r="E50" s="323">
        <f t="shared" si="2"/>
        <v>0</v>
      </c>
      <c r="F50" s="323">
        <f t="shared" si="2"/>
        <v>0</v>
      </c>
      <c r="G50" s="323">
        <f t="shared" si="2"/>
        <v>1.3187449362217126E-2</v>
      </c>
      <c r="H50" s="323">
        <f t="shared" si="2"/>
        <v>0</v>
      </c>
      <c r="I50" s="323">
        <f t="shared" si="2"/>
        <v>0</v>
      </c>
      <c r="J50" s="323">
        <f t="shared" si="2"/>
        <v>0</v>
      </c>
      <c r="K50" s="323">
        <f t="shared" si="2"/>
        <v>0</v>
      </c>
      <c r="L50" s="323">
        <f t="shared" si="2"/>
        <v>0</v>
      </c>
      <c r="M50" s="323">
        <f t="shared" si="2"/>
        <v>5.7908265555341708E-4</v>
      </c>
      <c r="N50" s="323">
        <f t="shared" si="2"/>
        <v>0</v>
      </c>
      <c r="O50" s="323">
        <f t="shared" si="2"/>
        <v>0</v>
      </c>
      <c r="P50" s="324">
        <f t="shared" si="2"/>
        <v>0</v>
      </c>
    </row>
    <row r="51" spans="1:18">
      <c r="A51" s="265" t="s">
        <v>331</v>
      </c>
      <c r="B51" s="325"/>
      <c r="C51" s="326"/>
      <c r="D51" s="326"/>
      <c r="E51" s="326"/>
      <c r="F51" s="326"/>
      <c r="G51" s="325">
        <f>vkm_2011_bus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1.3187449362217126E-2</v>
      </c>
      <c r="H51" s="325"/>
      <c r="I51" s="327"/>
      <c r="J51" s="325"/>
      <c r="K51" s="325"/>
      <c r="L51" s="325"/>
      <c r="M51" s="325">
        <f>vkm_2011_bus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5.7908265555341708E-4</v>
      </c>
      <c r="N51" s="325"/>
      <c r="O51" s="325"/>
      <c r="P51" s="328"/>
    </row>
    <row r="52" spans="1:18">
      <c r="A52" s="4" t="s">
        <v>330</v>
      </c>
      <c r="B52" s="329">
        <f>vkm_2011_tram*SUMIFS(TableECFTransport[EnergieConsumptieFactor (PJ per km)],TableECFTransport[Index],"Tram_gemiddeld_Electric_Electric")</f>
        <v>0</v>
      </c>
      <c r="C52" s="330"/>
      <c r="D52" s="330"/>
      <c r="E52" s="330"/>
      <c r="F52" s="330"/>
      <c r="G52" s="329"/>
      <c r="H52" s="329"/>
      <c r="I52" s="331"/>
      <c r="J52" s="329"/>
      <c r="K52" s="329"/>
      <c r="L52" s="329"/>
      <c r="M52" s="329"/>
      <c r="N52" s="329"/>
      <c r="O52" s="329"/>
      <c r="P52" s="332"/>
    </row>
    <row r="53" spans="1:18">
      <c r="B53" s="12"/>
      <c r="C53" s="56"/>
      <c r="D53" s="56"/>
      <c r="E53" s="56"/>
      <c r="F53" s="56"/>
      <c r="G53" s="12"/>
      <c r="H53" s="12"/>
      <c r="I53" s="11"/>
      <c r="J53" s="12"/>
      <c r="K53" s="12"/>
      <c r="L53" s="12"/>
      <c r="M53" s="12"/>
      <c r="N53" s="12"/>
      <c r="O53" s="12"/>
      <c r="P53" s="12"/>
    </row>
    <row r="54" spans="1:18" s="16" customFormat="1">
      <c r="A54" s="21" t="s">
        <v>339</v>
      </c>
      <c r="B54" s="22">
        <f>(B50)*10^9/3600</f>
        <v>0</v>
      </c>
      <c r="C54" s="22">
        <f t="shared" ref="C54:P54" si="3">(C50)*10^9/3600</f>
        <v>0</v>
      </c>
      <c r="D54" s="22">
        <f t="shared" si="3"/>
        <v>0</v>
      </c>
      <c r="E54" s="22">
        <f t="shared" si="3"/>
        <v>0</v>
      </c>
      <c r="F54" s="22">
        <f t="shared" si="3"/>
        <v>0</v>
      </c>
      <c r="G54" s="22">
        <f t="shared" si="3"/>
        <v>3663.1803783936462</v>
      </c>
      <c r="H54" s="22">
        <f t="shared" si="3"/>
        <v>0</v>
      </c>
      <c r="I54" s="22">
        <f t="shared" si="3"/>
        <v>0</v>
      </c>
      <c r="J54" s="22">
        <f t="shared" si="3"/>
        <v>0</v>
      </c>
      <c r="K54" s="22">
        <f t="shared" si="3"/>
        <v>0</v>
      </c>
      <c r="L54" s="22">
        <f t="shared" si="3"/>
        <v>0</v>
      </c>
      <c r="M54" s="22">
        <f t="shared" si="3"/>
        <v>160.85629320928251</v>
      </c>
      <c r="N54" s="22">
        <f t="shared" si="3"/>
        <v>0</v>
      </c>
      <c r="O54" s="22">
        <f t="shared" si="3"/>
        <v>0</v>
      </c>
      <c r="P54" s="22">
        <f t="shared" si="3"/>
        <v>0</v>
      </c>
      <c r="R54" s="33"/>
    </row>
    <row r="55" spans="1:18" s="33" customFormat="1">
      <c r="A55" s="43"/>
      <c r="B55" s="55"/>
      <c r="C55" s="55"/>
      <c r="D55" s="55"/>
      <c r="E55" s="55"/>
      <c r="F55" s="55"/>
      <c r="G55" s="55"/>
      <c r="H55" s="55"/>
      <c r="I55" s="55"/>
      <c r="J55" s="55"/>
      <c r="K55" s="55"/>
      <c r="L55" s="55"/>
      <c r="M55" s="55"/>
      <c r="N55" s="55"/>
      <c r="O55" s="55"/>
      <c r="P55" s="55"/>
    </row>
    <row r="56" spans="1:18" ht="20.100000000000001" customHeight="1">
      <c r="A56" s="25" t="s">
        <v>214</v>
      </c>
      <c r="B56" s="57">
        <f ca="1">'EF ele_warmte'!B12</f>
        <v>0.16752363209235635</v>
      </c>
      <c r="C56" s="57">
        <f ca="1">'EF ele_warmte'!B22</f>
        <v>0.23727688128042965</v>
      </c>
      <c r="D56" s="26">
        <f>EF_CO2_aardgas</f>
        <v>0.20200000000000001</v>
      </c>
      <c r="E56" s="26">
        <f>EF_VLgas_CO2</f>
        <v>0.22700000000000001</v>
      </c>
      <c r="F56" s="26">
        <f>EF_stookolie_CO2</f>
        <v>0.26700000000000002</v>
      </c>
      <c r="G56" s="26">
        <f>EF_diesel_CO2</f>
        <v>0.26700000000000002</v>
      </c>
      <c r="H56" s="26">
        <f>EF_benzine_CO2</f>
        <v>0.249</v>
      </c>
      <c r="I56" s="26">
        <f>EF_bruinkool_CO2</f>
        <v>0.35099999999999998</v>
      </c>
      <c r="J56" s="26">
        <f>EF_steenkool_CO2</f>
        <v>0.35399999999999998</v>
      </c>
      <c r="K56" s="26">
        <f>EF_anderfossiel_CO2</f>
        <v>0.26400000000000001</v>
      </c>
      <c r="L56" s="57">
        <f>'EF brandstof'!J4</f>
        <v>0</v>
      </c>
      <c r="M56" s="57">
        <f>'EF brandstof'!K4</f>
        <v>0</v>
      </c>
      <c r="N56" s="57">
        <f>'EF brandstof'!L4</f>
        <v>0</v>
      </c>
      <c r="O56" s="58"/>
      <c r="P56" s="58"/>
    </row>
    <row r="57" spans="1:18" ht="15" customHeight="1">
      <c r="A57" s="1"/>
      <c r="B57" s="1"/>
    </row>
    <row r="58" spans="1:18" s="16" customFormat="1" ht="15" customHeight="1">
      <c r="A58" s="21" t="s">
        <v>341</v>
      </c>
      <c r="B58" s="24">
        <f ca="1">B54*B56</f>
        <v>0</v>
      </c>
      <c r="C58" s="24">
        <f t="shared" ref="C58:P58" ca="1" si="4">C54*C56</f>
        <v>0</v>
      </c>
      <c r="D58" s="24">
        <f t="shared" si="4"/>
        <v>0</v>
      </c>
      <c r="E58" s="24">
        <f t="shared" si="4"/>
        <v>0</v>
      </c>
      <c r="F58" s="24">
        <f t="shared" si="4"/>
        <v>0</v>
      </c>
      <c r="G58" s="24">
        <f t="shared" si="4"/>
        <v>978.06916103110359</v>
      </c>
      <c r="H58" s="24">
        <f t="shared" si="4"/>
        <v>0</v>
      </c>
      <c r="I58" s="24">
        <f t="shared" si="4"/>
        <v>0</v>
      </c>
      <c r="J58" s="24">
        <f t="shared" si="4"/>
        <v>0</v>
      </c>
      <c r="K58" s="24">
        <f t="shared" si="4"/>
        <v>0</v>
      </c>
      <c r="L58" s="24">
        <f t="shared" si="4"/>
        <v>0</v>
      </c>
      <c r="M58" s="24">
        <f t="shared" si="4"/>
        <v>0</v>
      </c>
      <c r="N58" s="24">
        <f t="shared" si="4"/>
        <v>0</v>
      </c>
      <c r="O58" s="24">
        <f t="shared" si="4"/>
        <v>0</v>
      </c>
      <c r="P58" s="24">
        <f t="shared" si="4"/>
        <v>0</v>
      </c>
    </row>
    <row r="59" spans="1:18" ht="15" customHeight="1">
      <c r="A59" s="1"/>
      <c r="B59" s="1"/>
    </row>
    <row r="60" spans="1:18" ht="15" customHeight="1">
      <c r="A60" s="1"/>
      <c r="B60" s="1"/>
    </row>
    <row r="61" spans="1:18" ht="15" customHeight="1">
      <c r="A61" s="266" t="s">
        <v>577</v>
      </c>
      <c r="B61" s="267"/>
      <c r="C61" s="268"/>
    </row>
    <row r="62" spans="1:18" s="16" customFormat="1">
      <c r="A62" s="296"/>
      <c r="B62" s="292"/>
      <c r="C62" s="297"/>
    </row>
    <row r="63" spans="1:18">
      <c r="A63" s="298"/>
      <c r="B63" s="134"/>
      <c r="C63" s="299" t="s">
        <v>182</v>
      </c>
    </row>
    <row r="64" spans="1:18">
      <c r="A64" s="290" t="s">
        <v>202</v>
      </c>
      <c r="B64" s="293">
        <f>100%-B65</f>
        <v>0.97840000000000005</v>
      </c>
      <c r="C64" s="177"/>
    </row>
    <row r="65" spans="1:12">
      <c r="A65" s="290" t="s">
        <v>333</v>
      </c>
      <c r="B65" s="302">
        <v>2.1600000000000001E-2</v>
      </c>
      <c r="C65" s="177" t="s">
        <v>827</v>
      </c>
    </row>
    <row r="66" spans="1:12" s="16" customFormat="1">
      <c r="A66" s="291"/>
      <c r="B66" s="272"/>
      <c r="C66" s="235"/>
    </row>
    <row r="67" spans="1:12">
      <c r="A67" s="294" t="s">
        <v>316</v>
      </c>
      <c r="B67" s="295">
        <f>SUM(B64:B65)</f>
        <v>1</v>
      </c>
      <c r="C67" s="179"/>
    </row>
    <row r="70" spans="1:12">
      <c r="A70" s="266" t="s">
        <v>514</v>
      </c>
      <c r="B70" s="267"/>
      <c r="C70" s="267"/>
      <c r="D70" s="267"/>
      <c r="E70" s="267"/>
      <c r="F70" s="267"/>
      <c r="G70" s="267"/>
      <c r="H70" s="267"/>
      <c r="I70" s="267"/>
      <c r="J70" s="267"/>
      <c r="K70" s="267"/>
      <c r="L70" s="268"/>
    </row>
    <row r="71" spans="1:12">
      <c r="A71" s="429" t="s">
        <v>578</v>
      </c>
    </row>
    <row r="72" spans="1:12">
      <c r="A72" s="265"/>
      <c r="B72" s="269"/>
      <c r="C72" s="269"/>
      <c r="D72" s="269"/>
      <c r="E72" s="269"/>
    </row>
    <row r="73" spans="1:12">
      <c r="A73" s="275"/>
      <c r="B73" s="276" t="s">
        <v>318</v>
      </c>
      <c r="C73" s="888">
        <v>2012</v>
      </c>
      <c r="D73" s="276" t="s">
        <v>319</v>
      </c>
      <c r="E73" s="246" t="s">
        <v>182</v>
      </c>
    </row>
    <row r="74" spans="1:12">
      <c r="A74" t="str">
        <f t="shared" ref="A74:E77" si="5">A31</f>
        <v>diesel</v>
      </c>
      <c r="B74" s="427"/>
      <c r="C74" s="427"/>
      <c r="D74" s="427">
        <f t="shared" si="5"/>
        <v>4.2694999999999997E-2</v>
      </c>
      <c r="E74" t="str">
        <f t="shared" si="5"/>
        <v>COPERT 4.11</v>
      </c>
    </row>
    <row r="75" spans="1:12">
      <c r="A75" t="str">
        <f t="shared" si="5"/>
        <v>biodiesel</v>
      </c>
      <c r="B75" s="427"/>
      <c r="C75" s="427"/>
      <c r="D75" s="427">
        <f t="shared" si="5"/>
        <v>3.73E-2</v>
      </c>
      <c r="E75" t="str">
        <f t="shared" si="5"/>
        <v>COPERT 4.11</v>
      </c>
    </row>
    <row r="76" spans="1:12">
      <c r="A76" t="str">
        <f>A33</f>
        <v>vol% liter</v>
      </c>
      <c r="B76" s="427"/>
      <c r="C76" s="428"/>
      <c r="D76" s="427"/>
    </row>
    <row r="77" spans="1:12">
      <c r="A77" t="str">
        <f>A34</f>
        <v>gew% kg</v>
      </c>
      <c r="B77" s="427"/>
      <c r="C77" s="430">
        <f>C34</f>
        <v>4.8500000000000001E-2</v>
      </c>
      <c r="D77" s="427"/>
      <c r="E77" t="str">
        <f t="shared" si="5"/>
        <v>Data VMM februari 2017</v>
      </c>
    </row>
    <row r="78" spans="1:12">
      <c r="A78" t="str">
        <f>A35</f>
        <v>J%</v>
      </c>
      <c r="B78" s="427"/>
      <c r="C78" s="430">
        <f>C35</f>
        <v>4.2632748056554821E-2</v>
      </c>
      <c r="D78" s="427"/>
    </row>
    <row r="79" spans="1:12">
      <c r="B79" s="427"/>
      <c r="C79" s="427"/>
      <c r="D79" s="427"/>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55" customWidth="1"/>
    <col min="2" max="2" width="22.85546875" style="455" customWidth="1"/>
    <col min="3" max="3" width="21.28515625" style="63" customWidth="1"/>
    <col min="4" max="4" width="16" style="63" bestFit="1" customWidth="1"/>
    <col min="5" max="5" width="14.28515625" style="63" bestFit="1" customWidth="1"/>
    <col min="6" max="6" width="12.85546875" style="63" customWidth="1"/>
    <col min="7" max="7" width="13.85546875" style="63" bestFit="1" customWidth="1"/>
    <col min="8" max="8" width="14.28515625" style="63" bestFit="1" customWidth="1"/>
    <col min="9" max="9" width="12.7109375" style="63" bestFit="1" customWidth="1"/>
    <col min="10" max="11" width="17.28515625" style="63" bestFit="1" customWidth="1"/>
    <col min="12" max="12" width="19.140625" style="63" customWidth="1"/>
    <col min="13" max="13" width="13.85546875" style="63" customWidth="1"/>
    <col min="14" max="14" width="12.42578125" style="63" bestFit="1" customWidth="1"/>
    <col min="15" max="15" width="16.140625" style="63" customWidth="1"/>
    <col min="16" max="16" width="16.7109375" style="63" bestFit="1" customWidth="1"/>
    <col min="17" max="17" width="11.28515625" style="63" bestFit="1" customWidth="1"/>
    <col min="18" max="18" width="17.28515625" style="63" customWidth="1"/>
    <col min="19" max="19" width="9.140625" style="63"/>
    <col min="20" max="16384" width="9.140625" style="455"/>
  </cols>
  <sheetData>
    <row r="2" spans="1:19" ht="15.75">
      <c r="A2" s="1062" t="s">
        <v>221</v>
      </c>
      <c r="B2" s="1062"/>
      <c r="C2" s="1062"/>
      <c r="D2" s="60"/>
      <c r="E2" s="60"/>
      <c r="F2" s="60"/>
      <c r="G2" s="60"/>
      <c r="H2" s="61"/>
      <c r="I2" s="61"/>
      <c r="J2" s="62"/>
      <c r="K2" s="62"/>
      <c r="L2" s="61"/>
      <c r="M2" s="61"/>
      <c r="N2" s="61"/>
      <c r="O2" s="61"/>
      <c r="P2" s="61"/>
      <c r="Q2" s="61"/>
      <c r="R2" s="61"/>
    </row>
    <row r="3" spans="1:19">
      <c r="A3" s="1063"/>
      <c r="B3" s="1063"/>
      <c r="C3" s="1063"/>
      <c r="D3" s="1063"/>
      <c r="E3" s="1063"/>
      <c r="F3" s="1063"/>
      <c r="G3" s="1063"/>
      <c r="H3" s="1063"/>
      <c r="I3" s="1063"/>
      <c r="J3" s="1063"/>
      <c r="K3" s="1063"/>
      <c r="L3" s="1063"/>
      <c r="M3" s="1063"/>
      <c r="N3" s="1063"/>
      <c r="O3" s="1063"/>
      <c r="P3" s="1063"/>
      <c r="Q3" s="1063"/>
      <c r="R3" s="1063"/>
    </row>
    <row r="4" spans="1:19" ht="15.75" thickBot="1">
      <c r="A4" s="456"/>
      <c r="B4" s="456"/>
      <c r="C4" s="64"/>
      <c r="D4" s="64"/>
      <c r="E4" s="64"/>
      <c r="F4" s="64"/>
      <c r="G4" s="64"/>
      <c r="H4" s="64"/>
      <c r="I4" s="64"/>
      <c r="J4" s="64"/>
      <c r="K4" s="64"/>
      <c r="L4" s="64"/>
      <c r="M4" s="64"/>
      <c r="N4" s="64"/>
      <c r="O4" s="64"/>
      <c r="P4" s="64"/>
      <c r="Q4" s="64"/>
      <c r="R4" s="64"/>
    </row>
    <row r="5" spans="1:19" ht="16.5" thickBot="1">
      <c r="A5" s="1064" t="s">
        <v>222</v>
      </c>
      <c r="B5" s="794"/>
      <c r="C5" s="1067" t="s">
        <v>343</v>
      </c>
      <c r="D5" s="1068"/>
      <c r="E5" s="1068"/>
      <c r="F5" s="1068"/>
      <c r="G5" s="1068"/>
      <c r="H5" s="1068"/>
      <c r="I5" s="1068"/>
      <c r="J5" s="1068"/>
      <c r="K5" s="1068"/>
      <c r="L5" s="1068"/>
      <c r="M5" s="1068"/>
      <c r="N5" s="1068"/>
      <c r="O5" s="1068"/>
      <c r="P5" s="1068"/>
      <c r="Q5" s="1068"/>
      <c r="R5" s="1069"/>
    </row>
    <row r="6" spans="1:19" ht="16.5" thickTop="1">
      <c r="A6" s="1065"/>
      <c r="B6" s="795"/>
      <c r="C6" s="1070" t="s">
        <v>21</v>
      </c>
      <c r="D6" s="1072" t="s">
        <v>196</v>
      </c>
      <c r="E6" s="1074" t="s">
        <v>197</v>
      </c>
      <c r="F6" s="1075"/>
      <c r="G6" s="1075"/>
      <c r="H6" s="1075"/>
      <c r="I6" s="1075"/>
      <c r="J6" s="1075"/>
      <c r="K6" s="1075"/>
      <c r="L6" s="1076"/>
      <c r="M6" s="1074" t="s">
        <v>198</v>
      </c>
      <c r="N6" s="1075"/>
      <c r="O6" s="1075"/>
      <c r="P6" s="1075"/>
      <c r="Q6" s="1075"/>
      <c r="R6" s="1077" t="s">
        <v>116</v>
      </c>
    </row>
    <row r="7" spans="1:19" ht="45.75" thickBot="1">
      <c r="A7" s="1066"/>
      <c r="B7" s="796"/>
      <c r="C7" s="1071"/>
      <c r="D7" s="1073"/>
      <c r="E7" s="987" t="s">
        <v>199</v>
      </c>
      <c r="F7" s="987" t="s">
        <v>200</v>
      </c>
      <c r="G7" s="65" t="s">
        <v>201</v>
      </c>
      <c r="H7" s="987" t="s">
        <v>202</v>
      </c>
      <c r="I7" s="987" t="s">
        <v>120</v>
      </c>
      <c r="J7" s="987" t="s">
        <v>203</v>
      </c>
      <c r="K7" s="453" t="s">
        <v>204</v>
      </c>
      <c r="L7" s="453" t="s">
        <v>205</v>
      </c>
      <c r="M7" s="65" t="s">
        <v>206</v>
      </c>
      <c r="N7" s="66" t="s">
        <v>207</v>
      </c>
      <c r="O7" s="66" t="s">
        <v>208</v>
      </c>
      <c r="P7" s="66" t="s">
        <v>209</v>
      </c>
      <c r="Q7" s="67" t="s">
        <v>210</v>
      </c>
      <c r="R7" s="1078"/>
    </row>
    <row r="8" spans="1:19" ht="18.75" customHeight="1" thickTop="1">
      <c r="A8" s="802" t="s">
        <v>344</v>
      </c>
      <c r="B8" s="807"/>
      <c r="C8" s="1083"/>
      <c r="D8" s="1083"/>
      <c r="E8" s="1083"/>
      <c r="F8" s="1083"/>
      <c r="G8" s="1083"/>
      <c r="H8" s="1083"/>
      <c r="I8" s="1083"/>
      <c r="J8" s="1083"/>
      <c r="K8" s="1083"/>
      <c r="L8" s="1083"/>
      <c r="M8" s="1083"/>
      <c r="N8" s="1083"/>
      <c r="O8" s="1083"/>
      <c r="P8" s="1083"/>
      <c r="Q8" s="1083"/>
      <c r="R8" s="310"/>
    </row>
    <row r="9" spans="1:19" s="457" customFormat="1">
      <c r="A9" s="803" t="s">
        <v>223</v>
      </c>
      <c r="B9" s="808"/>
      <c r="C9" s="688">
        <f>'Eigen gebouwen'!B15</f>
        <v>0</v>
      </c>
      <c r="D9" s="688">
        <f>'Eigen gebouwen'!C15</f>
        <v>0</v>
      </c>
      <c r="E9" s="688">
        <f>'Eigen gebouwen'!D15</f>
        <v>0</v>
      </c>
      <c r="F9" s="688">
        <f>'Eigen gebouwen'!E15</f>
        <v>0</v>
      </c>
      <c r="G9" s="688">
        <f>'Eigen gebouwen'!F15</f>
        <v>0</v>
      </c>
      <c r="H9" s="688">
        <f>'Eigen gebouwen'!G15</f>
        <v>0</v>
      </c>
      <c r="I9" s="688">
        <f>'Eigen gebouwen'!H15</f>
        <v>0</v>
      </c>
      <c r="J9" s="688">
        <f>'Eigen gebouwen'!I15</f>
        <v>0</v>
      </c>
      <c r="K9" s="688">
        <f>'Eigen gebouwen'!J15</f>
        <v>0</v>
      </c>
      <c r="L9" s="688">
        <f>'Eigen gebouwen'!K15</f>
        <v>0</v>
      </c>
      <c r="M9" s="688">
        <f>'Eigen gebouwen'!L15</f>
        <v>0</v>
      </c>
      <c r="N9" s="688">
        <f>'Eigen gebouwen'!M15</f>
        <v>0</v>
      </c>
      <c r="O9" s="688">
        <f>'Eigen gebouwen'!N15</f>
        <v>0</v>
      </c>
      <c r="P9" s="688">
        <f>'Eigen gebouwen'!O15</f>
        <v>0</v>
      </c>
      <c r="Q9" s="689">
        <f>'Eigen gebouwen'!P15</f>
        <v>0</v>
      </c>
      <c r="R9" s="690">
        <f>SUM(C9:Q9)</f>
        <v>0</v>
      </c>
      <c r="S9" s="68"/>
    </row>
    <row r="10" spans="1:19" s="457" customFormat="1">
      <c r="A10" s="804" t="s">
        <v>224</v>
      </c>
      <c r="B10" s="809"/>
      <c r="C10" s="688">
        <f ca="1">tertiair!B16+'openbare verlichting'!B8</f>
        <v>45433.388437582944</v>
      </c>
      <c r="D10" s="688">
        <f ca="1">tertiair!C16</f>
        <v>22.5</v>
      </c>
      <c r="E10" s="688">
        <f ca="1">tertiair!D16</f>
        <v>31105.769353326847</v>
      </c>
      <c r="F10" s="688">
        <f>tertiair!E16</f>
        <v>315.5133936626039</v>
      </c>
      <c r="G10" s="688">
        <f ca="1">tertiair!F16</f>
        <v>5371.2704825278433</v>
      </c>
      <c r="H10" s="688">
        <f>tertiair!G16</f>
        <v>0</v>
      </c>
      <c r="I10" s="688">
        <f>tertiair!H16</f>
        <v>0</v>
      </c>
      <c r="J10" s="688">
        <f>tertiair!I16</f>
        <v>0</v>
      </c>
      <c r="K10" s="688">
        <f>tertiair!J16</f>
        <v>0</v>
      </c>
      <c r="L10" s="688">
        <f>tertiair!K16</f>
        <v>0</v>
      </c>
      <c r="M10" s="688">
        <f ca="1">tertiair!L16</f>
        <v>0</v>
      </c>
      <c r="N10" s="688">
        <f>tertiair!M16</f>
        <v>0</v>
      </c>
      <c r="O10" s="688">
        <f ca="1">tertiair!N16</f>
        <v>0</v>
      </c>
      <c r="P10" s="688">
        <f>tertiair!O16</f>
        <v>0</v>
      </c>
      <c r="Q10" s="689">
        <f>tertiair!P16</f>
        <v>0</v>
      </c>
      <c r="R10" s="691">
        <f ca="1">SUM(C10:Q10)</f>
        <v>82248.44166710024</v>
      </c>
      <c r="S10" s="68"/>
    </row>
    <row r="11" spans="1:19" s="457" customFormat="1">
      <c r="A11" s="803" t="s">
        <v>225</v>
      </c>
      <c r="B11" s="808"/>
      <c r="C11" s="688">
        <f>huishoudens!B8</f>
        <v>63728.532314717653</v>
      </c>
      <c r="D11" s="688">
        <f>huishoudens!C8</f>
        <v>0</v>
      </c>
      <c r="E11" s="688">
        <f>huishoudens!D8</f>
        <v>134386.95699264199</v>
      </c>
      <c r="F11" s="688">
        <f>huishoudens!E8</f>
        <v>8059.0637505309951</v>
      </c>
      <c r="G11" s="688">
        <f>huishoudens!F8</f>
        <v>0</v>
      </c>
      <c r="H11" s="688">
        <f>huishoudens!G8</f>
        <v>0</v>
      </c>
      <c r="I11" s="688">
        <f>huishoudens!H8</f>
        <v>0</v>
      </c>
      <c r="J11" s="688">
        <f>huishoudens!I8</f>
        <v>0</v>
      </c>
      <c r="K11" s="688">
        <f>huishoudens!J8</f>
        <v>186.18641104690877</v>
      </c>
      <c r="L11" s="688">
        <f>huishoudens!K8</f>
        <v>0</v>
      </c>
      <c r="M11" s="688">
        <f>huishoudens!L8</f>
        <v>0</v>
      </c>
      <c r="N11" s="688">
        <f>huishoudens!M8</f>
        <v>0</v>
      </c>
      <c r="O11" s="688">
        <f>huishoudens!N8</f>
        <v>35865.54095676211</v>
      </c>
      <c r="P11" s="688">
        <f>huishoudens!O8</f>
        <v>154.77000000000001</v>
      </c>
      <c r="Q11" s="689">
        <f>huishoudens!P8</f>
        <v>1086.8</v>
      </c>
      <c r="R11" s="691">
        <f>SUM(C11:Q11)</f>
        <v>243467.85042569964</v>
      </c>
      <c r="S11" s="68"/>
    </row>
    <row r="12" spans="1:19" s="457" customFormat="1">
      <c r="A12" s="803" t="s">
        <v>515</v>
      </c>
      <c r="B12" s="808"/>
      <c r="C12" s="688">
        <f>'Eigen openbare verlichting'!B15</f>
        <v>0</v>
      </c>
      <c r="D12" s="688"/>
      <c r="E12" s="688"/>
      <c r="F12" s="688"/>
      <c r="G12" s="688"/>
      <c r="H12" s="688"/>
      <c r="I12" s="688"/>
      <c r="J12" s="688"/>
      <c r="K12" s="688"/>
      <c r="L12" s="688"/>
      <c r="M12" s="688"/>
      <c r="N12" s="688"/>
      <c r="O12" s="688"/>
      <c r="P12" s="688"/>
      <c r="Q12" s="688"/>
      <c r="R12" s="691">
        <f>SUM(C12:Q12)</f>
        <v>0</v>
      </c>
      <c r="S12" s="68"/>
    </row>
    <row r="13" spans="1:19" s="457" customFormat="1">
      <c r="A13" s="803" t="s">
        <v>689</v>
      </c>
      <c r="B13" s="812" t="s">
        <v>687</v>
      </c>
      <c r="C13" s="688">
        <f>industrie!B18</f>
        <v>9363.3139116933835</v>
      </c>
      <c r="D13" s="688">
        <f>industrie!C18</f>
        <v>0</v>
      </c>
      <c r="E13" s="688">
        <f>industrie!D18</f>
        <v>23846.634232726465</v>
      </c>
      <c r="F13" s="688">
        <f>industrie!E18</f>
        <v>109.69251909117477</v>
      </c>
      <c r="G13" s="688">
        <f>industrie!F18</f>
        <v>3798.0763627999227</v>
      </c>
      <c r="H13" s="688">
        <f>industrie!G18</f>
        <v>0</v>
      </c>
      <c r="I13" s="688">
        <f>industrie!H18</f>
        <v>0</v>
      </c>
      <c r="J13" s="688">
        <f>industrie!I18</f>
        <v>0</v>
      </c>
      <c r="K13" s="688">
        <f>industrie!J18</f>
        <v>48.938552143039402</v>
      </c>
      <c r="L13" s="688">
        <f>industrie!K18</f>
        <v>0</v>
      </c>
      <c r="M13" s="688">
        <f>industrie!L18</f>
        <v>0</v>
      </c>
      <c r="N13" s="688">
        <f>industrie!M18</f>
        <v>0</v>
      </c>
      <c r="O13" s="688">
        <f>industrie!N18</f>
        <v>329.95610821667441</v>
      </c>
      <c r="P13" s="688">
        <f>industrie!O18</f>
        <v>0</v>
      </c>
      <c r="Q13" s="689">
        <f>industrie!P18</f>
        <v>0</v>
      </c>
      <c r="R13" s="691">
        <f>SUM(C13:Q13)</f>
        <v>37496.611686670658</v>
      </c>
      <c r="S13" s="68"/>
    </row>
    <row r="14" spans="1:19" s="457" customFormat="1">
      <c r="A14" s="803"/>
      <c r="B14" s="812" t="s">
        <v>688</v>
      </c>
      <c r="C14" s="688"/>
      <c r="D14" s="688"/>
      <c r="E14" s="688"/>
      <c r="F14" s="688"/>
      <c r="G14" s="688"/>
      <c r="H14" s="688"/>
      <c r="I14" s="688"/>
      <c r="J14" s="688"/>
      <c r="K14" s="688"/>
      <c r="L14" s="688"/>
      <c r="M14" s="688"/>
      <c r="N14" s="688"/>
      <c r="O14" s="688"/>
      <c r="P14" s="688"/>
      <c r="Q14" s="688"/>
      <c r="R14" s="691"/>
      <c r="S14" s="68"/>
    </row>
    <row r="15" spans="1:19" s="457" customFormat="1" ht="15" thickBot="1">
      <c r="A15" s="1000" t="s">
        <v>910</v>
      </c>
      <c r="B15" s="1001"/>
      <c r="C15" s="1002"/>
      <c r="D15" s="1002"/>
      <c r="E15" s="1002"/>
      <c r="F15" s="1002"/>
      <c r="G15" s="1002"/>
      <c r="H15" s="1002"/>
      <c r="I15" s="1002"/>
      <c r="J15" s="1002"/>
      <c r="K15" s="1002"/>
      <c r="L15" s="1002"/>
      <c r="M15" s="1002"/>
      <c r="N15" s="1002"/>
      <c r="O15" s="1002"/>
      <c r="P15" s="1002"/>
      <c r="Q15" s="1003"/>
      <c r="R15" s="690"/>
      <c r="S15" s="68"/>
    </row>
    <row r="16" spans="1:19" s="457" customFormat="1" ht="15.75" thickBot="1">
      <c r="A16" s="692" t="s">
        <v>226</v>
      </c>
      <c r="B16" s="810"/>
      <c r="C16" s="721">
        <f ca="1">SUM(C9:C15)</f>
        <v>118525.23466399398</v>
      </c>
      <c r="D16" s="721">
        <f t="shared" ref="D16:R16" ca="1" si="0">SUM(D9:D15)</f>
        <v>22.5</v>
      </c>
      <c r="E16" s="721">
        <f t="shared" ca="1" si="0"/>
        <v>189339.36057869531</v>
      </c>
      <c r="F16" s="721">
        <f t="shared" si="0"/>
        <v>8484.2696632847747</v>
      </c>
      <c r="G16" s="721">
        <f t="shared" ca="1" si="0"/>
        <v>9169.3468453277655</v>
      </c>
      <c r="H16" s="721">
        <f t="shared" si="0"/>
        <v>0</v>
      </c>
      <c r="I16" s="721">
        <f t="shared" si="0"/>
        <v>0</v>
      </c>
      <c r="J16" s="721">
        <f t="shared" si="0"/>
        <v>0</v>
      </c>
      <c r="K16" s="721">
        <f t="shared" si="0"/>
        <v>235.12496318994818</v>
      </c>
      <c r="L16" s="721">
        <f t="shared" si="0"/>
        <v>0</v>
      </c>
      <c r="M16" s="721">
        <f t="shared" ca="1" si="0"/>
        <v>0</v>
      </c>
      <c r="N16" s="721">
        <f t="shared" si="0"/>
        <v>0</v>
      </c>
      <c r="O16" s="721">
        <f t="shared" ca="1" si="0"/>
        <v>36195.497064978787</v>
      </c>
      <c r="P16" s="721">
        <f t="shared" si="0"/>
        <v>154.77000000000001</v>
      </c>
      <c r="Q16" s="721">
        <f t="shared" si="0"/>
        <v>1086.8</v>
      </c>
      <c r="R16" s="721">
        <f t="shared" ca="1" si="0"/>
        <v>363212.90377947059</v>
      </c>
      <c r="S16" s="68"/>
    </row>
    <row r="17" spans="1:19" s="457" customFormat="1" ht="15.75">
      <c r="A17" s="805" t="s">
        <v>227</v>
      </c>
      <c r="B17" s="725"/>
      <c r="C17" s="1084"/>
      <c r="D17" s="1084"/>
      <c r="E17" s="1084"/>
      <c r="F17" s="1084"/>
      <c r="G17" s="1084"/>
      <c r="H17" s="1084"/>
      <c r="I17" s="1084"/>
      <c r="J17" s="1084"/>
      <c r="K17" s="1084"/>
      <c r="L17" s="1084"/>
      <c r="M17" s="1084"/>
      <c r="N17" s="1084"/>
      <c r="O17" s="1084"/>
      <c r="P17" s="1084"/>
      <c r="Q17" s="1084"/>
      <c r="R17" s="693"/>
      <c r="S17" s="68"/>
    </row>
    <row r="18" spans="1:19" s="457" customFormat="1">
      <c r="A18" s="803" t="s">
        <v>228</v>
      </c>
      <c r="B18" s="808"/>
      <c r="C18" s="688">
        <f>'Eigen vloot'!B27</f>
        <v>0</v>
      </c>
      <c r="D18" s="688">
        <f>'Eigen vloot'!C27</f>
        <v>0</v>
      </c>
      <c r="E18" s="688">
        <f>'Eigen vloot'!D27</f>
        <v>0</v>
      </c>
      <c r="F18" s="688">
        <f>'Eigen vloot'!E27</f>
        <v>0</v>
      </c>
      <c r="G18" s="688">
        <f>'Eigen vloot'!F27</f>
        <v>0</v>
      </c>
      <c r="H18" s="688">
        <f>'Eigen vloot'!G27</f>
        <v>0</v>
      </c>
      <c r="I18" s="688">
        <f>'Eigen vloot'!H27</f>
        <v>0</v>
      </c>
      <c r="J18" s="688">
        <f>'Eigen vloot'!I27</f>
        <v>0</v>
      </c>
      <c r="K18" s="688">
        <f>'Eigen vloot'!J27</f>
        <v>0</v>
      </c>
      <c r="L18" s="688">
        <f>'Eigen vloot'!K27</f>
        <v>0</v>
      </c>
      <c r="M18" s="688">
        <f>'Eigen vloot'!L27</f>
        <v>0</v>
      </c>
      <c r="N18" s="688">
        <f>'Eigen vloot'!M27</f>
        <v>0</v>
      </c>
      <c r="O18" s="688">
        <f>'Eigen vloot'!N27</f>
        <v>0</v>
      </c>
      <c r="P18" s="688">
        <f>'Eigen vloot'!O27</f>
        <v>0</v>
      </c>
      <c r="Q18" s="689">
        <f>'Eigen vloot'!P27</f>
        <v>0</v>
      </c>
      <c r="R18" s="691">
        <f>SUM(C18:Q18)</f>
        <v>0</v>
      </c>
      <c r="S18" s="68"/>
    </row>
    <row r="19" spans="1:19" s="457" customFormat="1">
      <c r="A19" s="803" t="s">
        <v>229</v>
      </c>
      <c r="B19" s="808"/>
      <c r="C19" s="688">
        <f>transport!B54</f>
        <v>0</v>
      </c>
      <c r="D19" s="688">
        <f>transport!C54</f>
        <v>0</v>
      </c>
      <c r="E19" s="688">
        <f>transport!D54</f>
        <v>0</v>
      </c>
      <c r="F19" s="688">
        <f>transport!E54</f>
        <v>0</v>
      </c>
      <c r="G19" s="688">
        <f>transport!F54</f>
        <v>0</v>
      </c>
      <c r="H19" s="688">
        <f>transport!G54</f>
        <v>3663.1803783936462</v>
      </c>
      <c r="I19" s="688">
        <f>transport!H54</f>
        <v>0</v>
      </c>
      <c r="J19" s="688">
        <f>transport!I54</f>
        <v>0</v>
      </c>
      <c r="K19" s="688">
        <f>transport!J54</f>
        <v>0</v>
      </c>
      <c r="L19" s="688">
        <f>transport!K54</f>
        <v>0</v>
      </c>
      <c r="M19" s="688">
        <f>transport!L54</f>
        <v>0</v>
      </c>
      <c r="N19" s="688">
        <f>transport!M54</f>
        <v>160.85629320928251</v>
      </c>
      <c r="O19" s="688">
        <f>transport!N54</f>
        <v>0</v>
      </c>
      <c r="P19" s="688">
        <f>transport!O54</f>
        <v>0</v>
      </c>
      <c r="Q19" s="689">
        <f>transport!P54</f>
        <v>0</v>
      </c>
      <c r="R19" s="691">
        <f>SUM(C19:Q19)</f>
        <v>3824.0366716029284</v>
      </c>
      <c r="S19" s="68"/>
    </row>
    <row r="20" spans="1:19" s="457" customFormat="1">
      <c r="A20" s="803" t="s">
        <v>307</v>
      </c>
      <c r="B20" s="808"/>
      <c r="C20" s="688">
        <f>transport!B14</f>
        <v>6.3934762437067754</v>
      </c>
      <c r="D20" s="688">
        <f>transport!C14</f>
        <v>0</v>
      </c>
      <c r="E20" s="688">
        <f>transport!D14</f>
        <v>16.593514248478289</v>
      </c>
      <c r="F20" s="688">
        <f>transport!E14</f>
        <v>1110.9489775743152</v>
      </c>
      <c r="G20" s="688">
        <f>transport!F14</f>
        <v>0</v>
      </c>
      <c r="H20" s="688">
        <f>transport!G14</f>
        <v>302322.86081692344</v>
      </c>
      <c r="I20" s="688">
        <f>transport!H14</f>
        <v>38329.445353629715</v>
      </c>
      <c r="J20" s="688">
        <f>transport!I14</f>
        <v>0</v>
      </c>
      <c r="K20" s="688">
        <f>transport!J14</f>
        <v>0</v>
      </c>
      <c r="L20" s="688">
        <f>transport!K14</f>
        <v>0</v>
      </c>
      <c r="M20" s="688">
        <f>transport!L14</f>
        <v>0</v>
      </c>
      <c r="N20" s="688">
        <f>transport!M14</f>
        <v>15215.926507051938</v>
      </c>
      <c r="O20" s="688">
        <f>transport!N14</f>
        <v>0</v>
      </c>
      <c r="P20" s="688">
        <f>transport!O14</f>
        <v>0</v>
      </c>
      <c r="Q20" s="689">
        <f>transport!P14</f>
        <v>0</v>
      </c>
      <c r="R20" s="691">
        <f>SUM(C20:Q20)</f>
        <v>357002.16864567157</v>
      </c>
      <c r="S20" s="68"/>
    </row>
    <row r="21" spans="1:19" s="457" customFormat="1" ht="15" thickBot="1">
      <c r="A21" s="825" t="s">
        <v>911</v>
      </c>
      <c r="B21" s="1001"/>
      <c r="C21" s="1002"/>
      <c r="D21" s="1002"/>
      <c r="E21" s="1002"/>
      <c r="F21" s="1002"/>
      <c r="G21" s="1002"/>
      <c r="H21" s="1002"/>
      <c r="I21" s="1002"/>
      <c r="J21" s="1002"/>
      <c r="K21" s="1002"/>
      <c r="L21" s="1002"/>
      <c r="M21" s="1002"/>
      <c r="N21" s="1002"/>
      <c r="O21" s="1002"/>
      <c r="P21" s="1002"/>
      <c r="Q21" s="1003"/>
      <c r="R21" s="690"/>
      <c r="S21" s="68"/>
    </row>
    <row r="22" spans="1:19" s="457" customFormat="1" ht="15.75" thickBot="1">
      <c r="A22" s="694" t="s">
        <v>230</v>
      </c>
      <c r="B22" s="811"/>
      <c r="C22" s="806">
        <f>SUM(C18:C21)</f>
        <v>6.3934762437067754</v>
      </c>
      <c r="D22" s="806">
        <f t="shared" ref="D22:R22" si="1">SUM(D18:D21)</f>
        <v>0</v>
      </c>
      <c r="E22" s="806">
        <f t="shared" si="1"/>
        <v>16.593514248478289</v>
      </c>
      <c r="F22" s="806">
        <f t="shared" si="1"/>
        <v>1110.9489775743152</v>
      </c>
      <c r="G22" s="806">
        <f t="shared" si="1"/>
        <v>0</v>
      </c>
      <c r="H22" s="806">
        <f t="shared" si="1"/>
        <v>305986.04119531706</v>
      </c>
      <c r="I22" s="806">
        <f t="shared" si="1"/>
        <v>38329.445353629715</v>
      </c>
      <c r="J22" s="806">
        <f t="shared" si="1"/>
        <v>0</v>
      </c>
      <c r="K22" s="806">
        <f t="shared" si="1"/>
        <v>0</v>
      </c>
      <c r="L22" s="806">
        <f t="shared" si="1"/>
        <v>0</v>
      </c>
      <c r="M22" s="806">
        <f t="shared" si="1"/>
        <v>0</v>
      </c>
      <c r="N22" s="806">
        <f t="shared" si="1"/>
        <v>15376.78280026122</v>
      </c>
      <c r="O22" s="806">
        <f t="shared" si="1"/>
        <v>0</v>
      </c>
      <c r="P22" s="806">
        <f t="shared" si="1"/>
        <v>0</v>
      </c>
      <c r="Q22" s="806">
        <f t="shared" si="1"/>
        <v>0</v>
      </c>
      <c r="R22" s="806">
        <f t="shared" si="1"/>
        <v>360826.20531727449</v>
      </c>
      <c r="S22" s="68"/>
    </row>
    <row r="23" spans="1:19" s="457" customFormat="1" ht="15.75">
      <c r="A23" s="805" t="s">
        <v>237</v>
      </c>
      <c r="B23" s="725"/>
      <c r="C23" s="1084"/>
      <c r="D23" s="1084"/>
      <c r="E23" s="1084"/>
      <c r="F23" s="1084"/>
      <c r="G23" s="1084"/>
      <c r="H23" s="1084"/>
      <c r="I23" s="1084"/>
      <c r="J23" s="1084"/>
      <c r="K23" s="1084"/>
      <c r="L23" s="1084"/>
      <c r="M23" s="1084"/>
      <c r="N23" s="1084"/>
      <c r="O23" s="1084"/>
      <c r="P23" s="1084"/>
      <c r="Q23" s="1084"/>
      <c r="R23" s="693"/>
      <c r="S23" s="68"/>
    </row>
    <row r="24" spans="1:19" s="457" customFormat="1">
      <c r="A24" s="803" t="s">
        <v>678</v>
      </c>
      <c r="B24" s="808"/>
      <c r="C24" s="688">
        <f>+landbouw!B8</f>
        <v>4779.8766703658339</v>
      </c>
      <c r="D24" s="688">
        <f>+landbouw!C8</f>
        <v>7525.8652597402597</v>
      </c>
      <c r="E24" s="688">
        <f>+landbouw!D8</f>
        <v>0</v>
      </c>
      <c r="F24" s="688">
        <f>+landbouw!E8</f>
        <v>45.029640857271225</v>
      </c>
      <c r="G24" s="688">
        <f>+landbouw!F8</f>
        <v>15598.323877156412</v>
      </c>
      <c r="H24" s="688">
        <f>+landbouw!G8</f>
        <v>0</v>
      </c>
      <c r="I24" s="688">
        <f>+landbouw!H8</f>
        <v>0</v>
      </c>
      <c r="J24" s="688">
        <f>+landbouw!I8</f>
        <v>0</v>
      </c>
      <c r="K24" s="688">
        <f>+landbouw!J8</f>
        <v>591.29399343991224</v>
      </c>
      <c r="L24" s="688">
        <f>+landbouw!K8</f>
        <v>0</v>
      </c>
      <c r="M24" s="688">
        <f>+landbouw!L8</f>
        <v>0</v>
      </c>
      <c r="N24" s="688">
        <f>+landbouw!M8</f>
        <v>0</v>
      </c>
      <c r="O24" s="688">
        <f>+landbouw!N8</f>
        <v>0</v>
      </c>
      <c r="P24" s="688">
        <f>+landbouw!O8</f>
        <v>0</v>
      </c>
      <c r="Q24" s="689">
        <f>+landbouw!P8</f>
        <v>0</v>
      </c>
      <c r="R24" s="691">
        <f>SUM(C24:Q24)</f>
        <v>28540.389441559688</v>
      </c>
      <c r="S24" s="68"/>
    </row>
    <row r="25" spans="1:19" s="457" customFormat="1" ht="15" thickBot="1">
      <c r="A25" s="825" t="s">
        <v>912</v>
      </c>
      <c r="B25" s="1001"/>
      <c r="C25" s="1002">
        <f>IF(Onbekend_ele_kWh="---",0,Onbekend_ele_kWh)/1000+IF(REST_rest_ele_kWh="---",0,REST_rest_ele_kWh)/1000</f>
        <v>1526.00647855841</v>
      </c>
      <c r="D25" s="1002"/>
      <c r="E25" s="1002">
        <f>IF(onbekend_gas_kWh="---",0,onbekend_gas_kWh)/1000+IF(REST_rest_gas_kWh="---",0,REST_rest_gas_kWh)/1000</f>
        <v>4229.6563459986701</v>
      </c>
      <c r="F25" s="1002"/>
      <c r="G25" s="1002"/>
      <c r="H25" s="1002"/>
      <c r="I25" s="1002"/>
      <c r="J25" s="1002"/>
      <c r="K25" s="1002"/>
      <c r="L25" s="1002"/>
      <c r="M25" s="1002"/>
      <c r="N25" s="1002"/>
      <c r="O25" s="1002"/>
      <c r="P25" s="1002"/>
      <c r="Q25" s="1003"/>
      <c r="R25" s="691">
        <f>SUM(C25:Q25)</f>
        <v>5755.6628245570801</v>
      </c>
      <c r="S25" s="68"/>
    </row>
    <row r="26" spans="1:19" s="457" customFormat="1" ht="15.75" thickBot="1">
      <c r="A26" s="694" t="s">
        <v>913</v>
      </c>
      <c r="B26" s="811"/>
      <c r="C26" s="806">
        <f>SUM(C24:C25)</f>
        <v>6305.8831489242439</v>
      </c>
      <c r="D26" s="806">
        <f t="shared" ref="D26:R26" si="2">SUM(D24:D25)</f>
        <v>7525.8652597402597</v>
      </c>
      <c r="E26" s="806">
        <f t="shared" si="2"/>
        <v>4229.6563459986701</v>
      </c>
      <c r="F26" s="806">
        <f t="shared" si="2"/>
        <v>45.029640857271225</v>
      </c>
      <c r="G26" s="806">
        <f t="shared" si="2"/>
        <v>15598.323877156412</v>
      </c>
      <c r="H26" s="806">
        <f t="shared" si="2"/>
        <v>0</v>
      </c>
      <c r="I26" s="806">
        <f t="shared" si="2"/>
        <v>0</v>
      </c>
      <c r="J26" s="806">
        <f t="shared" si="2"/>
        <v>0</v>
      </c>
      <c r="K26" s="806">
        <f t="shared" si="2"/>
        <v>591.29399343991224</v>
      </c>
      <c r="L26" s="806">
        <f t="shared" si="2"/>
        <v>0</v>
      </c>
      <c r="M26" s="806">
        <f t="shared" si="2"/>
        <v>0</v>
      </c>
      <c r="N26" s="806">
        <f t="shared" si="2"/>
        <v>0</v>
      </c>
      <c r="O26" s="806">
        <f t="shared" si="2"/>
        <v>0</v>
      </c>
      <c r="P26" s="806">
        <f t="shared" si="2"/>
        <v>0</v>
      </c>
      <c r="Q26" s="806">
        <f t="shared" si="2"/>
        <v>0</v>
      </c>
      <c r="R26" s="806">
        <f t="shared" si="2"/>
        <v>34296.052266116771</v>
      </c>
      <c r="S26" s="68"/>
    </row>
    <row r="27" spans="1:19" s="457" customFormat="1" ht="17.25" thickTop="1" thickBot="1">
      <c r="A27" s="695" t="s">
        <v>116</v>
      </c>
      <c r="B27" s="798"/>
      <c r="C27" s="696">
        <f ca="1">C22+C16+C26</f>
        <v>124837.51128916194</v>
      </c>
      <c r="D27" s="696">
        <f t="shared" ref="D27:R27" ca="1" si="3">D22+D16+D26</f>
        <v>7548.3652597402597</v>
      </c>
      <c r="E27" s="696">
        <f t="shared" ca="1" si="3"/>
        <v>193585.61043894244</v>
      </c>
      <c r="F27" s="696">
        <f t="shared" si="3"/>
        <v>9640.24828171636</v>
      </c>
      <c r="G27" s="696">
        <f t="shared" ca="1" si="3"/>
        <v>24767.670722484178</v>
      </c>
      <c r="H27" s="696">
        <f t="shared" si="3"/>
        <v>305986.04119531706</v>
      </c>
      <c r="I27" s="696">
        <f t="shared" si="3"/>
        <v>38329.445353629715</v>
      </c>
      <c r="J27" s="696">
        <f t="shared" si="3"/>
        <v>0</v>
      </c>
      <c r="K27" s="696">
        <f t="shared" si="3"/>
        <v>826.41895662986042</v>
      </c>
      <c r="L27" s="696">
        <f t="shared" si="3"/>
        <v>0</v>
      </c>
      <c r="M27" s="696">
        <f t="shared" ca="1" si="3"/>
        <v>0</v>
      </c>
      <c r="N27" s="696">
        <f t="shared" si="3"/>
        <v>15376.78280026122</v>
      </c>
      <c r="O27" s="696">
        <f t="shared" ca="1" si="3"/>
        <v>36195.497064978787</v>
      </c>
      <c r="P27" s="696">
        <f t="shared" si="3"/>
        <v>154.77000000000001</v>
      </c>
      <c r="Q27" s="696">
        <f t="shared" si="3"/>
        <v>1086.8</v>
      </c>
      <c r="R27" s="696">
        <f t="shared" ca="1" si="3"/>
        <v>758335.16136286175</v>
      </c>
      <c r="S27" s="68"/>
    </row>
    <row r="28" spans="1:19" ht="15.75" customHeight="1" thickBot="1">
      <c r="A28" s="697"/>
      <c r="B28" s="697"/>
      <c r="C28" s="698"/>
      <c r="D28" s="698"/>
      <c r="E28" s="698"/>
      <c r="F28" s="698"/>
      <c r="G28" s="698"/>
      <c r="H28" s="698"/>
      <c r="I28" s="698"/>
      <c r="J28" s="698"/>
      <c r="K28" s="698"/>
      <c r="L28" s="698"/>
      <c r="M28" s="698"/>
      <c r="N28" s="698"/>
      <c r="O28" s="698"/>
      <c r="P28" s="698"/>
      <c r="Q28" s="698"/>
      <c r="R28" s="698"/>
    </row>
    <row r="29" spans="1:19" ht="41.25" customHeight="1" thickTop="1" thickBot="1">
      <c r="A29" s="699" t="s">
        <v>345</v>
      </c>
      <c r="B29" s="699"/>
      <c r="C29" s="700">
        <f>'EF ele_warmte'!B5</f>
        <v>0</v>
      </c>
      <c r="D29" s="701"/>
      <c r="E29" s="702"/>
      <c r="F29" s="701"/>
      <c r="G29" s="701"/>
      <c r="H29" s="701"/>
      <c r="I29" s="701"/>
      <c r="J29" s="701"/>
      <c r="K29" s="701"/>
      <c r="L29" s="701"/>
      <c r="M29" s="701"/>
      <c r="N29" s="701"/>
      <c r="O29" s="701"/>
      <c r="P29" s="701"/>
      <c r="Q29" s="701"/>
      <c r="R29" s="701"/>
    </row>
    <row r="30" spans="1:19" ht="31.5" thickTop="1" thickBot="1">
      <c r="A30" s="703" t="s">
        <v>346</v>
      </c>
      <c r="B30" s="703"/>
      <c r="C30" s="704" t="s">
        <v>211</v>
      </c>
      <c r="D30" s="705"/>
      <c r="E30" s="705"/>
      <c r="F30" s="705"/>
      <c r="G30" s="705"/>
      <c r="H30" s="706"/>
      <c r="I30" s="707"/>
      <c r="J30" s="707"/>
      <c r="K30" s="707"/>
      <c r="L30" s="707"/>
      <c r="M30" s="707"/>
      <c r="N30" s="707"/>
      <c r="O30" s="707"/>
      <c r="P30" s="707"/>
      <c r="Q30" s="707"/>
      <c r="R30" s="707"/>
    </row>
    <row r="31" spans="1:19" ht="15" thickTop="1">
      <c r="A31" s="1085"/>
      <c r="B31" s="1085"/>
      <c r="C31" s="1085"/>
      <c r="D31" s="708"/>
      <c r="E31" s="707"/>
      <c r="F31" s="707"/>
      <c r="G31" s="707"/>
      <c r="H31" s="707"/>
      <c r="I31" s="707"/>
      <c r="J31" s="707"/>
      <c r="K31" s="707"/>
      <c r="L31" s="707"/>
      <c r="M31" s="707"/>
      <c r="N31" s="707"/>
      <c r="O31" s="707"/>
      <c r="P31" s="707"/>
      <c r="Q31" s="707"/>
      <c r="R31" s="707"/>
    </row>
    <row r="32" spans="1:19" ht="15.75">
      <c r="A32" s="709" t="s">
        <v>231</v>
      </c>
      <c r="B32" s="709"/>
      <c r="C32" s="708"/>
      <c r="D32" s="708"/>
      <c r="E32" s="707"/>
      <c r="F32" s="707"/>
      <c r="G32" s="707"/>
      <c r="H32" s="707"/>
      <c r="I32" s="707"/>
      <c r="J32" s="707"/>
      <c r="K32" s="707"/>
      <c r="L32" s="707"/>
      <c r="M32" s="707"/>
      <c r="N32" s="707"/>
      <c r="O32" s="707"/>
      <c r="P32" s="707"/>
      <c r="Q32" s="707"/>
      <c r="R32" s="707"/>
    </row>
    <row r="33" spans="1:18">
      <c r="A33" s="1086"/>
      <c r="B33" s="1086"/>
      <c r="C33" s="1086"/>
      <c r="D33" s="1086"/>
      <c r="E33" s="1086"/>
      <c r="F33" s="1086"/>
      <c r="G33" s="1086"/>
      <c r="H33" s="1086"/>
      <c r="I33" s="1086"/>
      <c r="J33" s="1086"/>
      <c r="K33" s="1086"/>
      <c r="L33" s="1086"/>
      <c r="M33" s="1086"/>
      <c r="N33" s="1086"/>
      <c r="O33" s="1086"/>
      <c r="P33" s="1086"/>
      <c r="Q33" s="1086"/>
      <c r="R33" s="1086"/>
    </row>
    <row r="34" spans="1:18" ht="15.75" thickBot="1">
      <c r="A34" s="710"/>
      <c r="B34" s="710"/>
      <c r="C34" s="711"/>
      <c r="D34" s="711"/>
      <c r="E34" s="711"/>
      <c r="F34" s="711"/>
      <c r="G34" s="711"/>
      <c r="H34" s="711"/>
      <c r="I34" s="711"/>
      <c r="J34" s="711"/>
      <c r="K34" s="711"/>
      <c r="L34" s="711"/>
      <c r="M34" s="711"/>
      <c r="N34" s="711"/>
      <c r="O34" s="711"/>
      <c r="P34" s="711"/>
      <c r="Q34" s="711"/>
      <c r="R34" s="711"/>
    </row>
    <row r="35" spans="1:18" ht="17.25" thickTop="1" thickBot="1">
      <c r="A35" s="1087"/>
      <c r="B35" s="813"/>
      <c r="C35" s="1089" t="s">
        <v>347</v>
      </c>
      <c r="D35" s="1090"/>
      <c r="E35" s="1090"/>
      <c r="F35" s="1090"/>
      <c r="G35" s="1090"/>
      <c r="H35" s="1090"/>
      <c r="I35" s="1090"/>
      <c r="J35" s="1090"/>
      <c r="K35" s="1090"/>
      <c r="L35" s="1090"/>
      <c r="M35" s="1090"/>
      <c r="N35" s="1090"/>
      <c r="O35" s="1090"/>
      <c r="P35" s="1090"/>
      <c r="Q35" s="1090"/>
      <c r="R35" s="1091"/>
    </row>
    <row r="36" spans="1:18" ht="16.5" thickTop="1">
      <c r="A36" s="1088"/>
      <c r="B36" s="814"/>
      <c r="C36" s="1092" t="s">
        <v>21</v>
      </c>
      <c r="D36" s="1094" t="s">
        <v>232</v>
      </c>
      <c r="E36" s="1096" t="s">
        <v>197</v>
      </c>
      <c r="F36" s="1097"/>
      <c r="G36" s="1097"/>
      <c r="H36" s="1097"/>
      <c r="I36" s="1097"/>
      <c r="J36" s="1097"/>
      <c r="K36" s="1097"/>
      <c r="L36" s="1098"/>
      <c r="M36" s="1096" t="s">
        <v>198</v>
      </c>
      <c r="N36" s="1097"/>
      <c r="O36" s="1097"/>
      <c r="P36" s="1097"/>
      <c r="Q36" s="1097"/>
      <c r="R36" s="1099" t="s">
        <v>116</v>
      </c>
    </row>
    <row r="37" spans="1:18" ht="45.75" thickBot="1">
      <c r="A37" s="1088"/>
      <c r="B37" s="814"/>
      <c r="C37" s="1093"/>
      <c r="D37" s="1095"/>
      <c r="E37" s="712" t="s">
        <v>199</v>
      </c>
      <c r="F37" s="712" t="s">
        <v>200</v>
      </c>
      <c r="G37" s="712" t="s">
        <v>201</v>
      </c>
      <c r="H37" s="712" t="s">
        <v>202</v>
      </c>
      <c r="I37" s="712" t="s">
        <v>120</v>
      </c>
      <c r="J37" s="712" t="s">
        <v>203</v>
      </c>
      <c r="K37" s="713" t="s">
        <v>233</v>
      </c>
      <c r="L37" s="713" t="s">
        <v>205</v>
      </c>
      <c r="M37" s="65" t="s">
        <v>206</v>
      </c>
      <c r="N37" s="66" t="s">
        <v>207</v>
      </c>
      <c r="O37" s="712" t="s">
        <v>234</v>
      </c>
      <c r="P37" s="712" t="s">
        <v>235</v>
      </c>
      <c r="Q37" s="713" t="s">
        <v>210</v>
      </c>
      <c r="R37" s="1100"/>
    </row>
    <row r="38" spans="1:18" ht="17.25" thickTop="1" thickBot="1">
      <c r="A38" s="826" t="s">
        <v>344</v>
      </c>
      <c r="B38" s="827"/>
      <c r="C38" s="714" t="s">
        <v>236</v>
      </c>
      <c r="D38" s="715"/>
      <c r="E38" s="716"/>
      <c r="F38" s="716"/>
      <c r="G38" s="716"/>
      <c r="H38" s="716"/>
      <c r="I38" s="716"/>
      <c r="J38" s="716"/>
      <c r="K38" s="716"/>
      <c r="L38" s="716"/>
      <c r="M38" s="1004"/>
      <c r="N38" s="1004"/>
      <c r="O38" s="716"/>
      <c r="P38" s="1004"/>
      <c r="Q38" s="717"/>
      <c r="R38" s="718"/>
    </row>
    <row r="39" spans="1:18" ht="15" thickTop="1">
      <c r="A39" s="799" t="s">
        <v>223</v>
      </c>
      <c r="B39" s="823"/>
      <c r="C39" s="688">
        <f ca="1">'Eigen gebouwen'!B19</f>
        <v>0</v>
      </c>
      <c r="D39" s="688">
        <f ca="1">'Eigen gebouwen'!C19</f>
        <v>0</v>
      </c>
      <c r="E39" s="688">
        <f>'Eigen gebouwen'!D19</f>
        <v>0</v>
      </c>
      <c r="F39" s="688">
        <f>'Eigen gebouwen'!E19</f>
        <v>0</v>
      </c>
      <c r="G39" s="688">
        <f>'Eigen gebouwen'!F19</f>
        <v>0</v>
      </c>
      <c r="H39" s="688">
        <f>'Eigen gebouwen'!G19</f>
        <v>0</v>
      </c>
      <c r="I39" s="688">
        <f>'Eigen gebouwen'!H19</f>
        <v>0</v>
      </c>
      <c r="J39" s="688">
        <f>'Eigen gebouwen'!I19</f>
        <v>0</v>
      </c>
      <c r="K39" s="688">
        <f>'Eigen gebouwen'!J19</f>
        <v>0</v>
      </c>
      <c r="L39" s="688">
        <f>'Eigen gebouwen'!K19</f>
        <v>0</v>
      </c>
      <c r="M39" s="688">
        <f>'Eigen gebouwen'!L19</f>
        <v>0</v>
      </c>
      <c r="N39" s="688">
        <f>'Eigen gebouwen'!M19</f>
        <v>0</v>
      </c>
      <c r="O39" s="688">
        <f>'Eigen gebouwen'!N19</f>
        <v>0</v>
      </c>
      <c r="P39" s="688">
        <f>'Eigen gebouwen'!O19</f>
        <v>0</v>
      </c>
      <c r="Q39" s="763">
        <f>'Eigen gebouwen'!P19</f>
        <v>0</v>
      </c>
      <c r="R39" s="1005">
        <f t="shared" ref="R39:R44" ca="1" si="4">SUM(C39:Q39)</f>
        <v>0</v>
      </c>
    </row>
    <row r="40" spans="1:18">
      <c r="A40" s="804" t="s">
        <v>224</v>
      </c>
      <c r="B40" s="824"/>
      <c r="C40" s="688">
        <f ca="1">tertiair!B20+'openbare verlichting'!B12</f>
        <v>7611.1662493267613</v>
      </c>
      <c r="D40" s="688">
        <f ca="1">tertiair!C20</f>
        <v>5.338729828809667</v>
      </c>
      <c r="E40" s="688">
        <f ca="1">tertiair!D20</f>
        <v>6283.3654093720234</v>
      </c>
      <c r="F40" s="688">
        <f>tertiair!E20</f>
        <v>71.621540361411093</v>
      </c>
      <c r="G40" s="688">
        <f ca="1">tertiair!F20</f>
        <v>1434.1292188349344</v>
      </c>
      <c r="H40" s="688">
        <f>tertiair!G20</f>
        <v>0</v>
      </c>
      <c r="I40" s="688">
        <f>tertiair!H20</f>
        <v>0</v>
      </c>
      <c r="J40" s="688">
        <f>tertiair!I20</f>
        <v>0</v>
      </c>
      <c r="K40" s="688">
        <f>tertiair!J20</f>
        <v>0</v>
      </c>
      <c r="L40" s="688">
        <f>tertiair!K20</f>
        <v>0</v>
      </c>
      <c r="M40" s="688">
        <f ca="1">tertiair!L20</f>
        <v>0</v>
      </c>
      <c r="N40" s="688">
        <f>tertiair!M20</f>
        <v>0</v>
      </c>
      <c r="O40" s="688">
        <f ca="1">tertiair!N20</f>
        <v>0</v>
      </c>
      <c r="P40" s="688">
        <f>tertiair!O20</f>
        <v>0</v>
      </c>
      <c r="Q40" s="763">
        <f>tertiair!P20</f>
        <v>0</v>
      </c>
      <c r="R40" s="844">
        <f t="shared" ca="1" si="4"/>
        <v>15405.621147723939</v>
      </c>
    </row>
    <row r="41" spans="1:18">
      <c r="A41" s="816" t="s">
        <v>225</v>
      </c>
      <c r="B41" s="823"/>
      <c r="C41" s="688">
        <f ca="1">huishoudens!B12</f>
        <v>10676.035201276603</v>
      </c>
      <c r="D41" s="688">
        <f ca="1">huishoudens!C12</f>
        <v>0</v>
      </c>
      <c r="E41" s="688">
        <f>huishoudens!D12</f>
        <v>27146.165312513684</v>
      </c>
      <c r="F41" s="688">
        <f>huishoudens!E12</f>
        <v>1829.4074713705359</v>
      </c>
      <c r="G41" s="688">
        <f>huishoudens!F12</f>
        <v>0</v>
      </c>
      <c r="H41" s="688">
        <f>huishoudens!G12</f>
        <v>0</v>
      </c>
      <c r="I41" s="688">
        <f>huishoudens!H12</f>
        <v>0</v>
      </c>
      <c r="J41" s="688">
        <f>huishoudens!I12</f>
        <v>0</v>
      </c>
      <c r="K41" s="688">
        <f>huishoudens!J12</f>
        <v>65.909989510605698</v>
      </c>
      <c r="L41" s="688">
        <f>huishoudens!K12</f>
        <v>0</v>
      </c>
      <c r="M41" s="688">
        <f>huishoudens!L12</f>
        <v>0</v>
      </c>
      <c r="N41" s="688">
        <f>huishoudens!M12</f>
        <v>0</v>
      </c>
      <c r="O41" s="688">
        <f>huishoudens!N12</f>
        <v>0</v>
      </c>
      <c r="P41" s="688">
        <f>huishoudens!O12</f>
        <v>0</v>
      </c>
      <c r="Q41" s="763">
        <f>huishoudens!P12</f>
        <v>0</v>
      </c>
      <c r="R41" s="844">
        <f t="shared" ca="1" si="4"/>
        <v>39717.517974671428</v>
      </c>
    </row>
    <row r="42" spans="1:18">
      <c r="A42" s="816" t="s">
        <v>515</v>
      </c>
      <c r="B42" s="823"/>
      <c r="C42" s="688">
        <f ca="1">'Eigen openbare verlichting'!B19</f>
        <v>0</v>
      </c>
      <c r="D42" s="688"/>
      <c r="E42" s="688"/>
      <c r="F42" s="688"/>
      <c r="G42" s="688"/>
      <c r="H42" s="688"/>
      <c r="I42" s="688"/>
      <c r="J42" s="688"/>
      <c r="K42" s="688"/>
      <c r="L42" s="688"/>
      <c r="M42" s="688"/>
      <c r="N42" s="688"/>
      <c r="O42" s="688"/>
      <c r="P42" s="688"/>
      <c r="Q42" s="763"/>
      <c r="R42" s="844">
        <f t="shared" ca="1" si="4"/>
        <v>0</v>
      </c>
    </row>
    <row r="43" spans="1:18">
      <c r="A43" s="816" t="s">
        <v>690</v>
      </c>
      <c r="B43" s="831" t="s">
        <v>687</v>
      </c>
      <c r="C43" s="688">
        <f ca="1">industrie!B22</f>
        <v>1568.5763549077644</v>
      </c>
      <c r="D43" s="688">
        <f ca="1">industrie!C22</f>
        <v>0</v>
      </c>
      <c r="E43" s="688">
        <f>industrie!D22</f>
        <v>4817.0201150107459</v>
      </c>
      <c r="F43" s="688">
        <f>industrie!E22</f>
        <v>24.900201833696674</v>
      </c>
      <c r="G43" s="688">
        <f>industrie!F22</f>
        <v>1014.0863888675794</v>
      </c>
      <c r="H43" s="688">
        <f>industrie!G22</f>
        <v>0</v>
      </c>
      <c r="I43" s="688">
        <f>industrie!H22</f>
        <v>0</v>
      </c>
      <c r="J43" s="688">
        <f>industrie!I22</f>
        <v>0</v>
      </c>
      <c r="K43" s="688">
        <f>industrie!J22</f>
        <v>17.324247458635949</v>
      </c>
      <c r="L43" s="688">
        <f>industrie!K22</f>
        <v>0</v>
      </c>
      <c r="M43" s="688">
        <f>industrie!L22</f>
        <v>0</v>
      </c>
      <c r="N43" s="688">
        <f>industrie!M22</f>
        <v>0</v>
      </c>
      <c r="O43" s="688">
        <f>industrie!N22</f>
        <v>0</v>
      </c>
      <c r="P43" s="688">
        <f>industrie!O22</f>
        <v>0</v>
      </c>
      <c r="Q43" s="763">
        <f>industrie!P22</f>
        <v>0</v>
      </c>
      <c r="R43" s="843">
        <f t="shared" ca="1" si="4"/>
        <v>7441.9073080784228</v>
      </c>
    </row>
    <row r="44" spans="1:18">
      <c r="A44" s="816"/>
      <c r="B44" s="823" t="s">
        <v>688</v>
      </c>
      <c r="C44" s="688"/>
      <c r="D44" s="688"/>
      <c r="E44" s="688"/>
      <c r="F44" s="688"/>
      <c r="G44" s="688"/>
      <c r="H44" s="688"/>
      <c r="I44" s="688"/>
      <c r="J44" s="688"/>
      <c r="K44" s="688"/>
      <c r="L44" s="688"/>
      <c r="M44" s="688"/>
      <c r="N44" s="688"/>
      <c r="O44" s="688"/>
      <c r="P44" s="688"/>
      <c r="Q44" s="763"/>
      <c r="R44" s="844">
        <f t="shared" si="4"/>
        <v>0</v>
      </c>
    </row>
    <row r="45" spans="1:18" ht="15" thickBot="1">
      <c r="A45" s="1000" t="s">
        <v>910</v>
      </c>
      <c r="B45" s="1006"/>
      <c r="C45" s="1002"/>
      <c r="D45" s="1002"/>
      <c r="E45" s="1002"/>
      <c r="F45" s="1002"/>
      <c r="G45" s="1002"/>
      <c r="H45" s="1002"/>
      <c r="I45" s="1002"/>
      <c r="J45" s="1002"/>
      <c r="K45" s="1002"/>
      <c r="L45" s="1002"/>
      <c r="M45" s="1002"/>
      <c r="N45" s="1002"/>
      <c r="O45" s="1002"/>
      <c r="P45" s="1002"/>
      <c r="Q45" s="1003"/>
      <c r="R45" s="1007"/>
    </row>
    <row r="46" spans="1:18" ht="15.75" thickBot="1">
      <c r="A46" s="817" t="s">
        <v>226</v>
      </c>
      <c r="B46" s="830"/>
      <c r="C46" s="721">
        <f ca="1">SUM(C39:C45)</f>
        <v>19855.77780551113</v>
      </c>
      <c r="D46" s="721">
        <f t="shared" ref="D46:Q46" ca="1" si="5">SUM(D39:D45)</f>
        <v>5.338729828809667</v>
      </c>
      <c r="E46" s="721">
        <f t="shared" ca="1" si="5"/>
        <v>38246.550836896451</v>
      </c>
      <c r="F46" s="721">
        <f t="shared" si="5"/>
        <v>1925.9292135656435</v>
      </c>
      <c r="G46" s="721">
        <f t="shared" ca="1" si="5"/>
        <v>2448.2156077025138</v>
      </c>
      <c r="H46" s="721">
        <f t="shared" si="5"/>
        <v>0</v>
      </c>
      <c r="I46" s="721">
        <f t="shared" si="5"/>
        <v>0</v>
      </c>
      <c r="J46" s="721">
        <f t="shared" si="5"/>
        <v>0</v>
      </c>
      <c r="K46" s="721">
        <f t="shared" si="5"/>
        <v>83.23423696924165</v>
      </c>
      <c r="L46" s="721">
        <f t="shared" si="5"/>
        <v>0</v>
      </c>
      <c r="M46" s="721">
        <f t="shared" ca="1" si="5"/>
        <v>0</v>
      </c>
      <c r="N46" s="721">
        <f t="shared" si="5"/>
        <v>0</v>
      </c>
      <c r="O46" s="721">
        <f t="shared" ca="1" si="5"/>
        <v>0</v>
      </c>
      <c r="P46" s="721">
        <f t="shared" si="5"/>
        <v>0</v>
      </c>
      <c r="Q46" s="721">
        <f t="shared" si="5"/>
        <v>0</v>
      </c>
      <c r="R46" s="721">
        <f ca="1">SUM(R39:R45)</f>
        <v>62565.046430473791</v>
      </c>
    </row>
    <row r="47" spans="1:18" ht="15.75">
      <c r="A47" s="818" t="s">
        <v>227</v>
      </c>
      <c r="B47" s="828"/>
      <c r="C47" s="714"/>
      <c r="D47" s="715"/>
      <c r="E47" s="715"/>
      <c r="F47" s="715"/>
      <c r="G47" s="715"/>
      <c r="H47" s="715"/>
      <c r="I47" s="715"/>
      <c r="J47" s="715"/>
      <c r="K47" s="715"/>
      <c r="L47" s="715"/>
      <c r="M47" s="724"/>
      <c r="N47" s="724"/>
      <c r="O47" s="715"/>
      <c r="P47" s="724"/>
      <c r="Q47" s="724"/>
      <c r="R47" s="718"/>
    </row>
    <row r="48" spans="1:18">
      <c r="A48" s="816" t="s">
        <v>228</v>
      </c>
      <c r="B48" s="823"/>
      <c r="C48" s="688">
        <f ca="1">'Eigen vloot'!B31</f>
        <v>0</v>
      </c>
      <c r="D48" s="688">
        <f>'Eigen vloot'!C31</f>
        <v>0</v>
      </c>
      <c r="E48" s="688">
        <f>'Eigen vloot'!D31</f>
        <v>0</v>
      </c>
      <c r="F48" s="688">
        <f>'Eigen vloot'!E31</f>
        <v>0</v>
      </c>
      <c r="G48" s="688">
        <f>'Eigen vloot'!F31</f>
        <v>0</v>
      </c>
      <c r="H48" s="688">
        <f>'Eigen vloot'!G31</f>
        <v>0</v>
      </c>
      <c r="I48" s="688">
        <f>'Eigen vloot'!H31</f>
        <v>0</v>
      </c>
      <c r="J48" s="688">
        <f>'Eigen vloot'!I31</f>
        <v>0</v>
      </c>
      <c r="K48" s="688">
        <f>'Eigen vloot'!J31</f>
        <v>0</v>
      </c>
      <c r="L48" s="688">
        <f>'Eigen vloot'!K31</f>
        <v>0</v>
      </c>
      <c r="M48" s="688">
        <f>'Eigen vloot'!L31</f>
        <v>0</v>
      </c>
      <c r="N48" s="688">
        <f>'Eigen vloot'!M31</f>
        <v>0</v>
      </c>
      <c r="O48" s="688">
        <f>'Eigen vloot'!N31</f>
        <v>0</v>
      </c>
      <c r="P48" s="688">
        <f>'Eigen vloot'!O31</f>
        <v>0</v>
      </c>
      <c r="Q48" s="688">
        <f>'Eigen vloot'!P31</f>
        <v>0</v>
      </c>
      <c r="R48" s="719">
        <f ca="1">SUM(C48:Q48)</f>
        <v>0</v>
      </c>
    </row>
    <row r="49" spans="1:18">
      <c r="A49" s="816" t="s">
        <v>229</v>
      </c>
      <c r="B49" s="823"/>
      <c r="C49" s="688">
        <f ca="1">transport!B58</f>
        <v>0</v>
      </c>
      <c r="D49" s="688">
        <f ca="1">transport!C58</f>
        <v>0</v>
      </c>
      <c r="E49" s="688">
        <f>transport!D58</f>
        <v>0</v>
      </c>
      <c r="F49" s="688">
        <f>transport!E58</f>
        <v>0</v>
      </c>
      <c r="G49" s="688">
        <f>transport!F58</f>
        <v>0</v>
      </c>
      <c r="H49" s="688">
        <f>transport!G58</f>
        <v>978.06916103110359</v>
      </c>
      <c r="I49" s="688">
        <f>transport!H58</f>
        <v>0</v>
      </c>
      <c r="J49" s="688">
        <f>transport!I58</f>
        <v>0</v>
      </c>
      <c r="K49" s="688">
        <f>transport!J58</f>
        <v>0</v>
      </c>
      <c r="L49" s="688">
        <f>transport!K58</f>
        <v>0</v>
      </c>
      <c r="M49" s="688">
        <f>transport!L58</f>
        <v>0</v>
      </c>
      <c r="N49" s="688">
        <f>transport!M58</f>
        <v>0</v>
      </c>
      <c r="O49" s="688">
        <f>transport!N58</f>
        <v>0</v>
      </c>
      <c r="P49" s="688">
        <f>transport!O58</f>
        <v>0</v>
      </c>
      <c r="Q49" s="689">
        <f>transport!P58</f>
        <v>0</v>
      </c>
      <c r="R49" s="719">
        <f ca="1">SUM(C49:Q49)</f>
        <v>978.06916103110359</v>
      </c>
    </row>
    <row r="50" spans="1:18">
      <c r="A50" s="819" t="s">
        <v>307</v>
      </c>
      <c r="B50" s="829"/>
      <c r="C50" s="1008">
        <f ca="1">transport!B18</f>
        <v>1.0710583620419543</v>
      </c>
      <c r="D50" s="1008">
        <f>transport!C18</f>
        <v>0</v>
      </c>
      <c r="E50" s="1008">
        <f>transport!D18</f>
        <v>3.3518898781926145</v>
      </c>
      <c r="F50" s="1008">
        <f>transport!E18</f>
        <v>252.18541790936956</v>
      </c>
      <c r="G50" s="1008">
        <f>transport!F18</f>
        <v>0</v>
      </c>
      <c r="H50" s="1008">
        <f>transport!G18</f>
        <v>80720.203838118556</v>
      </c>
      <c r="I50" s="1008">
        <f>transport!H18</f>
        <v>9544.0318930537996</v>
      </c>
      <c r="J50" s="1008">
        <f>transport!I18</f>
        <v>0</v>
      </c>
      <c r="K50" s="1008">
        <f>transport!J18</f>
        <v>0</v>
      </c>
      <c r="L50" s="1008">
        <f>transport!K18</f>
        <v>0</v>
      </c>
      <c r="M50" s="1008">
        <f>transport!L18</f>
        <v>0</v>
      </c>
      <c r="N50" s="1008">
        <f>transport!M18</f>
        <v>0</v>
      </c>
      <c r="O50" s="1008">
        <f>transport!N18</f>
        <v>0</v>
      </c>
      <c r="P50" s="1008">
        <f>transport!O18</f>
        <v>0</v>
      </c>
      <c r="Q50" s="1009">
        <f>transport!P18</f>
        <v>0</v>
      </c>
      <c r="R50" s="720">
        <f ca="1">SUM(C50:Q50)</f>
        <v>90520.844097321969</v>
      </c>
    </row>
    <row r="51" spans="1:18" ht="15" thickBot="1">
      <c r="A51" s="816" t="s">
        <v>911</v>
      </c>
      <c r="B51" s="823"/>
      <c r="C51" s="688"/>
      <c r="D51" s="688"/>
      <c r="E51" s="688"/>
      <c r="F51" s="688"/>
      <c r="G51" s="688"/>
      <c r="H51" s="688"/>
      <c r="I51" s="688"/>
      <c r="J51" s="688"/>
      <c r="K51" s="688"/>
      <c r="L51" s="688"/>
      <c r="M51" s="688"/>
      <c r="N51" s="688"/>
      <c r="O51" s="688"/>
      <c r="P51" s="688"/>
      <c r="Q51" s="689"/>
      <c r="R51" s="719"/>
    </row>
    <row r="52" spans="1:18" ht="15.75" thickBot="1">
      <c r="A52" s="817" t="s">
        <v>230</v>
      </c>
      <c r="B52" s="830"/>
      <c r="C52" s="721">
        <f ca="1">SUM(C48:C51)</f>
        <v>1.0710583620419543</v>
      </c>
      <c r="D52" s="721">
        <f t="shared" ref="D52:Q52" ca="1" si="6">SUM(D48:D51)</f>
        <v>0</v>
      </c>
      <c r="E52" s="721">
        <f t="shared" si="6"/>
        <v>3.3518898781926145</v>
      </c>
      <c r="F52" s="721">
        <f t="shared" si="6"/>
        <v>252.18541790936956</v>
      </c>
      <c r="G52" s="721">
        <f t="shared" si="6"/>
        <v>0</v>
      </c>
      <c r="H52" s="721">
        <f t="shared" si="6"/>
        <v>81698.27299914966</v>
      </c>
      <c r="I52" s="721">
        <f t="shared" si="6"/>
        <v>9544.0318930537996</v>
      </c>
      <c r="J52" s="721">
        <f t="shared" si="6"/>
        <v>0</v>
      </c>
      <c r="K52" s="721">
        <f t="shared" si="6"/>
        <v>0</v>
      </c>
      <c r="L52" s="721">
        <f t="shared" si="6"/>
        <v>0</v>
      </c>
      <c r="M52" s="721">
        <f t="shared" si="6"/>
        <v>0</v>
      </c>
      <c r="N52" s="721">
        <f t="shared" si="6"/>
        <v>0</v>
      </c>
      <c r="O52" s="721">
        <f t="shared" si="6"/>
        <v>0</v>
      </c>
      <c r="P52" s="721">
        <f t="shared" si="6"/>
        <v>0</v>
      </c>
      <c r="Q52" s="721">
        <f t="shared" si="6"/>
        <v>0</v>
      </c>
      <c r="R52" s="721">
        <f ca="1">SUM(R48:R51)</f>
        <v>91498.913258353074</v>
      </c>
    </row>
    <row r="53" spans="1:18" ht="15.75">
      <c r="A53" s="818" t="s">
        <v>237</v>
      </c>
      <c r="B53" s="797"/>
      <c r="C53" s="714"/>
      <c r="D53" s="715"/>
      <c r="E53" s="715"/>
      <c r="F53" s="715"/>
      <c r="G53" s="715"/>
      <c r="H53" s="715"/>
      <c r="I53" s="715"/>
      <c r="J53" s="715"/>
      <c r="K53" s="715"/>
      <c r="L53" s="715"/>
      <c r="M53" s="724"/>
      <c r="N53" s="724"/>
      <c r="O53" s="715"/>
      <c r="P53" s="724"/>
      <c r="Q53" s="724"/>
      <c r="R53" s="718"/>
    </row>
    <row r="54" spans="1:18">
      <c r="A54" s="819" t="s">
        <v>678</v>
      </c>
      <c r="B54" s="829"/>
      <c r="C54" s="1008">
        <f ca="1">+landbouw!B12</f>
        <v>800.74230077320328</v>
      </c>
      <c r="D54" s="1008">
        <f ca="1">+landbouw!C12</f>
        <v>1785.7138377678993</v>
      </c>
      <c r="E54" s="1008">
        <f>+landbouw!D12</f>
        <v>0</v>
      </c>
      <c r="F54" s="1008">
        <f>+landbouw!E12</f>
        <v>10.221728474600569</v>
      </c>
      <c r="G54" s="1008">
        <f>+landbouw!F12</f>
        <v>4164.7524752007621</v>
      </c>
      <c r="H54" s="1008">
        <f>+landbouw!G12</f>
        <v>0</v>
      </c>
      <c r="I54" s="1008">
        <f>+landbouw!H12</f>
        <v>0</v>
      </c>
      <c r="J54" s="1008">
        <f>+landbouw!I12</f>
        <v>0</v>
      </c>
      <c r="K54" s="1008">
        <f>+landbouw!J12</f>
        <v>209.31807367772893</v>
      </c>
      <c r="L54" s="1008">
        <f>+landbouw!K12</f>
        <v>0</v>
      </c>
      <c r="M54" s="1008">
        <f>+landbouw!L12</f>
        <v>0</v>
      </c>
      <c r="N54" s="1008">
        <f>+landbouw!M12</f>
        <v>0</v>
      </c>
      <c r="O54" s="1008">
        <f>+landbouw!N12</f>
        <v>0</v>
      </c>
      <c r="P54" s="1008">
        <f>+landbouw!O12</f>
        <v>0</v>
      </c>
      <c r="Q54" s="1009">
        <f>+landbouw!P12</f>
        <v>0</v>
      </c>
      <c r="R54" s="720">
        <f ca="1">SUM(C54:Q54)</f>
        <v>6970.7484158941934</v>
      </c>
    </row>
    <row r="55" spans="1:18" ht="15" thickBot="1">
      <c r="A55" s="819" t="s">
        <v>912</v>
      </c>
      <c r="B55" s="829"/>
      <c r="C55" s="1008">
        <f ca="1">C25*'EF ele_warmte'!B12</f>
        <v>255.64214788457136</v>
      </c>
      <c r="D55" s="1008"/>
      <c r="E55" s="1008">
        <f>E25*EF_CO2_aardgas</f>
        <v>854.39058189173136</v>
      </c>
      <c r="F55" s="1008"/>
      <c r="G55" s="1008"/>
      <c r="H55" s="1008"/>
      <c r="I55" s="1008"/>
      <c r="J55" s="1008"/>
      <c r="K55" s="1008"/>
      <c r="L55" s="1008"/>
      <c r="M55" s="1008"/>
      <c r="N55" s="1008"/>
      <c r="O55" s="1008"/>
      <c r="P55" s="1008"/>
      <c r="Q55" s="1009"/>
      <c r="R55" s="720">
        <f ca="1">SUM(C55:Q55)</f>
        <v>1110.0327297763026</v>
      </c>
    </row>
    <row r="56" spans="1:18" ht="15.75" thickBot="1">
      <c r="A56" s="817" t="s">
        <v>913</v>
      </c>
      <c r="B56" s="830"/>
      <c r="C56" s="721">
        <f ca="1">SUM(C54:C55)</f>
        <v>1056.3844486577746</v>
      </c>
      <c r="D56" s="721">
        <f t="shared" ref="D56:Q56" ca="1" si="7">SUM(D54:D55)</f>
        <v>1785.7138377678993</v>
      </c>
      <c r="E56" s="721">
        <f t="shared" si="7"/>
        <v>854.39058189173136</v>
      </c>
      <c r="F56" s="721">
        <f t="shared" si="7"/>
        <v>10.221728474600569</v>
      </c>
      <c r="G56" s="721">
        <f t="shared" si="7"/>
        <v>4164.7524752007621</v>
      </c>
      <c r="H56" s="721">
        <f t="shared" si="7"/>
        <v>0</v>
      </c>
      <c r="I56" s="721">
        <f t="shared" si="7"/>
        <v>0</v>
      </c>
      <c r="J56" s="721">
        <f t="shared" si="7"/>
        <v>0</v>
      </c>
      <c r="K56" s="721">
        <f t="shared" si="7"/>
        <v>209.31807367772893</v>
      </c>
      <c r="L56" s="721">
        <f t="shared" si="7"/>
        <v>0</v>
      </c>
      <c r="M56" s="721">
        <f t="shared" si="7"/>
        <v>0</v>
      </c>
      <c r="N56" s="721">
        <f t="shared" si="7"/>
        <v>0</v>
      </c>
      <c r="O56" s="721">
        <f t="shared" si="7"/>
        <v>0</v>
      </c>
      <c r="P56" s="721">
        <f t="shared" si="7"/>
        <v>0</v>
      </c>
      <c r="Q56" s="722">
        <f t="shared" si="7"/>
        <v>0</v>
      </c>
      <c r="R56" s="723">
        <f ca="1">SUM(R54:R55)</f>
        <v>8080.7811456704958</v>
      </c>
    </row>
    <row r="57" spans="1:18" ht="15.75">
      <c r="A57" s="797" t="s">
        <v>679</v>
      </c>
      <c r="B57" s="797"/>
      <c r="C57" s="726"/>
      <c r="D57" s="715"/>
      <c r="E57" s="715"/>
      <c r="F57" s="715"/>
      <c r="G57" s="715"/>
      <c r="H57" s="715"/>
      <c r="I57" s="715"/>
      <c r="J57" s="715"/>
      <c r="K57" s="715"/>
      <c r="L57" s="715"/>
      <c r="M57" s="724"/>
      <c r="N57" s="724"/>
      <c r="O57" s="715"/>
      <c r="P57" s="724"/>
      <c r="Q57" s="724"/>
      <c r="R57" s="718"/>
    </row>
    <row r="58" spans="1:18" ht="15">
      <c r="A58" s="820" t="s">
        <v>238</v>
      </c>
      <c r="B58" s="834"/>
      <c r="C58" s="1079"/>
      <c r="D58" s="1080"/>
      <c r="E58" s="1080"/>
      <c r="F58" s="1080"/>
      <c r="G58" s="1080"/>
      <c r="H58" s="1080"/>
      <c r="I58" s="1080"/>
      <c r="J58" s="1080"/>
      <c r="K58" s="1080"/>
      <c r="L58" s="1080"/>
      <c r="M58" s="1080"/>
      <c r="N58" s="1080"/>
      <c r="O58" s="1080"/>
      <c r="P58" s="1080"/>
      <c r="Q58" s="1080"/>
      <c r="R58" s="727"/>
    </row>
    <row r="59" spans="1:18" ht="15">
      <c r="A59" s="821" t="s">
        <v>239</v>
      </c>
      <c r="B59" s="808"/>
      <c r="C59" s="1081"/>
      <c r="D59" s="1082"/>
      <c r="E59" s="1082"/>
      <c r="F59" s="1082"/>
      <c r="G59" s="1082"/>
      <c r="H59" s="1082"/>
      <c r="I59" s="1082"/>
      <c r="J59" s="1082"/>
      <c r="K59" s="1082"/>
      <c r="L59" s="1082"/>
      <c r="M59" s="1082"/>
      <c r="N59" s="1082"/>
      <c r="O59" s="1082"/>
      <c r="P59" s="1082"/>
      <c r="Q59" s="1082"/>
      <c r="R59" s="728"/>
    </row>
    <row r="60" spans="1:18" ht="15" thickBot="1">
      <c r="A60" s="832" t="s">
        <v>240</v>
      </c>
      <c r="B60" s="833"/>
      <c r="C60" s="1081"/>
      <c r="D60" s="1082"/>
      <c r="E60" s="1082"/>
      <c r="F60" s="1082"/>
      <c r="G60" s="1082"/>
      <c r="H60" s="1082"/>
      <c r="I60" s="1082"/>
      <c r="J60" s="1082"/>
      <c r="K60" s="1082"/>
      <c r="L60" s="1082"/>
      <c r="M60" s="1082"/>
      <c r="N60" s="1082"/>
      <c r="O60" s="1082"/>
      <c r="P60" s="1082"/>
      <c r="Q60" s="1082"/>
      <c r="R60" s="720"/>
    </row>
    <row r="61" spans="1:18" ht="16.5" thickBot="1">
      <c r="A61" s="835" t="s">
        <v>116</v>
      </c>
      <c r="B61" s="836"/>
      <c r="C61" s="729">
        <f ca="1">C46+C52+C56</f>
        <v>20913.233312530945</v>
      </c>
      <c r="D61" s="729">
        <f t="shared" ref="D61:Q61" ca="1" si="8">D46+D52+D56</f>
        <v>1791.052567596709</v>
      </c>
      <c r="E61" s="729">
        <f t="shared" ca="1" si="8"/>
        <v>39104.293308666376</v>
      </c>
      <c r="F61" s="729">
        <f t="shared" si="8"/>
        <v>2188.3363599496138</v>
      </c>
      <c r="G61" s="729">
        <f t="shared" ca="1" si="8"/>
        <v>6612.9680829032759</v>
      </c>
      <c r="H61" s="729">
        <f t="shared" si="8"/>
        <v>81698.27299914966</v>
      </c>
      <c r="I61" s="729">
        <f t="shared" si="8"/>
        <v>9544.0318930537996</v>
      </c>
      <c r="J61" s="729">
        <f t="shared" si="8"/>
        <v>0</v>
      </c>
      <c r="K61" s="729">
        <f t="shared" si="8"/>
        <v>292.55231064697057</v>
      </c>
      <c r="L61" s="729">
        <f t="shared" si="8"/>
        <v>0</v>
      </c>
      <c r="M61" s="729">
        <f t="shared" ca="1" si="8"/>
        <v>0</v>
      </c>
      <c r="N61" s="729">
        <f t="shared" si="8"/>
        <v>0</v>
      </c>
      <c r="O61" s="729">
        <f t="shared" ca="1" si="8"/>
        <v>0</v>
      </c>
      <c r="P61" s="729">
        <f t="shared" si="8"/>
        <v>0</v>
      </c>
      <c r="Q61" s="729">
        <f t="shared" si="8"/>
        <v>0</v>
      </c>
      <c r="R61" s="729">
        <f ca="1">R46+R52+R56</f>
        <v>162144.74083449738</v>
      </c>
    </row>
    <row r="62" spans="1:18" ht="15.75" thickTop="1" thickBot="1">
      <c r="A62" s="985"/>
      <c r="B62" s="985"/>
      <c r="C62" s="730"/>
      <c r="D62" s="730"/>
      <c r="E62" s="731"/>
      <c r="F62" s="731"/>
      <c r="G62" s="731"/>
      <c r="H62" s="731"/>
      <c r="I62" s="731"/>
      <c r="J62" s="731"/>
      <c r="K62" s="731"/>
      <c r="L62" s="731"/>
      <c r="M62" s="731"/>
      <c r="N62" s="731"/>
      <c r="O62" s="731"/>
      <c r="P62" s="731"/>
      <c r="Q62" s="731"/>
      <c r="R62" s="731"/>
    </row>
    <row r="63" spans="1:18" ht="20.25" thickTop="1" thickBot="1">
      <c r="A63" s="732" t="s">
        <v>348</v>
      </c>
      <c r="B63" s="815"/>
      <c r="C63" s="773">
        <f t="shared" ref="C63:Q63" ca="1" si="9">IF(ISERROR(C61/C27),0,C61/C27)</f>
        <v>0.16752363209235635</v>
      </c>
      <c r="D63" s="773">
        <f t="shared" ca="1" si="9"/>
        <v>0.23727688128042962</v>
      </c>
      <c r="E63" s="1010">
        <f t="shared" ca="1" si="9"/>
        <v>0.20200000000000001</v>
      </c>
      <c r="F63" s="773">
        <f t="shared" si="9"/>
        <v>0.22700000000000001</v>
      </c>
      <c r="G63" s="773">
        <f t="shared" ca="1" si="9"/>
        <v>0.26700000000000002</v>
      </c>
      <c r="H63" s="773">
        <f t="shared" si="9"/>
        <v>0.26700000000000002</v>
      </c>
      <c r="I63" s="773">
        <f t="shared" si="9"/>
        <v>0.24900000000000003</v>
      </c>
      <c r="J63" s="773">
        <f t="shared" si="9"/>
        <v>0</v>
      </c>
      <c r="K63" s="773">
        <f t="shared" si="9"/>
        <v>0.35399999999999998</v>
      </c>
      <c r="L63" s="773">
        <f t="shared" si="9"/>
        <v>0</v>
      </c>
      <c r="M63" s="773">
        <f t="shared" ca="1" si="9"/>
        <v>0</v>
      </c>
      <c r="N63" s="773">
        <f t="shared" si="9"/>
        <v>0</v>
      </c>
      <c r="O63" s="773">
        <f t="shared" ca="1" si="9"/>
        <v>0</v>
      </c>
      <c r="P63" s="773">
        <f t="shared" si="9"/>
        <v>0</v>
      </c>
      <c r="Q63" s="773">
        <f t="shared" si="9"/>
        <v>0</v>
      </c>
      <c r="R63" s="731"/>
    </row>
    <row r="64" spans="1:18" ht="33" thickTop="1" thickBot="1">
      <c r="A64" s="822" t="s">
        <v>349</v>
      </c>
      <c r="B64" s="800"/>
      <c r="C64" s="774">
        <f>'EF ele_warmte'!B6</f>
        <v>0.221</v>
      </c>
      <c r="D64" s="775"/>
      <c r="E64" s="776"/>
      <c r="F64" s="777"/>
      <c r="G64" s="777"/>
      <c r="H64" s="777"/>
      <c r="I64" s="777"/>
      <c r="J64" s="777"/>
      <c r="K64" s="777"/>
      <c r="L64" s="777"/>
      <c r="M64" s="777"/>
      <c r="N64" s="777"/>
      <c r="O64" s="777"/>
      <c r="P64" s="777"/>
      <c r="Q64" s="777"/>
      <c r="R64" s="731"/>
    </row>
    <row r="65" spans="1:18" ht="15" thickTop="1">
      <c r="A65" s="733"/>
      <c r="B65" s="733"/>
      <c r="C65" s="731"/>
      <c r="D65" s="731"/>
      <c r="E65" s="731"/>
      <c r="F65" s="731"/>
      <c r="G65" s="731"/>
      <c r="H65" s="731"/>
      <c r="I65" s="731"/>
      <c r="J65" s="731"/>
      <c r="K65" s="731"/>
      <c r="L65" s="731"/>
      <c r="M65" s="731"/>
      <c r="N65" s="731"/>
      <c r="O65" s="731"/>
      <c r="P65" s="731"/>
      <c r="Q65" s="731"/>
      <c r="R65" s="731"/>
    </row>
    <row r="66" spans="1:18" ht="18.75">
      <c r="A66" s="734" t="s">
        <v>350</v>
      </c>
      <c r="B66" s="734"/>
      <c r="C66" s="707"/>
      <c r="D66" s="735"/>
      <c r="E66" s="707"/>
      <c r="F66" s="707"/>
      <c r="G66" s="707"/>
      <c r="H66" s="707"/>
      <c r="I66" s="707"/>
      <c r="J66" s="707"/>
      <c r="K66" s="707"/>
      <c r="L66" s="707"/>
      <c r="M66" s="707"/>
      <c r="N66" s="707"/>
      <c r="O66" s="707"/>
      <c r="P66" s="736"/>
      <c r="Q66" s="736"/>
      <c r="R66" s="736"/>
    </row>
    <row r="67" spans="1:18">
      <c r="A67" s="1086"/>
      <c r="B67" s="1086"/>
      <c r="C67" s="1086"/>
      <c r="D67" s="1086"/>
      <c r="E67" s="1086"/>
      <c r="F67" s="1086"/>
      <c r="G67" s="1086"/>
      <c r="H67" s="1086"/>
      <c r="I67" s="1086"/>
      <c r="J67" s="1086"/>
      <c r="K67" s="1086"/>
      <c r="L67" s="1086"/>
      <c r="M67" s="1086"/>
      <c r="N67" s="1086"/>
      <c r="O67" s="1086"/>
      <c r="P67" s="1086"/>
      <c r="Q67" s="1086"/>
      <c r="R67" s="737"/>
    </row>
    <row r="68" spans="1:18" ht="16.5" customHeight="1" thickBot="1">
      <c r="A68" s="710"/>
      <c r="B68" s="710"/>
      <c r="C68" s="711"/>
      <c r="D68" s="711"/>
      <c r="E68" s="711"/>
      <c r="F68" s="711"/>
      <c r="G68" s="711"/>
      <c r="H68" s="711"/>
      <c r="I68" s="711"/>
      <c r="J68" s="711"/>
      <c r="K68" s="711"/>
      <c r="L68" s="711"/>
      <c r="M68" s="711"/>
      <c r="N68" s="711"/>
      <c r="O68" s="711"/>
      <c r="P68" s="711"/>
      <c r="Q68" s="711"/>
      <c r="R68" s="711"/>
    </row>
    <row r="69" spans="1:18" ht="48.75" customHeight="1" thickTop="1" thickBot="1">
      <c r="A69" s="1099" t="s">
        <v>241</v>
      </c>
      <c r="B69" s="1102" t="s">
        <v>351</v>
      </c>
      <c r="C69" s="1103"/>
      <c r="D69" s="1106" t="s">
        <v>352</v>
      </c>
      <c r="E69" s="1107"/>
      <c r="F69" s="1107"/>
      <c r="G69" s="1107"/>
      <c r="H69" s="1107"/>
      <c r="I69" s="1107"/>
      <c r="J69" s="1107"/>
      <c r="K69" s="1107"/>
      <c r="L69" s="1107"/>
      <c r="M69" s="1107"/>
      <c r="N69" s="1107"/>
      <c r="O69" s="1108"/>
      <c r="P69" s="1011" t="s">
        <v>693</v>
      </c>
      <c r="Q69" s="1109" t="s">
        <v>692</v>
      </c>
      <c r="R69" s="1110"/>
    </row>
    <row r="70" spans="1:18" ht="61.5" thickTop="1" thickBot="1">
      <c r="A70" s="1101"/>
      <c r="B70" s="1104"/>
      <c r="C70" s="1105"/>
      <c r="D70" s="1111" t="s">
        <v>197</v>
      </c>
      <c r="E70" s="1112"/>
      <c r="F70" s="1112"/>
      <c r="G70" s="1112"/>
      <c r="H70" s="1113"/>
      <c r="I70" s="978" t="s">
        <v>246</v>
      </c>
      <c r="J70" s="978" t="s">
        <v>234</v>
      </c>
      <c r="K70" s="978" t="s">
        <v>209</v>
      </c>
      <c r="L70" s="978" t="s">
        <v>210</v>
      </c>
      <c r="M70" s="738" t="s">
        <v>245</v>
      </c>
      <c r="N70" s="978" t="s">
        <v>247</v>
      </c>
      <c r="O70" s="980" t="s">
        <v>127</v>
      </c>
      <c r="P70" s="1012"/>
      <c r="Q70" s="850"/>
      <c r="R70" s="851"/>
    </row>
    <row r="71" spans="1:18" ht="95.25" customHeight="1" thickTop="1" thickBot="1">
      <c r="A71" s="1100"/>
      <c r="B71" s="983" t="s">
        <v>691</v>
      </c>
      <c r="C71" s="983" t="s">
        <v>914</v>
      </c>
      <c r="D71" s="1013" t="s">
        <v>199</v>
      </c>
      <c r="E71" s="1014" t="s">
        <v>200</v>
      </c>
      <c r="F71" s="978" t="s">
        <v>201</v>
      </c>
      <c r="G71" s="975" t="s">
        <v>203</v>
      </c>
      <c r="H71" s="1015" t="s">
        <v>204</v>
      </c>
      <c r="I71" s="979"/>
      <c r="J71" s="979"/>
      <c r="K71" s="979"/>
      <c r="L71" s="979"/>
      <c r="M71" s="976"/>
      <c r="N71" s="979"/>
      <c r="O71" s="984"/>
      <c r="P71" s="1016"/>
      <c r="Q71" s="986" t="s">
        <v>694</v>
      </c>
      <c r="R71" s="984" t="s">
        <v>695</v>
      </c>
    </row>
    <row r="72" spans="1:18" ht="15.75" thickTop="1">
      <c r="A72" s="739" t="s">
        <v>249</v>
      </c>
      <c r="B72" s="837">
        <f>'lokale energieproductie'!B4</f>
        <v>9932.805633004109</v>
      </c>
      <c r="C72" s="1135"/>
      <c r="D72" s="1135"/>
      <c r="E72" s="1136"/>
      <c r="F72" s="1136"/>
      <c r="G72" s="1126"/>
      <c r="H72" s="1129"/>
      <c r="I72" s="1132"/>
      <c r="J72" s="981"/>
      <c r="K72" s="1114"/>
      <c r="L72" s="1114"/>
      <c r="M72" s="1114"/>
      <c r="N72" s="1114"/>
      <c r="O72" s="1117"/>
      <c r="P72" s="845">
        <v>0</v>
      </c>
      <c r="Q72" s="1017"/>
      <c r="R72" s="845">
        <v>0</v>
      </c>
    </row>
    <row r="73" spans="1:18" ht="15">
      <c r="A73" s="740" t="s">
        <v>250</v>
      </c>
      <c r="B73" s="739">
        <f>'lokale energieproductie'!B5</f>
        <v>0</v>
      </c>
      <c r="C73" s="1133"/>
      <c r="D73" s="1133"/>
      <c r="E73" s="1115"/>
      <c r="F73" s="1115"/>
      <c r="G73" s="1127"/>
      <c r="H73" s="1130"/>
      <c r="I73" s="1133"/>
      <c r="J73" s="982"/>
      <c r="K73" s="1115"/>
      <c r="L73" s="1115"/>
      <c r="M73" s="1115"/>
      <c r="N73" s="1115"/>
      <c r="O73" s="1118"/>
      <c r="P73" s="846">
        <v>0</v>
      </c>
      <c r="Q73" s="852"/>
      <c r="R73" s="846">
        <v>0</v>
      </c>
    </row>
    <row r="74" spans="1:18" ht="15">
      <c r="A74" s="740" t="s">
        <v>251</v>
      </c>
      <c r="B74" s="739">
        <f>'lokale energieproductie'!B6</f>
        <v>9008.0322387747256</v>
      </c>
      <c r="C74" s="1133"/>
      <c r="D74" s="1133"/>
      <c r="E74" s="1115"/>
      <c r="F74" s="1115"/>
      <c r="G74" s="1127"/>
      <c r="H74" s="1130"/>
      <c r="I74" s="1133"/>
      <c r="J74" s="982"/>
      <c r="K74" s="1115"/>
      <c r="L74" s="1115"/>
      <c r="M74" s="1115"/>
      <c r="N74" s="1115"/>
      <c r="O74" s="1118"/>
      <c r="P74" s="846">
        <v>0</v>
      </c>
      <c r="Q74" s="852"/>
      <c r="R74" s="846">
        <v>0</v>
      </c>
    </row>
    <row r="75" spans="1:18" ht="15.75" thickBot="1">
      <c r="A75" s="740" t="s">
        <v>909</v>
      </c>
      <c r="B75" s="739">
        <f>'lokale energieproductie'!B7</f>
        <v>0</v>
      </c>
      <c r="C75" s="1134"/>
      <c r="D75" s="1134"/>
      <c r="E75" s="1116"/>
      <c r="F75" s="1116"/>
      <c r="G75" s="1128"/>
      <c r="H75" s="1131"/>
      <c r="I75" s="1134"/>
      <c r="J75" s="1018"/>
      <c r="K75" s="1116"/>
      <c r="L75" s="1116"/>
      <c r="M75" s="1116"/>
      <c r="N75" s="1116"/>
      <c r="O75" s="1119"/>
      <c r="P75" s="846">
        <v>0</v>
      </c>
      <c r="Q75" s="1019"/>
      <c r="R75" s="846">
        <v>0</v>
      </c>
    </row>
    <row r="76" spans="1:18" ht="15">
      <c r="A76" s="741" t="s">
        <v>252</v>
      </c>
      <c r="B76" s="739">
        <f>'lokale energieproductie'!B8*IFERROR(SUM(I76:O76)/SUM(D76:O76),0)</f>
        <v>7.5970367149746822</v>
      </c>
      <c r="C76" s="739">
        <f>'lokale energieproductie'!B8*IFERROR(SUM(D76:H76)/SUM(D76:O76),0)</f>
        <v>5265.0086451032066</v>
      </c>
      <c r="D76" s="1020">
        <f>'lokale energieproductie'!C8</f>
        <v>6193.4031307093637</v>
      </c>
      <c r="E76" s="1021">
        <f>'lokale energieproductie'!D8</f>
        <v>0</v>
      </c>
      <c r="F76" s="1021">
        <f>'lokale energieproductie'!E8</f>
        <v>0</v>
      </c>
      <c r="G76" s="1021">
        <f>'lokale energieproductie'!F8</f>
        <v>0</v>
      </c>
      <c r="H76" s="1021">
        <f>'lokale energieproductie'!G8</f>
        <v>0</v>
      </c>
      <c r="I76" s="1021">
        <f>'lokale energieproductie'!I8</f>
        <v>0</v>
      </c>
      <c r="J76" s="1021">
        <f>'lokale energieproductie'!J8</f>
        <v>8.9366445805172745</v>
      </c>
      <c r="K76" s="1021">
        <f>'lokale energieproductie'!M8</f>
        <v>0</v>
      </c>
      <c r="L76" s="1021">
        <f>'lokale energieproductie'!N8</f>
        <v>0</v>
      </c>
      <c r="M76" s="1021">
        <f>'lokale energieproductie'!H8</f>
        <v>0</v>
      </c>
      <c r="N76" s="1021">
        <f>'lokale energieproductie'!K8</f>
        <v>0</v>
      </c>
      <c r="O76" s="1022">
        <f>'lokale energieproductie'!L8</f>
        <v>0</v>
      </c>
      <c r="P76" s="1023"/>
      <c r="Q76" s="847">
        <f>D76*EF_CO2_aardgas+E76*EF_VLgas_CO2+'SEAP template'!F76*EF_stookolie_CO2+EF_bruinkool_CO2*'SEAP template'!G76+'SEAP template'!H76*EF_steenkool_CO2+'EF brandstof'!M4*'SEAP template'!M76+'SEAP template'!O76*EF_anderfossiel_CO2</f>
        <v>1251.0674324032916</v>
      </c>
      <c r="R76" s="846">
        <v>0</v>
      </c>
    </row>
    <row r="77" spans="1:18" ht="30.75" thickBot="1">
      <c r="A77" s="742" t="s">
        <v>353</v>
      </c>
      <c r="B77" s="739">
        <f>'lokale energieproductie'!B9*IFERROR(SUM(I77:O77)/SUM(D77:O77),0)</f>
        <v>16920</v>
      </c>
      <c r="C77" s="739">
        <f>'lokale energieproductie'!B9*IFERROR(SUM(D77:H77)/SUM(D77:O77),0)</f>
        <v>0</v>
      </c>
      <c r="D77" s="764">
        <f>'lokale energieproductie'!C9</f>
        <v>0</v>
      </c>
      <c r="E77" s="765">
        <f>'lokale energieproductie'!D9</f>
        <v>0</v>
      </c>
      <c r="F77" s="765">
        <f>'lokale energieproductie'!E9</f>
        <v>0</v>
      </c>
      <c r="G77" s="765">
        <f>'lokale energieproductie'!F9</f>
        <v>0</v>
      </c>
      <c r="H77" s="765">
        <f>'lokale energieproductie'!G9</f>
        <v>0</v>
      </c>
      <c r="I77" s="1021">
        <f>'lokale energieproductie'!I9</f>
        <v>0</v>
      </c>
      <c r="J77" s="1021">
        <f>'lokale energieproductie'!J9</f>
        <v>48342.857142857152</v>
      </c>
      <c r="K77" s="1021">
        <f>'lokale energieproductie'!M9</f>
        <v>0</v>
      </c>
      <c r="L77" s="1021">
        <f>'lokale energieproductie'!N9</f>
        <v>0</v>
      </c>
      <c r="M77" s="1021">
        <f>'lokale energieproductie'!H9</f>
        <v>0</v>
      </c>
      <c r="N77" s="1021">
        <f>'lokale energieproductie'!K9</f>
        <v>0</v>
      </c>
      <c r="O77" s="1022">
        <f>'lokale energieproductie'!L9</f>
        <v>0</v>
      </c>
      <c r="P77" s="839"/>
      <c r="Q77" s="847">
        <f>D77*EF_CO2_aardgas+E77*EF_VLgas_CO2+'SEAP template'!F77*EF_stookolie_CO2+EF_bruinkool_CO2*'SEAP template'!G77+'SEAP template'!H77*EF_steenkool_CO2+'EF brandstof'!M4*'SEAP template'!M77+'SEAP template'!O77*EF_anderfossiel_CO2</f>
        <v>0</v>
      </c>
      <c r="R77" s="849">
        <v>0</v>
      </c>
    </row>
    <row r="78" spans="1:18" ht="16.5" thickTop="1" thickBot="1">
      <c r="A78" s="743" t="s">
        <v>116</v>
      </c>
      <c r="B78" s="744">
        <f>SUM(B72:B77)</f>
        <v>35868.434908493815</v>
      </c>
      <c r="C78" s="744">
        <f>SUM(C72:C77)</f>
        <v>5265.0086451032066</v>
      </c>
      <c r="D78" s="745">
        <f t="shared" ref="D78:H78" si="10">SUM(D76:D77)</f>
        <v>6193.4031307093637</v>
      </c>
      <c r="E78" s="745">
        <f t="shared" si="10"/>
        <v>0</v>
      </c>
      <c r="F78" s="745">
        <f t="shared" si="10"/>
        <v>0</v>
      </c>
      <c r="G78" s="745">
        <f t="shared" si="10"/>
        <v>0</v>
      </c>
      <c r="H78" s="745">
        <f t="shared" si="10"/>
        <v>0</v>
      </c>
      <c r="I78" s="745">
        <f>SUM(I76:I77)</f>
        <v>0</v>
      </c>
      <c r="J78" s="745">
        <f>SUM(J76:J77)</f>
        <v>48351.793787437673</v>
      </c>
      <c r="K78" s="745">
        <f t="shared" ref="K78:L78" si="11">SUM(K76:K77)</f>
        <v>0</v>
      </c>
      <c r="L78" s="745">
        <f t="shared" si="11"/>
        <v>0</v>
      </c>
      <c r="M78" s="745">
        <f>SUM(M76:M77)</f>
        <v>0</v>
      </c>
      <c r="N78" s="745">
        <f>SUM(N76:N77)</f>
        <v>0</v>
      </c>
      <c r="O78" s="854">
        <f>SUM(O76:O77)</f>
        <v>0</v>
      </c>
      <c r="P78" s="746">
        <v>0</v>
      </c>
      <c r="Q78" s="746">
        <f>SUM(Q76:Q77)</f>
        <v>1251.0674324032916</v>
      </c>
      <c r="R78" s="746">
        <f>SUM(R72:R77)</f>
        <v>0</v>
      </c>
    </row>
    <row r="79" spans="1:18" ht="15.75" thickTop="1">
      <c r="A79" s="747"/>
      <c r="B79" s="801"/>
      <c r="C79" s="748"/>
      <c r="D79" s="748"/>
      <c r="E79" s="708"/>
      <c r="F79" s="707"/>
      <c r="G79" s="707"/>
      <c r="H79" s="707"/>
      <c r="I79" s="749"/>
      <c r="J79" s="707"/>
      <c r="K79" s="707"/>
      <c r="L79" s="707"/>
      <c r="M79" s="707"/>
      <c r="N79" s="750"/>
      <c r="O79" s="707"/>
      <c r="P79" s="707"/>
      <c r="Q79" s="707"/>
      <c r="R79" s="707"/>
    </row>
    <row r="80" spans="1:18" ht="15">
      <c r="A80" s="985"/>
      <c r="B80" s="985"/>
      <c r="C80" s="748"/>
      <c r="D80" s="748"/>
      <c r="E80" s="707"/>
      <c r="F80" s="707"/>
      <c r="G80" s="707"/>
      <c r="H80" s="707"/>
      <c r="I80" s="707"/>
      <c r="J80" s="707"/>
      <c r="K80" s="707"/>
      <c r="L80" s="707"/>
      <c r="M80" s="707"/>
      <c r="N80" s="707"/>
      <c r="O80" s="707"/>
      <c r="P80" s="707"/>
      <c r="Q80" s="707"/>
      <c r="R80" s="707"/>
    </row>
    <row r="81" spans="1:19" ht="18.75">
      <c r="A81" s="751" t="s">
        <v>354</v>
      </c>
      <c r="B81" s="751"/>
      <c r="C81" s="752"/>
      <c r="D81" s="735"/>
      <c r="E81" s="707"/>
      <c r="F81" s="707"/>
      <c r="G81" s="707"/>
      <c r="H81" s="707"/>
      <c r="I81" s="707"/>
      <c r="J81" s="707"/>
      <c r="K81" s="707"/>
      <c r="L81" s="707"/>
      <c r="M81" s="707"/>
      <c r="N81" s="707"/>
      <c r="O81" s="707"/>
      <c r="P81" s="707"/>
      <c r="Q81" s="707"/>
      <c r="R81" s="707"/>
    </row>
    <row r="82" spans="1:19">
      <c r="A82" s="1086"/>
      <c r="B82" s="1086"/>
      <c r="C82" s="1086"/>
      <c r="D82" s="1086"/>
      <c r="E82" s="1086"/>
      <c r="F82" s="1086"/>
      <c r="G82" s="1086"/>
      <c r="H82" s="1086"/>
      <c r="I82" s="1086"/>
      <c r="J82" s="1086"/>
      <c r="K82" s="1086"/>
      <c r="L82" s="1086"/>
      <c r="M82" s="1086"/>
      <c r="N82" s="1086"/>
      <c r="O82" s="1086"/>
      <c r="P82" s="1086"/>
      <c r="Q82" s="737"/>
      <c r="R82" s="737"/>
    </row>
    <row r="83" spans="1:19" ht="15.75" thickBot="1">
      <c r="A83" s="710"/>
      <c r="B83" s="710"/>
      <c r="C83" s="711"/>
      <c r="D83" s="711"/>
      <c r="E83" s="711"/>
      <c r="F83" s="711"/>
      <c r="G83" s="711"/>
      <c r="H83" s="711"/>
      <c r="I83" s="711"/>
      <c r="J83" s="711"/>
      <c r="K83" s="711"/>
      <c r="L83" s="711"/>
      <c r="M83" s="711"/>
      <c r="N83" s="711"/>
      <c r="O83" s="711"/>
      <c r="P83" s="711"/>
      <c r="Q83" s="711"/>
      <c r="R83" s="711"/>
    </row>
    <row r="84" spans="1:19" ht="48.2" customHeight="1" thickTop="1" thickBot="1">
      <c r="A84" s="1099" t="s">
        <v>253</v>
      </c>
      <c r="B84" s="1102" t="s">
        <v>355</v>
      </c>
      <c r="C84" s="1120"/>
      <c r="D84" s="1123" t="s">
        <v>356</v>
      </c>
      <c r="E84" s="1124"/>
      <c r="F84" s="1124"/>
      <c r="G84" s="1124"/>
      <c r="H84" s="1124"/>
      <c r="I84" s="1124"/>
      <c r="J84" s="1124"/>
      <c r="K84" s="1124"/>
      <c r="L84" s="1124"/>
      <c r="M84" s="1124"/>
      <c r="N84" s="1124"/>
      <c r="O84" s="1125"/>
      <c r="P84" s="1011" t="s">
        <v>693</v>
      </c>
      <c r="Q84" s="1102" t="s">
        <v>692</v>
      </c>
      <c r="R84" s="1103"/>
    </row>
    <row r="85" spans="1:19" ht="16.5" customHeight="1" thickTop="1" thickBot="1">
      <c r="A85" s="1101"/>
      <c r="B85" s="1121"/>
      <c r="C85" s="1122"/>
      <c r="D85" s="1140" t="s">
        <v>197</v>
      </c>
      <c r="E85" s="1141"/>
      <c r="F85" s="1141"/>
      <c r="G85" s="1141"/>
      <c r="H85" s="1142"/>
      <c r="I85" s="1143" t="s">
        <v>246</v>
      </c>
      <c r="J85" s="1094" t="s">
        <v>234</v>
      </c>
      <c r="K85" s="1146" t="s">
        <v>209</v>
      </c>
      <c r="L85" s="1146" t="s">
        <v>210</v>
      </c>
      <c r="M85" s="1147" t="s">
        <v>245</v>
      </c>
      <c r="N85" s="1146" t="s">
        <v>257</v>
      </c>
      <c r="O85" s="1149" t="s">
        <v>127</v>
      </c>
      <c r="P85" s="1012"/>
      <c r="Q85" s="850"/>
      <c r="R85" s="851"/>
    </row>
    <row r="86" spans="1:19" ht="110.25" customHeight="1" thickTop="1" thickBot="1">
      <c r="A86" s="1100"/>
      <c r="B86" s="838" t="s">
        <v>691</v>
      </c>
      <c r="C86" s="838" t="s">
        <v>914</v>
      </c>
      <c r="D86" s="986" t="s">
        <v>199</v>
      </c>
      <c r="E86" s="979" t="s">
        <v>200</v>
      </c>
      <c r="F86" s="977" t="s">
        <v>201</v>
      </c>
      <c r="G86" s="979" t="s">
        <v>203</v>
      </c>
      <c r="H86" s="753" t="s">
        <v>204</v>
      </c>
      <c r="I86" s="1144"/>
      <c r="J86" s="1145"/>
      <c r="K86" s="1095"/>
      <c r="L86" s="1095"/>
      <c r="M86" s="1148"/>
      <c r="N86" s="1095"/>
      <c r="O86" s="1150"/>
      <c r="P86" s="1016"/>
      <c r="Q86" s="986" t="s">
        <v>694</v>
      </c>
      <c r="R86" s="984" t="s">
        <v>695</v>
      </c>
    </row>
    <row r="87" spans="1:19" ht="15.75" thickTop="1">
      <c r="A87" s="754" t="s">
        <v>252</v>
      </c>
      <c r="B87" s="755">
        <f>'lokale energieproductie'!B17*IFERROR(SUM(I87:O87)/SUM(D87:O87),0)</f>
        <v>10.876066119268661</v>
      </c>
      <c r="C87" s="755">
        <f>'lokale energieproductie'!B17*IFERROR(SUM(D87:H87)/SUM(D87:O87),0)</f>
        <v>7537.4891936209915</v>
      </c>
      <c r="D87" s="766">
        <f>'lokale energieproductie'!C17</f>
        <v>8866.596869290639</v>
      </c>
      <c r="E87" s="766">
        <f>'lokale energieproductie'!D17</f>
        <v>0</v>
      </c>
      <c r="F87" s="766">
        <f>'lokale energieproductie'!E17</f>
        <v>0</v>
      </c>
      <c r="G87" s="766">
        <f>'lokale energieproductie'!F17</f>
        <v>0</v>
      </c>
      <c r="H87" s="766">
        <f>'lokale energieproductie'!G17</f>
        <v>0</v>
      </c>
      <c r="I87" s="766">
        <f>'lokale energieproductie'!I17</f>
        <v>0</v>
      </c>
      <c r="J87" s="766">
        <f>'lokale energieproductie'!J17</f>
        <v>12.793874900002209</v>
      </c>
      <c r="K87" s="766">
        <f>'lokale energieproductie'!M17</f>
        <v>0</v>
      </c>
      <c r="L87" s="766">
        <f>'lokale energieproductie'!N17</f>
        <v>0</v>
      </c>
      <c r="M87" s="766">
        <f>'lokale energieproductie'!H17</f>
        <v>0</v>
      </c>
      <c r="N87" s="766">
        <f>'lokale energieproductie'!K17</f>
        <v>0</v>
      </c>
      <c r="O87" s="766">
        <f>'lokale energieproductie'!L17</f>
        <v>0</v>
      </c>
      <c r="P87" s="1137"/>
      <c r="Q87" s="853">
        <f>D87*EF_CO2_aardgas+E87*EF_VLgas_CO2+'SEAP template'!F87*EF_stookolie_CO2+EF_bruinkool_CO2*'SEAP template'!G87+'SEAP template'!H87*EF_steenkool_CO2+'EF brandstof'!M4*'SEAP template'!M87+'SEAP template'!O87*EF_anderfossiel_CO2</f>
        <v>1791.0525675967092</v>
      </c>
      <c r="R87" s="840">
        <v>0</v>
      </c>
    </row>
    <row r="88" spans="1:19" ht="15">
      <c r="A88" s="756" t="s">
        <v>258</v>
      </c>
      <c r="B88" s="755">
        <f>'lokale energieproductie'!B18*IFERROR(SUM(I88:O88)/SUM(D88:O88),0)</f>
        <v>0</v>
      </c>
      <c r="C88" s="755">
        <f>'lokale energieproductie'!B18*IFERROR(SUM(D88:H88)/SUM(D88:O88),0)</f>
        <v>0</v>
      </c>
      <c r="D88" s="766">
        <f>'lokale energieproductie'!C18</f>
        <v>0</v>
      </c>
      <c r="E88" s="766">
        <f>'lokale energieproductie'!D18</f>
        <v>0</v>
      </c>
      <c r="F88" s="766">
        <f>'lokale energieproductie'!E18</f>
        <v>0</v>
      </c>
      <c r="G88" s="766">
        <f>'lokale energieproductie'!F18</f>
        <v>0</v>
      </c>
      <c r="H88" s="766">
        <f>'lokale energieproductie'!G18</f>
        <v>0</v>
      </c>
      <c r="I88" s="766">
        <f>'lokale energieproductie'!I18</f>
        <v>0</v>
      </c>
      <c r="J88" s="766">
        <f>'lokale energieproductie'!J18</f>
        <v>0</v>
      </c>
      <c r="K88" s="766">
        <f>'lokale energieproductie'!M18</f>
        <v>0</v>
      </c>
      <c r="L88" s="766">
        <f>'lokale energieproductie'!N18</f>
        <v>0</v>
      </c>
      <c r="M88" s="766">
        <f>'lokale energieproductie'!H18</f>
        <v>0</v>
      </c>
      <c r="N88" s="766">
        <f>'lokale energieproductie'!K18</f>
        <v>0</v>
      </c>
      <c r="O88" s="766">
        <f>'lokale energieproductie'!L18</f>
        <v>0</v>
      </c>
      <c r="P88" s="1138"/>
      <c r="Q88" s="847">
        <f>D88*EF_CO2_aardgas+E88*EF_VLgas_CO2+'SEAP template'!F88*EF_stookolie_CO2+EF_bruinkool_CO2*'SEAP template'!G88+'SEAP template'!H88*EF_steenkool_CO2+'EF brandstof'!M4*'SEAP template'!M88+'SEAP template'!O88*EF_anderfossiel_CO2</f>
        <v>0</v>
      </c>
      <c r="R88" s="841">
        <v>0</v>
      </c>
    </row>
    <row r="89" spans="1:19" ht="30" thickBot="1">
      <c r="A89" s="742" t="s">
        <v>353</v>
      </c>
      <c r="B89" s="755">
        <f>'lokale energieproductie'!B19*IFERROR(SUM(I89:O89)/SUM(D89:O89),0)</f>
        <v>0</v>
      </c>
      <c r="C89" s="755">
        <f>'lokale energieproductie'!B19*IFERROR(SUM(D89:H89)/SUM(D89:O89),0)</f>
        <v>0</v>
      </c>
      <c r="D89" s="766">
        <f>'lokale energieproductie'!C19</f>
        <v>0</v>
      </c>
      <c r="E89" s="766">
        <f>'lokale energieproductie'!D19</f>
        <v>0</v>
      </c>
      <c r="F89" s="766">
        <f>'lokale energieproductie'!E19</f>
        <v>0</v>
      </c>
      <c r="G89" s="766">
        <f>'lokale energieproductie'!F19</f>
        <v>0</v>
      </c>
      <c r="H89" s="766">
        <f>'lokale energieproductie'!G19</f>
        <v>0</v>
      </c>
      <c r="I89" s="766">
        <f>'lokale energieproductie'!I19</f>
        <v>0</v>
      </c>
      <c r="J89" s="766">
        <f>'lokale energieproductie'!J19</f>
        <v>0</v>
      </c>
      <c r="K89" s="766">
        <f>'lokale energieproductie'!M19</f>
        <v>0</v>
      </c>
      <c r="L89" s="766">
        <f>'lokale energieproductie'!N19</f>
        <v>0</v>
      </c>
      <c r="M89" s="766">
        <f>'lokale energieproductie'!H19</f>
        <v>0</v>
      </c>
      <c r="N89" s="766">
        <f>'lokale energieproductie'!K19</f>
        <v>0</v>
      </c>
      <c r="O89" s="766">
        <f>'lokale energieproductie'!L19</f>
        <v>0</v>
      </c>
      <c r="P89" s="1139"/>
      <c r="Q89" s="848">
        <f>D89*EF_CO2_aardgas+E89*EF_VLgas_CO2+'SEAP template'!F89*EF_stookolie_CO2+EF_bruinkool_CO2*'SEAP template'!G89+'SEAP template'!H89*EF_steenkool_CO2+'EF brandstof'!M4*'SEAP template'!M89+'SEAP template'!O89*EF_anderfossiel_CO2</f>
        <v>0</v>
      </c>
      <c r="R89" s="842">
        <v>0</v>
      </c>
    </row>
    <row r="90" spans="1:19" ht="16.5" thickTop="1" thickBot="1">
      <c r="A90" s="757" t="s">
        <v>116</v>
      </c>
      <c r="B90" s="744">
        <f>SUM(B87:B89)</f>
        <v>10.876066119268661</v>
      </c>
      <c r="C90" s="744">
        <f>SUM(C87:C89)</f>
        <v>7537.4891936209915</v>
      </c>
      <c r="D90" s="744">
        <f t="shared" ref="D90:H90" si="12">SUM(D87:D89)</f>
        <v>8866.596869290639</v>
      </c>
      <c r="E90" s="744">
        <f t="shared" si="12"/>
        <v>0</v>
      </c>
      <c r="F90" s="744">
        <f t="shared" si="12"/>
        <v>0</v>
      </c>
      <c r="G90" s="744">
        <f t="shared" si="12"/>
        <v>0</v>
      </c>
      <c r="H90" s="744">
        <f t="shared" si="12"/>
        <v>0</v>
      </c>
      <c r="I90" s="744">
        <f>SUM(I87:I89)</f>
        <v>0</v>
      </c>
      <c r="J90" s="744">
        <f>SUM(J87:J89)</f>
        <v>12.793874900002209</v>
      </c>
      <c r="K90" s="744">
        <f t="shared" ref="K90:L90" si="13">SUM(K87:K89)</f>
        <v>0</v>
      </c>
      <c r="L90" s="744">
        <f t="shared" si="13"/>
        <v>0</v>
      </c>
      <c r="M90" s="744">
        <f>SUM(M87:M89)</f>
        <v>0</v>
      </c>
      <c r="N90" s="744">
        <f>SUM(N87:N89)</f>
        <v>0</v>
      </c>
      <c r="O90" s="744">
        <f>SUM(O87:O89)</f>
        <v>0</v>
      </c>
      <c r="P90" s="744">
        <v>0</v>
      </c>
      <c r="Q90" s="744">
        <f>SUM(Q87:Q89)</f>
        <v>1791.0525675967092</v>
      </c>
      <c r="R90" s="854">
        <f>SUM(R87:R89)</f>
        <v>0</v>
      </c>
    </row>
    <row r="91" spans="1:19" ht="15.75" thickTop="1">
      <c r="A91" s="758"/>
      <c r="B91" s="758"/>
      <c r="C91" s="759"/>
      <c r="D91" s="760"/>
      <c r="E91" s="761"/>
      <c r="F91" s="749"/>
      <c r="G91" s="749"/>
      <c r="H91" s="749"/>
      <c r="I91" s="749"/>
      <c r="J91" s="749"/>
      <c r="K91" s="749"/>
      <c r="L91" s="749"/>
      <c r="M91" s="707"/>
      <c r="Q91" s="749"/>
      <c r="R91" s="707"/>
      <c r="S91" s="736"/>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sheetPr codeName="Sheet9">
    <tabColor theme="5" tint="-0.249977111117893"/>
  </sheetPr>
  <dimension ref="A1:AA104"/>
  <sheetViews>
    <sheetView showGridLines="0" zoomScale="65" zoomScaleNormal="65" workbookViewId="0">
      <selection activeCell="B63" sqref="B63:Z66"/>
    </sheetView>
  </sheetViews>
  <sheetFormatPr defaultColWidth="9.140625" defaultRowHeight="15"/>
  <cols>
    <col min="1" max="1" width="38" style="617" customWidth="1"/>
    <col min="2" max="2" width="27" style="617" customWidth="1"/>
    <col min="3" max="3" width="25.42578125" style="617" customWidth="1"/>
    <col min="4" max="4" width="41.28515625" style="617" customWidth="1"/>
    <col min="5" max="5" width="27.5703125" style="617" customWidth="1"/>
    <col min="6" max="7" width="18" style="617" customWidth="1"/>
    <col min="8" max="8" width="23.42578125" style="617" customWidth="1"/>
    <col min="9" max="9" width="28.5703125" style="617" customWidth="1"/>
    <col min="10" max="10" width="35.28515625" style="617" customWidth="1"/>
    <col min="11" max="11" width="32.7109375" style="617" customWidth="1"/>
    <col min="12" max="14" width="23.85546875" style="617" customWidth="1"/>
    <col min="15" max="15" width="21.140625" style="617" customWidth="1"/>
    <col min="16" max="16" width="17.5703125" style="617" customWidth="1"/>
    <col min="17" max="17" width="22.85546875" style="617" customWidth="1"/>
    <col min="18" max="18" width="19.140625" style="617" customWidth="1"/>
    <col min="19" max="19" width="24.7109375" style="617" customWidth="1"/>
    <col min="20" max="20" width="9.140625" style="617"/>
    <col min="21" max="21" width="21.140625" style="617" customWidth="1"/>
    <col min="22" max="22" width="14.85546875" style="617" customWidth="1"/>
    <col min="23" max="23" width="16.140625" style="617" customWidth="1"/>
    <col min="24" max="24" width="14.7109375" style="617" customWidth="1"/>
    <col min="25" max="26" width="16.140625" style="617" customWidth="1"/>
    <col min="27" max="27" width="17.28515625" style="617" customWidth="1"/>
    <col min="28" max="28" width="16.85546875" style="617" customWidth="1"/>
    <col min="29" max="16384" width="9.140625" style="617"/>
  </cols>
  <sheetData>
    <row r="1" spans="1:21" s="546" customFormat="1" ht="17.45" customHeight="1" thickTop="1" thickBot="1">
      <c r="A1" s="1214" t="s">
        <v>241</v>
      </c>
      <c r="B1" s="1217" t="s">
        <v>242</v>
      </c>
      <c r="C1" s="1226" t="s">
        <v>243</v>
      </c>
      <c r="D1" s="1227"/>
      <c r="E1" s="1227"/>
      <c r="F1" s="1227"/>
      <c r="G1" s="1227"/>
      <c r="H1" s="1227"/>
      <c r="I1" s="1227"/>
      <c r="J1" s="1227"/>
      <c r="K1" s="1227"/>
      <c r="L1" s="1227"/>
      <c r="M1" s="1227"/>
      <c r="N1" s="1228"/>
      <c r="O1" s="1229" t="s">
        <v>244</v>
      </c>
      <c r="P1" s="1217" t="s">
        <v>565</v>
      </c>
      <c r="Q1" s="1229"/>
      <c r="S1" s="1235"/>
      <c r="T1" s="1235"/>
      <c r="U1" s="1235"/>
    </row>
    <row r="2" spans="1:21" s="546" customFormat="1" ht="15.75" thickBot="1">
      <c r="A2" s="1215"/>
      <c r="B2" s="1215"/>
      <c r="C2" s="1219" t="s">
        <v>197</v>
      </c>
      <c r="D2" s="1220"/>
      <c r="E2" s="1220"/>
      <c r="F2" s="1220"/>
      <c r="G2" s="1221"/>
      <c r="H2" s="1222" t="s">
        <v>245</v>
      </c>
      <c r="I2" s="1224" t="s">
        <v>246</v>
      </c>
      <c r="J2" s="1224" t="s">
        <v>234</v>
      </c>
      <c r="K2" s="1224" t="s">
        <v>247</v>
      </c>
      <c r="L2" s="1224" t="s">
        <v>127</v>
      </c>
      <c r="M2" s="1224" t="s">
        <v>907</v>
      </c>
      <c r="N2" s="1238" t="s">
        <v>908</v>
      </c>
      <c r="O2" s="1230"/>
      <c r="P2" s="1232"/>
      <c r="Q2" s="1230"/>
      <c r="S2" s="1235"/>
      <c r="T2" s="1235"/>
      <c r="U2" s="1235"/>
    </row>
    <row r="3" spans="1:21" s="546" customFormat="1" ht="53.45" customHeight="1" thickBot="1">
      <c r="A3" s="1216"/>
      <c r="B3" s="1218"/>
      <c r="C3" s="547" t="s">
        <v>199</v>
      </c>
      <c r="D3" s="1031" t="s">
        <v>200</v>
      </c>
      <c r="E3" s="548" t="s">
        <v>201</v>
      </c>
      <c r="F3" s="549" t="s">
        <v>203</v>
      </c>
      <c r="G3" s="550" t="s">
        <v>204</v>
      </c>
      <c r="H3" s="1223"/>
      <c r="I3" s="1225"/>
      <c r="J3" s="1225"/>
      <c r="K3" s="1225"/>
      <c r="L3" s="1225"/>
      <c r="M3" s="1225"/>
      <c r="N3" s="1239"/>
      <c r="O3" s="1231"/>
      <c r="P3" s="1218"/>
      <c r="Q3" s="1231"/>
      <c r="S3" s="1235"/>
      <c r="T3" s="1235"/>
      <c r="U3" s="1235"/>
    </row>
    <row r="4" spans="1:21" s="546" customFormat="1" ht="15.75" thickTop="1">
      <c r="A4" s="551" t="s">
        <v>249</v>
      </c>
      <c r="B4" s="552">
        <f>IF(ISERROR(kWh_wind_land),0,kWh_wind_land)</f>
        <v>9932.805633004109</v>
      </c>
      <c r="C4" s="1240"/>
      <c r="D4" s="1243"/>
      <c r="E4" s="1243"/>
      <c r="F4" s="1246"/>
      <c r="G4" s="1249"/>
      <c r="H4" s="1252"/>
      <c r="I4" s="1243"/>
      <c r="J4" s="1243"/>
      <c r="K4" s="1243"/>
      <c r="L4" s="1243"/>
      <c r="M4" s="1243"/>
      <c r="N4" s="989"/>
      <c r="O4" s="553"/>
      <c r="P4" s="1255"/>
      <c r="Q4" s="1256"/>
      <c r="S4" s="1028"/>
      <c r="T4" s="1257"/>
      <c r="U4" s="1257"/>
    </row>
    <row r="5" spans="1:21" s="546" customFormat="1">
      <c r="A5" s="554" t="s">
        <v>250</v>
      </c>
      <c r="B5" s="552">
        <f>IF(ISERROR(kWh_waterkracht),0,kWh_waterkracht)</f>
        <v>0</v>
      </c>
      <c r="C5" s="1241"/>
      <c r="D5" s="1244"/>
      <c r="E5" s="1244"/>
      <c r="F5" s="1247"/>
      <c r="G5" s="1250"/>
      <c r="H5" s="1253"/>
      <c r="I5" s="1244"/>
      <c r="J5" s="1244"/>
      <c r="K5" s="1244"/>
      <c r="L5" s="1244"/>
      <c r="M5" s="1244"/>
      <c r="N5" s="989"/>
      <c r="O5" s="555"/>
      <c r="P5" s="1236"/>
      <c r="Q5" s="1237"/>
      <c r="S5" s="1028"/>
      <c r="T5" s="1257"/>
      <c r="U5" s="1257"/>
    </row>
    <row r="6" spans="1:21" s="546" customFormat="1">
      <c r="A6" s="554" t="s">
        <v>251</v>
      </c>
      <c r="B6" s="552">
        <f>IF(ISERROR((kWh_PV_kleiner_dan_10kW+kWh_PV_groter_dan_10kW)),0,(kWh_PV_kleiner_dan_10kW+kWh_PV_groter_dan_10kW))</f>
        <v>9008.0322387747256</v>
      </c>
      <c r="C6" s="1241"/>
      <c r="D6" s="1244"/>
      <c r="E6" s="1244"/>
      <c r="F6" s="1247"/>
      <c r="G6" s="1250"/>
      <c r="H6" s="1253"/>
      <c r="I6" s="1244"/>
      <c r="J6" s="1244"/>
      <c r="K6" s="1244"/>
      <c r="L6" s="1244"/>
      <c r="M6" s="1244"/>
      <c r="N6" s="989"/>
      <c r="O6" s="555"/>
      <c r="P6" s="1236"/>
      <c r="Q6" s="1237"/>
      <c r="S6" s="1028"/>
      <c r="T6" s="1257"/>
      <c r="U6" s="1257"/>
    </row>
    <row r="7" spans="1:21" s="546" customFormat="1">
      <c r="A7" s="554" t="s">
        <v>909</v>
      </c>
      <c r="B7" s="552"/>
      <c r="C7" s="1242"/>
      <c r="D7" s="1245"/>
      <c r="E7" s="1245"/>
      <c r="F7" s="1248"/>
      <c r="G7" s="1251"/>
      <c r="H7" s="1254"/>
      <c r="I7" s="1245"/>
      <c r="J7" s="1245"/>
      <c r="K7" s="1245"/>
      <c r="L7" s="1245"/>
      <c r="M7" s="1245"/>
      <c r="N7" s="990"/>
      <c r="O7" s="555"/>
      <c r="P7" s="1029"/>
      <c r="Q7" s="1030"/>
      <c r="S7" s="1028"/>
      <c r="T7" s="1028"/>
      <c r="U7" s="1028"/>
    </row>
    <row r="8" spans="1:21" s="546" customFormat="1">
      <c r="A8" s="556" t="s">
        <v>252</v>
      </c>
      <c r="B8" s="557">
        <f>N58</f>
        <v>5272.6056818181814</v>
      </c>
      <c r="C8" s="558">
        <f>B101</f>
        <v>6193.4031307093637</v>
      </c>
      <c r="D8" s="991"/>
      <c r="E8" s="991">
        <f>E101</f>
        <v>0</v>
      </c>
      <c r="F8" s="992"/>
      <c r="G8" s="559"/>
      <c r="H8" s="991">
        <f>I101</f>
        <v>0</v>
      </c>
      <c r="I8" s="991">
        <f>G101+F101</f>
        <v>0</v>
      </c>
      <c r="J8" s="991">
        <f>H101+D101+C101</f>
        <v>8.9366445805172745</v>
      </c>
      <c r="K8" s="991"/>
      <c r="L8" s="991"/>
      <c r="M8" s="991"/>
      <c r="N8" s="560"/>
      <c r="O8" s="561">
        <f>C8*$C$12+D8*$D$12+E8*$E$12+F8*$F$12+G8*$G$12+H8*$H$12+I8*$I$12+J8*$J$12</f>
        <v>1251.0674324032916</v>
      </c>
      <c r="P8" s="1236"/>
      <c r="Q8" s="1237"/>
      <c r="S8" s="1028"/>
      <c r="T8" s="1257"/>
      <c r="U8" s="1257"/>
    </row>
    <row r="9" spans="1:21" s="546" customFormat="1" ht="17.45" customHeight="1" thickBot="1">
      <c r="A9" s="562" t="s">
        <v>248</v>
      </c>
      <c r="B9" s="993">
        <f>N89+'Eigen informatie GS &amp; warmtenet'!B12</f>
        <v>16920</v>
      </c>
      <c r="C9" s="563">
        <f>P89+IF(ISERROR(('Eigen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64">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64">
        <f>S89+IF(ISERROR('Eigen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64">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65">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64">
        <f>W89+IF(ISERROR('Eigen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64">
        <f>(T89+U89)+IF(ISERROR('Eigen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64">
        <f>V89+Q89+R89+IF(ISERROR('Eigen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48342.857142857152</v>
      </c>
      <c r="K9" s="566">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66">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66"/>
      <c r="N9" s="994"/>
      <c r="O9" s="561">
        <f>C9*$C$12+D9*$D$12+E9*$E$12+F9*$F$12+G9*$G$12+H9*$H$12+I9*$I$12+J9*$J$12</f>
        <v>0</v>
      </c>
      <c r="P9" s="1233"/>
      <c r="Q9" s="1234"/>
      <c r="R9" s="567"/>
      <c r="S9" s="1028"/>
      <c r="T9" s="1257"/>
      <c r="U9" s="1257"/>
    </row>
    <row r="10" spans="1:21" s="546" customFormat="1" ht="16.5" thickTop="1" thickBot="1">
      <c r="A10" s="568" t="s">
        <v>116</v>
      </c>
      <c r="B10" s="569">
        <f>SUM(B4:B9)</f>
        <v>41133.443553597019</v>
      </c>
      <c r="C10" s="570">
        <f t="shared" ref="C10:L10" si="0">SUM(C8:C9)</f>
        <v>6193.4031307093637</v>
      </c>
      <c r="D10" s="570">
        <f t="shared" si="0"/>
        <v>0</v>
      </c>
      <c r="E10" s="570">
        <f t="shared" si="0"/>
        <v>0</v>
      </c>
      <c r="F10" s="570">
        <f t="shared" si="0"/>
        <v>0</v>
      </c>
      <c r="G10" s="570">
        <f t="shared" si="0"/>
        <v>0</v>
      </c>
      <c r="H10" s="570">
        <f t="shared" si="0"/>
        <v>0</v>
      </c>
      <c r="I10" s="570">
        <f t="shared" si="0"/>
        <v>0</v>
      </c>
      <c r="J10" s="570">
        <f t="shared" si="0"/>
        <v>48351.793787437673</v>
      </c>
      <c r="K10" s="570">
        <f t="shared" si="0"/>
        <v>0</v>
      </c>
      <c r="L10" s="570">
        <f t="shared" si="0"/>
        <v>0</v>
      </c>
      <c r="M10" s="995"/>
      <c r="N10" s="995"/>
      <c r="O10" s="571">
        <f>SUM(O4:O9)</f>
        <v>1251.0674324032916</v>
      </c>
      <c r="P10" s="572"/>
      <c r="R10" s="1026"/>
      <c r="S10" s="1028"/>
      <c r="T10" s="1026"/>
      <c r="U10" s="1026"/>
    </row>
    <row r="11" spans="1:21" s="575" customFormat="1" ht="15.75" thickTop="1">
      <c r="A11" s="573"/>
      <c r="B11" s="574"/>
      <c r="C11" s="574"/>
      <c r="D11" s="574"/>
      <c r="E11" s="574"/>
      <c r="F11" s="574"/>
      <c r="G11" s="574"/>
      <c r="H11" s="574"/>
      <c r="I11" s="574"/>
      <c r="J11" s="574"/>
      <c r="K11" s="574"/>
      <c r="L11" s="574"/>
      <c r="M11" s="574"/>
      <c r="N11" s="574"/>
      <c r="P11" s="574"/>
      <c r="R11" s="574"/>
    </row>
    <row r="12" spans="1:21" s="575" customFormat="1">
      <c r="A12" s="996" t="s">
        <v>290</v>
      </c>
      <c r="B12" s="997"/>
      <c r="C12" s="997">
        <f>EF_CO2_aardgas</f>
        <v>0.20200000000000001</v>
      </c>
      <c r="D12" s="997">
        <f>EF_VLgas_CO2</f>
        <v>0.22700000000000001</v>
      </c>
      <c r="E12" s="997">
        <f>EF_stookolie_CO2</f>
        <v>0.26700000000000002</v>
      </c>
      <c r="F12" s="997">
        <f>EF_bruinkool_CO2</f>
        <v>0.35099999999999998</v>
      </c>
      <c r="G12" s="997">
        <f>EF_steenkool_CO2</f>
        <v>0.35399999999999998</v>
      </c>
      <c r="H12" s="997">
        <f>'EF brandstof'!M4</f>
        <v>0.33</v>
      </c>
      <c r="I12" s="997">
        <f>'EF brandstof'!J4</f>
        <v>0</v>
      </c>
      <c r="J12" s="997">
        <f>'EF brandstof'!L4</f>
        <v>0</v>
      </c>
      <c r="K12" s="997">
        <f>'EF brandstof'!L4</f>
        <v>0</v>
      </c>
      <c r="L12" s="997"/>
      <c r="M12" s="997"/>
      <c r="N12" s="997"/>
      <c r="P12" s="576"/>
      <c r="Q12" s="576"/>
      <c r="R12" s="576"/>
    </row>
    <row r="13" spans="1:21" s="546" customFormat="1" ht="15.75" thickBot="1">
      <c r="A13" s="577"/>
      <c r="B13" s="576"/>
      <c r="C13" s="576"/>
      <c r="D13" s="576"/>
      <c r="E13" s="576"/>
      <c r="F13" s="576"/>
      <c r="G13" s="576"/>
      <c r="H13" s="576"/>
      <c r="I13" s="576"/>
      <c r="J13" s="576"/>
      <c r="K13" s="576"/>
      <c r="L13" s="576"/>
      <c r="M13" s="576"/>
      <c r="N13" s="576"/>
      <c r="O13" s="576"/>
      <c r="P13" s="576"/>
      <c r="Q13" s="576"/>
      <c r="R13" s="576"/>
    </row>
    <row r="14" spans="1:21" s="546" customFormat="1" ht="17.25" thickTop="1" thickBot="1">
      <c r="A14" s="1214" t="s">
        <v>253</v>
      </c>
      <c r="B14" s="1214" t="s">
        <v>254</v>
      </c>
      <c r="C14" s="1258" t="s">
        <v>255</v>
      </c>
      <c r="D14" s="1259"/>
      <c r="E14" s="1259"/>
      <c r="F14" s="1259"/>
      <c r="G14" s="1259"/>
      <c r="H14" s="1259"/>
      <c r="I14" s="1259"/>
      <c r="J14" s="1259"/>
      <c r="K14" s="1259"/>
      <c r="L14" s="1259"/>
      <c r="M14" s="1259"/>
      <c r="N14" s="1260"/>
      <c r="O14" s="1229" t="s">
        <v>244</v>
      </c>
      <c r="P14" s="1217" t="s">
        <v>256</v>
      </c>
      <c r="Q14" s="1229"/>
      <c r="R14" s="1235"/>
      <c r="S14" s="1235"/>
      <c r="T14" s="1235"/>
    </row>
    <row r="15" spans="1:21" s="546" customFormat="1" ht="15.75" customHeight="1" thickBot="1">
      <c r="A15" s="1215"/>
      <c r="B15" s="1215"/>
      <c r="C15" s="1261" t="s">
        <v>197</v>
      </c>
      <c r="D15" s="1262"/>
      <c r="E15" s="1262"/>
      <c r="F15" s="1262"/>
      <c r="G15" s="1263"/>
      <c r="H15" s="1264" t="s">
        <v>245</v>
      </c>
      <c r="I15" s="1264" t="s">
        <v>246</v>
      </c>
      <c r="J15" s="1264" t="s">
        <v>234</v>
      </c>
      <c r="K15" s="1264" t="s">
        <v>257</v>
      </c>
      <c r="L15" s="1264" t="s">
        <v>127</v>
      </c>
      <c r="M15" s="1264" t="s">
        <v>907</v>
      </c>
      <c r="N15" s="1238" t="s">
        <v>908</v>
      </c>
      <c r="O15" s="1230"/>
      <c r="P15" s="1232"/>
      <c r="Q15" s="1230"/>
      <c r="R15" s="1235"/>
      <c r="S15" s="1235"/>
      <c r="T15" s="1235"/>
    </row>
    <row r="16" spans="1:21" s="546" customFormat="1" ht="40.700000000000003" customHeight="1" thickBot="1">
      <c r="A16" s="1216"/>
      <c r="B16" s="1216"/>
      <c r="C16" s="578" t="s">
        <v>199</v>
      </c>
      <c r="D16" s="1031" t="s">
        <v>200</v>
      </c>
      <c r="E16" s="988" t="s">
        <v>201</v>
      </c>
      <c r="F16" s="1031" t="s">
        <v>203</v>
      </c>
      <c r="G16" s="579" t="s">
        <v>204</v>
      </c>
      <c r="H16" s="1223"/>
      <c r="I16" s="1223"/>
      <c r="J16" s="1223"/>
      <c r="K16" s="1223"/>
      <c r="L16" s="1223"/>
      <c r="M16" s="1223"/>
      <c r="N16" s="1239"/>
      <c r="O16" s="1231"/>
      <c r="P16" s="1218"/>
      <c r="Q16" s="1231"/>
      <c r="R16" s="1235"/>
      <c r="S16" s="1235"/>
      <c r="T16" s="1235"/>
    </row>
    <row r="17" spans="1:26" s="546" customFormat="1" ht="15.75" thickTop="1">
      <c r="A17" s="580" t="s">
        <v>252</v>
      </c>
      <c r="B17" s="581">
        <f>O58</f>
        <v>7548.3652597402597</v>
      </c>
      <c r="C17" s="582">
        <f>B102</f>
        <v>8866.596869290639</v>
      </c>
      <c r="D17" s="583"/>
      <c r="E17" s="583">
        <f>E102</f>
        <v>0</v>
      </c>
      <c r="F17" s="584"/>
      <c r="G17" s="585"/>
      <c r="H17" s="582">
        <f>I102</f>
        <v>0</v>
      </c>
      <c r="I17" s="583">
        <f>G102+F102</f>
        <v>0</v>
      </c>
      <c r="J17" s="583">
        <f>H102+D102+C102</f>
        <v>12.793874900002209</v>
      </c>
      <c r="K17" s="583"/>
      <c r="L17" s="583"/>
      <c r="M17" s="583"/>
      <c r="N17" s="998"/>
      <c r="O17" s="586">
        <f>C17*$C$22+E17*$E$22+H17*$H$22+I17*$I$22+J17*$J$22+D17*$D$22+F17*$F$22+G17*$G$22+K17*$K$22+L17*$L$22</f>
        <v>1791.0525675967092</v>
      </c>
      <c r="P17" s="1273"/>
      <c r="Q17" s="1274"/>
      <c r="R17" s="1027"/>
      <c r="S17" s="1268"/>
      <c r="T17" s="1268"/>
    </row>
    <row r="18" spans="1:26" s="546" customFormat="1">
      <c r="A18" s="587" t="s">
        <v>258</v>
      </c>
      <c r="B18" s="588">
        <f>'Eigen informatie GS &amp; warmtenet'!B32</f>
        <v>0</v>
      </c>
      <c r="C18" s="991">
        <f>'Eigen informatie GS &amp; warmtenet'!B35</f>
        <v>0</v>
      </c>
      <c r="D18" s="991">
        <f>'Eigen informatie GS &amp; warmtenet'!B36</f>
        <v>0</v>
      </c>
      <c r="E18" s="991">
        <f>'Eigen informatie GS &amp; warmtenet'!B37</f>
        <v>0</v>
      </c>
      <c r="F18" s="991">
        <f>'Eigen informatie GS &amp; warmtenet'!B38</f>
        <v>0</v>
      </c>
      <c r="G18" s="991">
        <f>'Eigen informatie GS &amp; warmtenet'!B39</f>
        <v>0</v>
      </c>
      <c r="H18" s="991">
        <f>'Eigen informatie GS &amp; warmtenet'!B40</f>
        <v>0</v>
      </c>
      <c r="I18" s="991">
        <f>'Eigen informatie GS &amp; warmtenet'!B41</f>
        <v>0</v>
      </c>
      <c r="J18" s="991">
        <f>'Eigen informatie GS &amp; warmtenet'!B42</f>
        <v>0</v>
      </c>
      <c r="K18" s="991">
        <f>'Eigen informatie GS &amp; warmtenet'!B43</f>
        <v>0</v>
      </c>
      <c r="L18" s="991">
        <f>'Eigen informatie GS &amp; warmtenet'!B44</f>
        <v>0</v>
      </c>
      <c r="M18" s="991">
        <f>'Eigen informatie GS &amp; warmtenet'!B45</f>
        <v>0</v>
      </c>
      <c r="N18" s="991">
        <f>'Eigen informatie GS &amp; warmtenet'!B46</f>
        <v>0</v>
      </c>
      <c r="O18" s="586">
        <f>C18*$C$22+E18*$E$22+H18*$H$22+I18*$I$22+J18*$J$22+D18*$D$22+F18*$F$22+G18*$G$22+K18*$K$22+L18*$L$22</f>
        <v>0</v>
      </c>
      <c r="P18" s="1269"/>
      <c r="Q18" s="1270"/>
      <c r="R18" s="1028"/>
      <c r="S18" s="1257"/>
      <c r="T18" s="1257"/>
    </row>
    <row r="19" spans="1:26" s="546" customFormat="1" ht="15.75" thickBot="1">
      <c r="A19" s="562" t="s">
        <v>248</v>
      </c>
      <c r="B19" s="588">
        <f>'Eigen informatie GS &amp; warmtenet'!B11</f>
        <v>0</v>
      </c>
      <c r="C19" s="589">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589">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589">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589">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589">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589">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589">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589">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589">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991">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991"/>
      <c r="N19" s="999"/>
      <c r="O19" s="586">
        <f>C19*$C$22+E19*$E$22+H19*$H$22+I19*$I$22+J19*$J$22+D19*$D$22+F19*$F$22+G19*$G$22+K19*$K$22+L19*$L$22</f>
        <v>0</v>
      </c>
      <c r="P19" s="1271"/>
      <c r="Q19" s="1272"/>
      <c r="R19" s="1028"/>
      <c r="S19" s="1257"/>
      <c r="T19" s="1257"/>
    </row>
    <row r="20" spans="1:26" s="546" customFormat="1" ht="16.5" thickTop="1" thickBot="1">
      <c r="A20" s="568" t="s">
        <v>116</v>
      </c>
      <c r="B20" s="569">
        <f>SUM(B17:B19)</f>
        <v>7548.3652597402597</v>
      </c>
      <c r="C20" s="569">
        <f>SUM(C17:C19)</f>
        <v>8866.596869290639</v>
      </c>
      <c r="D20" s="569">
        <f t="shared" ref="D20:L20" si="1">SUM(D17:D19)</f>
        <v>0</v>
      </c>
      <c r="E20" s="569">
        <f t="shared" si="1"/>
        <v>0</v>
      </c>
      <c r="F20" s="569">
        <f t="shared" si="1"/>
        <v>0</v>
      </c>
      <c r="G20" s="569">
        <f t="shared" si="1"/>
        <v>0</v>
      </c>
      <c r="H20" s="569">
        <f t="shared" si="1"/>
        <v>0</v>
      </c>
      <c r="I20" s="569">
        <f t="shared" si="1"/>
        <v>0</v>
      </c>
      <c r="J20" s="569">
        <f t="shared" si="1"/>
        <v>12.793874900002209</v>
      </c>
      <c r="K20" s="569">
        <f t="shared" si="1"/>
        <v>0</v>
      </c>
      <c r="L20" s="569">
        <f t="shared" si="1"/>
        <v>0</v>
      </c>
      <c r="M20" s="569"/>
      <c r="N20" s="569"/>
      <c r="O20" s="590">
        <f>SUM(O17:O19)</f>
        <v>1791.0525675967092</v>
      </c>
      <c r="P20" s="1265"/>
      <c r="Q20" s="1266"/>
      <c r="R20" s="1028"/>
      <c r="S20" s="1267"/>
      <c r="T20" s="1267"/>
    </row>
    <row r="21" spans="1:26" s="546" customFormat="1" ht="15.75" thickTop="1">
      <c r="A21" s="1027"/>
      <c r="B21" s="1028"/>
      <c r="C21" s="1028"/>
      <c r="D21" s="1028"/>
      <c r="E21" s="1028"/>
      <c r="F21" s="1028"/>
      <c r="G21" s="1028"/>
      <c r="H21" s="1028"/>
      <c r="I21" s="1028"/>
      <c r="J21" s="1028"/>
      <c r="K21" s="1028"/>
      <c r="L21" s="1028"/>
      <c r="M21" s="1028"/>
      <c r="N21" s="1028"/>
      <c r="O21" s="1028"/>
      <c r="P21" s="1026"/>
      <c r="Q21" s="1026"/>
      <c r="R21" s="1028"/>
      <c r="S21" s="1026"/>
      <c r="T21" s="1026"/>
    </row>
    <row r="22" spans="1:26" s="575" customFormat="1">
      <c r="A22" s="996" t="s">
        <v>290</v>
      </c>
      <c r="B22" s="997"/>
      <c r="C22" s="997">
        <f>EF_CO2_aardgas</f>
        <v>0.20200000000000001</v>
      </c>
      <c r="D22" s="997">
        <f>EF_VLgas_CO2</f>
        <v>0.22700000000000001</v>
      </c>
      <c r="E22" s="997">
        <f>EF_stookolie_CO2</f>
        <v>0.26700000000000002</v>
      </c>
      <c r="F22" s="997">
        <f>EF_bruinkool_CO2</f>
        <v>0.35099999999999998</v>
      </c>
      <c r="G22" s="997">
        <f>EF_steenkool_CO2</f>
        <v>0.35399999999999998</v>
      </c>
      <c r="H22" s="997">
        <f>'EF brandstof'!M4</f>
        <v>0.33</v>
      </c>
      <c r="I22" s="997">
        <f>'EF brandstof'!J4</f>
        <v>0</v>
      </c>
      <c r="J22" s="997">
        <f>'EF brandstof'!L4</f>
        <v>0</v>
      </c>
      <c r="K22" s="997">
        <f>'EF brandstof'!L4</f>
        <v>0</v>
      </c>
      <c r="L22" s="997"/>
      <c r="M22" s="997"/>
      <c r="N22" s="997"/>
      <c r="O22" s="576"/>
      <c r="P22" s="576"/>
      <c r="Q22" s="576"/>
      <c r="R22" s="576"/>
      <c r="S22" s="546"/>
    </row>
    <row r="23" spans="1:26" s="575" customFormat="1">
      <c r="A23" s="577"/>
      <c r="B23" s="576"/>
      <c r="C23" s="576"/>
      <c r="D23" s="576"/>
      <c r="E23" s="576"/>
      <c r="F23" s="576"/>
      <c r="G23" s="576"/>
      <c r="H23" s="576"/>
      <c r="I23" s="576"/>
      <c r="J23" s="576"/>
      <c r="K23" s="576"/>
      <c r="L23" s="576"/>
      <c r="M23" s="576"/>
      <c r="N23" s="576"/>
      <c r="O23" s="576"/>
      <c r="P23" s="576"/>
      <c r="Q23" s="576"/>
      <c r="R23" s="576"/>
      <c r="S23" s="546"/>
    </row>
    <row r="24" spans="1:26" s="575" customFormat="1">
      <c r="A24" s="577"/>
      <c r="B24" s="576"/>
      <c r="C24" s="576"/>
      <c r="D24" s="591"/>
      <c r="E24" s="591"/>
      <c r="F24" s="591"/>
      <c r="G24" s="576"/>
      <c r="H24" s="576"/>
      <c r="I24" s="576"/>
      <c r="J24" s="576"/>
      <c r="K24" s="576"/>
      <c r="L24" s="576"/>
      <c r="M24" s="576"/>
      <c r="N24" s="576"/>
      <c r="O24" s="576"/>
      <c r="P24" s="576"/>
      <c r="Q24" s="576"/>
      <c r="R24" s="576"/>
    </row>
    <row r="25" spans="1:26" s="575" customFormat="1">
      <c r="A25" s="577"/>
      <c r="B25" s="576"/>
      <c r="C25" s="576"/>
      <c r="D25" s="591"/>
      <c r="E25" s="591"/>
      <c r="F25" s="591"/>
      <c r="G25" s="576"/>
      <c r="H25" s="576"/>
      <c r="I25" s="576"/>
      <c r="J25" s="576"/>
      <c r="K25" s="576"/>
      <c r="L25" s="576"/>
      <c r="M25" s="576"/>
      <c r="N25" s="576"/>
      <c r="O25" s="576"/>
      <c r="P25" s="576"/>
      <c r="Q25" s="576"/>
      <c r="R25" s="576"/>
    </row>
    <row r="26" spans="1:26" s="546" customFormat="1" ht="15.75" thickBot="1">
      <c r="B26" s="591"/>
      <c r="C26" s="591"/>
      <c r="D26" s="591"/>
      <c r="E26" s="591"/>
      <c r="F26" s="591"/>
      <c r="G26" s="591"/>
      <c r="H26" s="591"/>
      <c r="I26" s="591"/>
      <c r="J26" s="591"/>
      <c r="K26" s="591"/>
      <c r="L26" s="591"/>
      <c r="M26" s="591"/>
      <c r="N26" s="591"/>
      <c r="O26" s="591"/>
      <c r="P26" s="591"/>
      <c r="Q26" s="592"/>
      <c r="R26" s="592"/>
    </row>
    <row r="27" spans="1:26" s="546" customFormat="1" ht="45">
      <c r="A27" s="593" t="s">
        <v>279</v>
      </c>
      <c r="B27" s="638" t="s">
        <v>90</v>
      </c>
      <c r="C27" s="638" t="s">
        <v>91</v>
      </c>
      <c r="D27" s="638" t="s">
        <v>92</v>
      </c>
      <c r="E27" s="638" t="s">
        <v>93</v>
      </c>
      <c r="F27" s="638" t="s">
        <v>94</v>
      </c>
      <c r="G27" s="638" t="s">
        <v>95</v>
      </c>
      <c r="H27" s="638" t="s">
        <v>96</v>
      </c>
      <c r="I27" s="638" t="s">
        <v>97</v>
      </c>
      <c r="J27" s="638" t="s">
        <v>98</v>
      </c>
      <c r="K27" s="638" t="s">
        <v>99</v>
      </c>
      <c r="L27" s="638" t="s">
        <v>100</v>
      </c>
      <c r="M27" s="639" t="s">
        <v>298</v>
      </c>
      <c r="N27" s="639" t="s">
        <v>101</v>
      </c>
      <c r="O27" s="639" t="s">
        <v>102</v>
      </c>
      <c r="P27" s="639" t="s">
        <v>552</v>
      </c>
      <c r="Q27" s="639" t="s">
        <v>103</v>
      </c>
      <c r="R27" s="639" t="s">
        <v>104</v>
      </c>
      <c r="S27" s="639" t="s">
        <v>105</v>
      </c>
      <c r="T27" s="639" t="s">
        <v>106</v>
      </c>
      <c r="U27" s="639" t="s">
        <v>107</v>
      </c>
      <c r="V27" s="639" t="s">
        <v>108</v>
      </c>
      <c r="W27" s="638" t="s">
        <v>109</v>
      </c>
      <c r="X27" s="638" t="s">
        <v>299</v>
      </c>
      <c r="Y27" s="638" t="s">
        <v>110</v>
      </c>
      <c r="Z27" s="640" t="s">
        <v>300</v>
      </c>
    </row>
    <row r="28" spans="1:26" s="595" customFormat="1" ht="25.5">
      <c r="A28" s="594"/>
      <c r="B28" s="789">
        <v>11009</v>
      </c>
      <c r="C28" s="789">
        <v>2960</v>
      </c>
      <c r="D28" s="642" t="s">
        <v>946</v>
      </c>
      <c r="E28" s="641" t="s">
        <v>947</v>
      </c>
      <c r="F28" s="641" t="s">
        <v>948</v>
      </c>
      <c r="G28" s="641" t="s">
        <v>949</v>
      </c>
      <c r="H28" s="641" t="s">
        <v>950</v>
      </c>
      <c r="I28" s="641" t="s">
        <v>947</v>
      </c>
      <c r="J28" s="788">
        <v>39737</v>
      </c>
      <c r="K28" s="788">
        <v>39737</v>
      </c>
      <c r="L28" s="641" t="s">
        <v>951</v>
      </c>
      <c r="M28" s="641">
        <v>1169</v>
      </c>
      <c r="N28" s="641">
        <v>5260.5</v>
      </c>
      <c r="O28" s="641">
        <v>7515</v>
      </c>
      <c r="P28" s="641">
        <v>15030.000000000002</v>
      </c>
      <c r="Q28" s="641">
        <v>0</v>
      </c>
      <c r="R28" s="641">
        <v>0</v>
      </c>
      <c r="S28" s="641">
        <v>0</v>
      </c>
      <c r="T28" s="641">
        <v>0</v>
      </c>
      <c r="U28" s="641">
        <v>0</v>
      </c>
      <c r="V28" s="641">
        <v>0</v>
      </c>
      <c r="W28" s="641"/>
      <c r="X28" s="641">
        <v>10</v>
      </c>
      <c r="Y28" s="641" t="s">
        <v>112</v>
      </c>
      <c r="Z28" s="643" t="s">
        <v>112</v>
      </c>
    </row>
    <row r="29" spans="1:26" s="595" customFormat="1" ht="63.75">
      <c r="A29" s="594"/>
      <c r="B29" s="789">
        <v>11009</v>
      </c>
      <c r="C29" s="789">
        <v>2960</v>
      </c>
      <c r="D29" s="642" t="s">
        <v>952</v>
      </c>
      <c r="E29" s="641" t="s">
        <v>953</v>
      </c>
      <c r="F29" s="641" t="s">
        <v>954</v>
      </c>
      <c r="G29" s="641" t="s">
        <v>955</v>
      </c>
      <c r="H29" s="641" t="s">
        <v>955</v>
      </c>
      <c r="I29" s="641" t="s">
        <v>953</v>
      </c>
      <c r="J29" s="788">
        <v>40775</v>
      </c>
      <c r="K29" s="788">
        <v>40817</v>
      </c>
      <c r="L29" s="641" t="s">
        <v>951</v>
      </c>
      <c r="M29" s="641">
        <v>1</v>
      </c>
      <c r="N29" s="641">
        <v>4.5</v>
      </c>
      <c r="O29" s="641">
        <v>22.5</v>
      </c>
      <c r="P29" s="641">
        <v>30</v>
      </c>
      <c r="Q29" s="641">
        <v>0</v>
      </c>
      <c r="R29" s="641">
        <v>0</v>
      </c>
      <c r="S29" s="641">
        <v>0</v>
      </c>
      <c r="T29" s="641">
        <v>0</v>
      </c>
      <c r="U29" s="641">
        <v>0</v>
      </c>
      <c r="V29" s="641">
        <v>0</v>
      </c>
      <c r="W29" s="641"/>
      <c r="X29" s="641">
        <v>1600</v>
      </c>
      <c r="Y29" s="641" t="s">
        <v>50</v>
      </c>
      <c r="Z29" s="643" t="s">
        <v>156</v>
      </c>
    </row>
    <row r="30" spans="1:26" s="595" customFormat="1" ht="25.5">
      <c r="A30" s="594"/>
      <c r="B30" s="789">
        <v>11009</v>
      </c>
      <c r="C30" s="789">
        <v>2960</v>
      </c>
      <c r="D30" s="642" t="s">
        <v>956</v>
      </c>
      <c r="E30" s="641" t="s">
        <v>957</v>
      </c>
      <c r="F30" s="641" t="s">
        <v>958</v>
      </c>
      <c r="G30" s="641" t="s">
        <v>949</v>
      </c>
      <c r="H30" s="641" t="s">
        <v>950</v>
      </c>
      <c r="I30" s="641" t="s">
        <v>959</v>
      </c>
      <c r="J30" s="788">
        <v>41086</v>
      </c>
      <c r="K30" s="788">
        <v>41244</v>
      </c>
      <c r="L30" s="641" t="s">
        <v>951</v>
      </c>
      <c r="M30" s="641">
        <v>9.6999999999999993</v>
      </c>
      <c r="N30" s="641">
        <v>3.6374999999999993</v>
      </c>
      <c r="O30" s="641">
        <v>5.1964285714285703</v>
      </c>
      <c r="P30" s="641">
        <v>0</v>
      </c>
      <c r="Q30" s="641">
        <v>10.392857142857142</v>
      </c>
      <c r="R30" s="641">
        <v>0</v>
      </c>
      <c r="S30" s="641">
        <v>0</v>
      </c>
      <c r="T30" s="641">
        <v>0</v>
      </c>
      <c r="U30" s="641">
        <v>0</v>
      </c>
      <c r="V30" s="641">
        <v>0</v>
      </c>
      <c r="W30" s="641"/>
      <c r="X30" s="641">
        <v>10</v>
      </c>
      <c r="Y30" s="641" t="s">
        <v>112</v>
      </c>
      <c r="Z30" s="643" t="s">
        <v>112</v>
      </c>
    </row>
    <row r="31" spans="1:26" s="595" customFormat="1" ht="25.5">
      <c r="A31" s="594"/>
      <c r="B31" s="789">
        <v>11009</v>
      </c>
      <c r="C31" s="789">
        <v>2960</v>
      </c>
      <c r="D31" s="642" t="s">
        <v>960</v>
      </c>
      <c r="E31" s="641" t="s">
        <v>961</v>
      </c>
      <c r="F31" s="641" t="s">
        <v>962</v>
      </c>
      <c r="G31" s="641" t="s">
        <v>949</v>
      </c>
      <c r="H31" s="641" t="s">
        <v>950</v>
      </c>
      <c r="I31" s="641" t="s">
        <v>961</v>
      </c>
      <c r="J31" s="788">
        <v>41086</v>
      </c>
      <c r="K31" s="788">
        <v>41214</v>
      </c>
      <c r="L31" s="641" t="s">
        <v>951</v>
      </c>
      <c r="M31" s="641">
        <v>9.6999999999999993</v>
      </c>
      <c r="N31" s="641">
        <v>3.9681818181818178</v>
      </c>
      <c r="O31" s="641">
        <v>5.6688311688311686</v>
      </c>
      <c r="P31" s="641">
        <v>0</v>
      </c>
      <c r="Q31" s="641">
        <v>11.337662337662337</v>
      </c>
      <c r="R31" s="641">
        <v>0</v>
      </c>
      <c r="S31" s="641">
        <v>0</v>
      </c>
      <c r="T31" s="641">
        <v>0</v>
      </c>
      <c r="U31" s="641">
        <v>0</v>
      </c>
      <c r="V31" s="641">
        <v>0</v>
      </c>
      <c r="W31" s="641"/>
      <c r="X31" s="641">
        <v>10</v>
      </c>
      <c r="Y31" s="641" t="s">
        <v>112</v>
      </c>
      <c r="Z31" s="643" t="s">
        <v>112</v>
      </c>
    </row>
    <row r="32" spans="1:26" s="595" customFormat="1" ht="12.75">
      <c r="A32" s="594"/>
      <c r="B32" s="789"/>
      <c r="C32" s="789"/>
      <c r="D32" s="642"/>
      <c r="E32" s="641"/>
      <c r="F32" s="641"/>
      <c r="G32" s="641"/>
      <c r="H32" s="641"/>
      <c r="I32" s="641"/>
      <c r="J32" s="788"/>
      <c r="K32" s="788"/>
      <c r="L32" s="641"/>
      <c r="M32" s="641"/>
      <c r="N32" s="641"/>
      <c r="O32" s="641"/>
      <c r="P32" s="641"/>
      <c r="Q32" s="641"/>
      <c r="R32" s="641"/>
      <c r="S32" s="641"/>
      <c r="T32" s="641"/>
      <c r="U32" s="641"/>
      <c r="V32" s="641"/>
      <c r="W32" s="641"/>
      <c r="X32" s="641"/>
      <c r="Y32" s="641"/>
      <c r="Z32" s="643"/>
    </row>
    <row r="33" spans="1:26" s="595" customFormat="1" ht="12.75">
      <c r="A33" s="594"/>
      <c r="B33" s="789"/>
      <c r="C33" s="789"/>
      <c r="D33" s="642"/>
      <c r="E33" s="641"/>
      <c r="F33" s="641"/>
      <c r="G33" s="641"/>
      <c r="H33" s="641"/>
      <c r="I33" s="641"/>
      <c r="J33" s="788"/>
      <c r="K33" s="788"/>
      <c r="L33" s="641"/>
      <c r="M33" s="641"/>
      <c r="N33" s="641"/>
      <c r="O33" s="641"/>
      <c r="P33" s="641"/>
      <c r="Q33" s="641"/>
      <c r="R33" s="641"/>
      <c r="S33" s="641"/>
      <c r="T33" s="641"/>
      <c r="U33" s="641"/>
      <c r="V33" s="641"/>
      <c r="W33" s="641"/>
      <c r="X33" s="641"/>
      <c r="Y33" s="641"/>
      <c r="Z33" s="643"/>
    </row>
    <row r="34" spans="1:26" s="595" customFormat="1" ht="12.75">
      <c r="A34" s="594"/>
      <c r="B34" s="789"/>
      <c r="C34" s="789"/>
      <c r="D34" s="642"/>
      <c r="E34" s="641"/>
      <c r="F34" s="641"/>
      <c r="G34" s="641"/>
      <c r="H34" s="641"/>
      <c r="I34" s="641"/>
      <c r="J34" s="788"/>
      <c r="K34" s="788"/>
      <c r="L34" s="641"/>
      <c r="M34" s="641"/>
      <c r="N34" s="641"/>
      <c r="O34" s="641"/>
      <c r="P34" s="641"/>
      <c r="Q34" s="641"/>
      <c r="R34" s="641"/>
      <c r="S34" s="641"/>
      <c r="T34" s="641"/>
      <c r="U34" s="641"/>
      <c r="V34" s="641"/>
      <c r="W34" s="641"/>
      <c r="X34" s="641"/>
      <c r="Y34" s="641"/>
      <c r="Z34" s="643"/>
    </row>
    <row r="35" spans="1:26" s="595" customFormat="1" ht="12.75">
      <c r="A35" s="594"/>
      <c r="B35" s="789"/>
      <c r="C35" s="789"/>
      <c r="D35" s="642"/>
      <c r="E35" s="641"/>
      <c r="F35" s="641"/>
      <c r="G35" s="641"/>
      <c r="H35" s="641"/>
      <c r="I35" s="641"/>
      <c r="J35" s="788"/>
      <c r="K35" s="788"/>
      <c r="L35" s="641"/>
      <c r="M35" s="641"/>
      <c r="N35" s="641"/>
      <c r="O35" s="641"/>
      <c r="P35" s="641"/>
      <c r="Q35" s="641"/>
      <c r="R35" s="641"/>
      <c r="S35" s="641"/>
      <c r="T35" s="641"/>
      <c r="U35" s="641"/>
      <c r="V35" s="641"/>
      <c r="W35" s="641"/>
      <c r="X35" s="641"/>
      <c r="Y35" s="641"/>
      <c r="Z35" s="643"/>
    </row>
    <row r="36" spans="1:26" s="595" customFormat="1" ht="12.75">
      <c r="A36" s="594"/>
      <c r="B36" s="789"/>
      <c r="C36" s="789"/>
      <c r="D36" s="642"/>
      <c r="E36" s="641"/>
      <c r="F36" s="641"/>
      <c r="G36" s="641"/>
      <c r="H36" s="641"/>
      <c r="I36" s="641"/>
      <c r="J36" s="788"/>
      <c r="K36" s="788"/>
      <c r="L36" s="641"/>
      <c r="M36" s="641"/>
      <c r="N36" s="641"/>
      <c r="O36" s="641"/>
      <c r="P36" s="641"/>
      <c r="Q36" s="641"/>
      <c r="R36" s="641"/>
      <c r="S36" s="641"/>
      <c r="T36" s="641"/>
      <c r="U36" s="641"/>
      <c r="V36" s="641"/>
      <c r="W36" s="641"/>
      <c r="X36" s="641"/>
      <c r="Y36" s="641"/>
      <c r="Z36" s="643"/>
    </row>
    <row r="37" spans="1:26" s="595" customFormat="1" ht="12.75">
      <c r="A37" s="594"/>
      <c r="B37" s="789"/>
      <c r="C37" s="789"/>
      <c r="D37" s="642"/>
      <c r="E37" s="641"/>
      <c r="F37" s="641"/>
      <c r="G37" s="641"/>
      <c r="H37" s="641"/>
      <c r="I37" s="641"/>
      <c r="J37" s="788"/>
      <c r="K37" s="788"/>
      <c r="L37" s="641"/>
      <c r="M37" s="641"/>
      <c r="N37" s="641"/>
      <c r="O37" s="641"/>
      <c r="P37" s="641"/>
      <c r="Q37" s="641"/>
      <c r="R37" s="641"/>
      <c r="S37" s="641"/>
      <c r="T37" s="641"/>
      <c r="U37" s="641"/>
      <c r="V37" s="641"/>
      <c r="W37" s="641"/>
      <c r="X37" s="641"/>
      <c r="Y37" s="641"/>
      <c r="Z37" s="643"/>
    </row>
    <row r="38" spans="1:26" s="595" customFormat="1" ht="12.75">
      <c r="A38" s="594"/>
      <c r="B38" s="789"/>
      <c r="C38" s="789"/>
      <c r="D38" s="642"/>
      <c r="E38" s="641"/>
      <c r="F38" s="641"/>
      <c r="G38" s="641"/>
      <c r="H38" s="641"/>
      <c r="I38" s="641"/>
      <c r="J38" s="788"/>
      <c r="K38" s="788"/>
      <c r="L38" s="641"/>
      <c r="M38" s="641"/>
      <c r="N38" s="641"/>
      <c r="O38" s="641"/>
      <c r="P38" s="641"/>
      <c r="Q38" s="641"/>
      <c r="R38" s="641"/>
      <c r="S38" s="641"/>
      <c r="T38" s="641"/>
      <c r="U38" s="641"/>
      <c r="V38" s="641"/>
      <c r="W38" s="641"/>
      <c r="X38" s="641"/>
      <c r="Y38" s="641"/>
      <c r="Z38" s="643"/>
    </row>
    <row r="39" spans="1:26" s="595" customFormat="1" ht="12.75">
      <c r="A39" s="594"/>
      <c r="B39" s="789"/>
      <c r="C39" s="789"/>
      <c r="D39" s="642"/>
      <c r="E39" s="641"/>
      <c r="F39" s="641"/>
      <c r="G39" s="641"/>
      <c r="H39" s="641"/>
      <c r="I39" s="641"/>
      <c r="J39" s="788"/>
      <c r="K39" s="788"/>
      <c r="L39" s="641"/>
      <c r="M39" s="641"/>
      <c r="N39" s="641"/>
      <c r="O39" s="641"/>
      <c r="P39" s="641"/>
      <c r="Q39" s="641"/>
      <c r="R39" s="641"/>
      <c r="S39" s="641"/>
      <c r="T39" s="641"/>
      <c r="U39" s="641"/>
      <c r="V39" s="641"/>
      <c r="W39" s="641"/>
      <c r="X39" s="641"/>
      <c r="Y39" s="641"/>
      <c r="Z39" s="643"/>
    </row>
    <row r="40" spans="1:26" s="595" customFormat="1" ht="12.75">
      <c r="A40" s="594"/>
      <c r="B40" s="789"/>
      <c r="C40" s="789"/>
      <c r="D40" s="642"/>
      <c r="E40" s="641"/>
      <c r="F40" s="641"/>
      <c r="G40" s="641"/>
      <c r="H40" s="641"/>
      <c r="I40" s="641"/>
      <c r="J40" s="788"/>
      <c r="K40" s="788"/>
      <c r="L40" s="641"/>
      <c r="M40" s="641"/>
      <c r="N40" s="641"/>
      <c r="O40" s="641"/>
      <c r="P40" s="641"/>
      <c r="Q40" s="641"/>
      <c r="R40" s="641"/>
      <c r="S40" s="641"/>
      <c r="T40" s="641"/>
      <c r="U40" s="641"/>
      <c r="V40" s="641"/>
      <c r="W40" s="641"/>
      <c r="X40" s="641"/>
      <c r="Y40" s="641"/>
      <c r="Z40" s="643"/>
    </row>
    <row r="41" spans="1:26" s="595" customFormat="1" ht="12.75">
      <c r="A41" s="594"/>
      <c r="B41" s="789"/>
      <c r="C41" s="789"/>
      <c r="D41" s="642"/>
      <c r="E41" s="641"/>
      <c r="F41" s="641"/>
      <c r="G41" s="641"/>
      <c r="H41" s="641"/>
      <c r="I41" s="641"/>
      <c r="J41" s="788"/>
      <c r="K41" s="788"/>
      <c r="L41" s="641"/>
      <c r="M41" s="641"/>
      <c r="N41" s="641"/>
      <c r="O41" s="641"/>
      <c r="P41" s="641"/>
      <c r="Q41" s="641"/>
      <c r="R41" s="641"/>
      <c r="S41" s="641"/>
      <c r="T41" s="641"/>
      <c r="U41" s="641"/>
      <c r="V41" s="641"/>
      <c r="W41" s="641"/>
      <c r="X41" s="641"/>
      <c r="Y41" s="641"/>
      <c r="Z41" s="643"/>
    </row>
    <row r="42" spans="1:26" s="595" customFormat="1" ht="12.75">
      <c r="A42" s="594"/>
      <c r="B42" s="789"/>
      <c r="C42" s="789"/>
      <c r="D42" s="642"/>
      <c r="E42" s="641"/>
      <c r="F42" s="641"/>
      <c r="G42" s="641"/>
      <c r="H42" s="641"/>
      <c r="I42" s="641"/>
      <c r="J42" s="788"/>
      <c r="K42" s="788"/>
      <c r="L42" s="641"/>
      <c r="M42" s="641"/>
      <c r="N42" s="641"/>
      <c r="O42" s="641"/>
      <c r="P42" s="641"/>
      <c r="Q42" s="641"/>
      <c r="R42" s="641"/>
      <c r="S42" s="641"/>
      <c r="T42" s="641"/>
      <c r="U42" s="641"/>
      <c r="V42" s="641"/>
      <c r="W42" s="641"/>
      <c r="X42" s="641"/>
      <c r="Y42" s="641"/>
      <c r="Z42" s="643"/>
    </row>
    <row r="43" spans="1:26" s="595" customFormat="1" ht="12.75">
      <c r="A43" s="594"/>
      <c r="B43" s="789"/>
      <c r="C43" s="789"/>
      <c r="D43" s="642"/>
      <c r="E43" s="641"/>
      <c r="F43" s="641"/>
      <c r="G43" s="641"/>
      <c r="H43" s="641"/>
      <c r="I43" s="641"/>
      <c r="J43" s="788"/>
      <c r="K43" s="788"/>
      <c r="L43" s="641"/>
      <c r="M43" s="641"/>
      <c r="N43" s="641"/>
      <c r="O43" s="641"/>
      <c r="P43" s="641"/>
      <c r="Q43" s="641"/>
      <c r="R43" s="641"/>
      <c r="S43" s="641"/>
      <c r="T43" s="641"/>
      <c r="U43" s="641"/>
      <c r="V43" s="641"/>
      <c r="W43" s="641"/>
      <c r="X43" s="641"/>
      <c r="Y43" s="641"/>
      <c r="Z43" s="643"/>
    </row>
    <row r="44" spans="1:26" s="595" customFormat="1" ht="12.75">
      <c r="A44" s="594"/>
      <c r="B44" s="789"/>
      <c r="C44" s="789"/>
      <c r="D44" s="642"/>
      <c r="E44" s="641"/>
      <c r="F44" s="641"/>
      <c r="G44" s="641"/>
      <c r="H44" s="641"/>
      <c r="I44" s="641"/>
      <c r="J44" s="788"/>
      <c r="K44" s="788"/>
      <c r="L44" s="641"/>
      <c r="M44" s="641"/>
      <c r="N44" s="641"/>
      <c r="O44" s="641"/>
      <c r="P44" s="641"/>
      <c r="Q44" s="641"/>
      <c r="R44" s="641"/>
      <c r="S44" s="641"/>
      <c r="T44" s="641"/>
      <c r="U44" s="641"/>
      <c r="V44" s="641"/>
      <c r="W44" s="641"/>
      <c r="X44" s="641"/>
      <c r="Y44" s="641"/>
      <c r="Z44" s="643"/>
    </row>
    <row r="45" spans="1:26" s="595" customFormat="1" ht="12.75">
      <c r="A45" s="594"/>
      <c r="B45" s="789"/>
      <c r="C45" s="789"/>
      <c r="D45" s="642"/>
      <c r="E45" s="641"/>
      <c r="F45" s="641"/>
      <c r="G45" s="641"/>
      <c r="H45" s="641"/>
      <c r="I45" s="641"/>
      <c r="J45" s="788"/>
      <c r="K45" s="788"/>
      <c r="L45" s="641"/>
      <c r="M45" s="641"/>
      <c r="N45" s="641"/>
      <c r="O45" s="641"/>
      <c r="P45" s="641"/>
      <c r="Q45" s="641"/>
      <c r="R45" s="641"/>
      <c r="S45" s="641"/>
      <c r="T45" s="641"/>
      <c r="U45" s="641"/>
      <c r="V45" s="641"/>
      <c r="W45" s="641"/>
      <c r="X45" s="641"/>
      <c r="Y45" s="641"/>
      <c r="Z45" s="643"/>
    </row>
    <row r="46" spans="1:26" s="595" customFormat="1" ht="12.75">
      <c r="A46" s="594"/>
      <c r="B46" s="789"/>
      <c r="C46" s="789"/>
      <c r="D46" s="642"/>
      <c r="E46" s="641"/>
      <c r="F46" s="641"/>
      <c r="G46" s="641"/>
      <c r="H46" s="641"/>
      <c r="I46" s="641"/>
      <c r="J46" s="788"/>
      <c r="K46" s="788"/>
      <c r="L46" s="641"/>
      <c r="M46" s="641"/>
      <c r="N46" s="641"/>
      <c r="O46" s="641"/>
      <c r="P46" s="641"/>
      <c r="Q46" s="641"/>
      <c r="R46" s="641"/>
      <c r="S46" s="641"/>
      <c r="T46" s="641"/>
      <c r="U46" s="641"/>
      <c r="V46" s="641"/>
      <c r="W46" s="641"/>
      <c r="X46" s="641"/>
      <c r="Y46" s="641"/>
      <c r="Z46" s="643"/>
    </row>
    <row r="47" spans="1:26" s="595" customFormat="1" ht="12.75">
      <c r="A47" s="594"/>
      <c r="B47" s="789"/>
      <c r="C47" s="789"/>
      <c r="D47" s="642"/>
      <c r="E47" s="641"/>
      <c r="F47" s="641"/>
      <c r="G47" s="641"/>
      <c r="H47" s="641"/>
      <c r="I47" s="641"/>
      <c r="J47" s="788"/>
      <c r="K47" s="788"/>
      <c r="L47" s="641"/>
      <c r="M47" s="641"/>
      <c r="N47" s="641"/>
      <c r="O47" s="641"/>
      <c r="P47" s="641"/>
      <c r="Q47" s="641"/>
      <c r="R47" s="641"/>
      <c r="S47" s="641"/>
      <c r="T47" s="641"/>
      <c r="U47" s="641"/>
      <c r="V47" s="641"/>
      <c r="W47" s="641"/>
      <c r="X47" s="641"/>
      <c r="Y47" s="641"/>
      <c r="Z47" s="643"/>
    </row>
    <row r="48" spans="1:26" s="595" customFormat="1" ht="12.75">
      <c r="A48" s="594"/>
      <c r="B48" s="789"/>
      <c r="C48" s="789"/>
      <c r="D48" s="642"/>
      <c r="E48" s="641"/>
      <c r="F48" s="641"/>
      <c r="G48" s="641"/>
      <c r="H48" s="641"/>
      <c r="I48" s="641"/>
      <c r="J48" s="788"/>
      <c r="K48" s="788"/>
      <c r="L48" s="641"/>
      <c r="M48" s="641"/>
      <c r="N48" s="641"/>
      <c r="O48" s="641"/>
      <c r="P48" s="641"/>
      <c r="Q48" s="641"/>
      <c r="R48" s="641"/>
      <c r="S48" s="641"/>
      <c r="T48" s="641"/>
      <c r="U48" s="641"/>
      <c r="V48" s="641"/>
      <c r="W48" s="641"/>
      <c r="X48" s="641"/>
      <c r="Y48" s="641"/>
      <c r="Z48" s="643"/>
    </row>
    <row r="49" spans="1:26" s="595" customFormat="1" ht="12.75">
      <c r="A49" s="594"/>
      <c r="B49" s="789"/>
      <c r="C49" s="789"/>
      <c r="D49" s="642"/>
      <c r="E49" s="641"/>
      <c r="F49" s="641"/>
      <c r="G49" s="641"/>
      <c r="H49" s="641"/>
      <c r="I49" s="641"/>
      <c r="J49" s="788"/>
      <c r="K49" s="788"/>
      <c r="L49" s="641"/>
      <c r="M49" s="641"/>
      <c r="N49" s="641"/>
      <c r="O49" s="641"/>
      <c r="P49" s="641"/>
      <c r="Q49" s="641"/>
      <c r="R49" s="641"/>
      <c r="S49" s="641"/>
      <c r="T49" s="641"/>
      <c r="U49" s="641"/>
      <c r="V49" s="641"/>
      <c r="W49" s="641"/>
      <c r="X49" s="641"/>
      <c r="Y49" s="641"/>
      <c r="Z49" s="643"/>
    </row>
    <row r="50" spans="1:26" s="595" customFormat="1" ht="12.75">
      <c r="A50" s="594"/>
      <c r="B50" s="789"/>
      <c r="C50" s="789"/>
      <c r="D50" s="642"/>
      <c r="E50" s="641"/>
      <c r="F50" s="641"/>
      <c r="G50" s="641"/>
      <c r="H50" s="641"/>
      <c r="I50" s="641"/>
      <c r="J50" s="788"/>
      <c r="K50" s="788"/>
      <c r="L50" s="641"/>
      <c r="M50" s="641"/>
      <c r="N50" s="641"/>
      <c r="O50" s="641"/>
      <c r="P50" s="641"/>
      <c r="Q50" s="641"/>
      <c r="R50" s="641"/>
      <c r="S50" s="641"/>
      <c r="T50" s="641"/>
      <c r="U50" s="641"/>
      <c r="V50" s="641"/>
      <c r="W50" s="641"/>
      <c r="X50" s="641"/>
      <c r="Y50" s="641"/>
      <c r="Z50" s="643"/>
    </row>
    <row r="51" spans="1:26" s="595" customFormat="1" ht="12.75">
      <c r="A51" s="596"/>
      <c r="B51" s="789"/>
      <c r="C51" s="789"/>
      <c r="D51" s="642"/>
      <c r="E51" s="641"/>
      <c r="F51" s="641"/>
      <c r="G51" s="641"/>
      <c r="H51" s="641"/>
      <c r="I51" s="641"/>
      <c r="J51" s="788"/>
      <c r="K51" s="788"/>
      <c r="L51" s="641"/>
      <c r="M51" s="641"/>
      <c r="N51" s="641"/>
      <c r="O51" s="641"/>
      <c r="P51" s="641"/>
      <c r="Q51" s="641"/>
      <c r="R51" s="641"/>
      <c r="S51" s="641"/>
      <c r="T51" s="641"/>
      <c r="U51" s="641"/>
      <c r="V51" s="641"/>
      <c r="W51" s="641"/>
      <c r="X51" s="641"/>
      <c r="Y51" s="641"/>
      <c r="Z51" s="643"/>
    </row>
    <row r="52" spans="1:26" s="595" customFormat="1" ht="12.75">
      <c r="A52" s="596"/>
      <c r="B52" s="789"/>
      <c r="C52" s="789"/>
      <c r="D52" s="641"/>
      <c r="E52" s="641"/>
      <c r="F52" s="641"/>
      <c r="G52" s="641"/>
      <c r="H52" s="641"/>
      <c r="I52" s="641"/>
      <c r="J52" s="788"/>
      <c r="K52" s="788"/>
      <c r="L52" s="641"/>
      <c r="M52" s="641"/>
      <c r="N52" s="641"/>
      <c r="O52" s="641"/>
      <c r="P52" s="641"/>
      <c r="Q52" s="641"/>
      <c r="R52" s="641"/>
      <c r="S52" s="641"/>
      <c r="T52" s="641"/>
      <c r="U52" s="641"/>
      <c r="V52" s="641"/>
      <c r="W52" s="641"/>
      <c r="X52" s="641"/>
      <c r="Y52" s="641"/>
      <c r="Z52" s="643"/>
    </row>
    <row r="53" spans="1:26" s="595" customFormat="1" ht="12.75">
      <c r="A53" s="596"/>
      <c r="B53" s="789"/>
      <c r="C53" s="789"/>
      <c r="D53" s="641"/>
      <c r="E53" s="641"/>
      <c r="F53" s="641"/>
      <c r="G53" s="641"/>
      <c r="H53" s="641"/>
      <c r="I53" s="641"/>
      <c r="J53" s="788"/>
      <c r="K53" s="788"/>
      <c r="L53" s="641"/>
      <c r="M53" s="641"/>
      <c r="N53" s="641"/>
      <c r="O53" s="641"/>
      <c r="P53" s="641"/>
      <c r="Q53" s="641"/>
      <c r="R53" s="641"/>
      <c r="S53" s="641"/>
      <c r="T53" s="641"/>
      <c r="U53" s="641"/>
      <c r="V53" s="641"/>
      <c r="W53" s="641"/>
      <c r="X53" s="641"/>
      <c r="Y53" s="641"/>
      <c r="Z53" s="643"/>
    </row>
    <row r="54" spans="1:26" s="595" customFormat="1" ht="12.75">
      <c r="A54" s="596"/>
      <c r="B54" s="789"/>
      <c r="C54" s="789"/>
      <c r="D54" s="641"/>
      <c r="E54" s="641"/>
      <c r="F54" s="641"/>
      <c r="G54" s="641"/>
      <c r="H54" s="641"/>
      <c r="I54" s="641"/>
      <c r="J54" s="788"/>
      <c r="K54" s="788"/>
      <c r="L54" s="641"/>
      <c r="M54" s="641"/>
      <c r="N54" s="641"/>
      <c r="O54" s="641"/>
      <c r="P54" s="641"/>
      <c r="Q54" s="641"/>
      <c r="R54" s="641"/>
      <c r="S54" s="641"/>
      <c r="T54" s="641"/>
      <c r="U54" s="641"/>
      <c r="V54" s="641"/>
      <c r="W54" s="641"/>
      <c r="X54" s="641"/>
      <c r="Y54" s="641"/>
      <c r="Z54" s="643"/>
    </row>
    <row r="55" spans="1:26" s="595" customFormat="1" ht="12.75">
      <c r="A55" s="596"/>
      <c r="B55" s="789"/>
      <c r="C55" s="789"/>
      <c r="D55" s="641"/>
      <c r="E55" s="641"/>
      <c r="F55" s="641"/>
      <c r="G55" s="641"/>
      <c r="H55" s="641"/>
      <c r="I55" s="641"/>
      <c r="J55" s="788"/>
      <c r="K55" s="788"/>
      <c r="L55" s="641"/>
      <c r="M55" s="641"/>
      <c r="N55" s="641"/>
      <c r="O55" s="641"/>
      <c r="P55" s="641"/>
      <c r="Q55" s="641"/>
      <c r="R55" s="641"/>
      <c r="S55" s="641"/>
      <c r="T55" s="641"/>
      <c r="U55" s="641"/>
      <c r="V55" s="641"/>
      <c r="W55" s="641"/>
      <c r="X55" s="641"/>
      <c r="Y55" s="641"/>
      <c r="Z55" s="643"/>
    </row>
    <row r="56" spans="1:26" s="595" customFormat="1" ht="12.75">
      <c r="A56" s="596"/>
      <c r="B56" s="789"/>
      <c r="C56" s="789"/>
      <c r="D56" s="641"/>
      <c r="E56" s="641"/>
      <c r="F56" s="641"/>
      <c r="G56" s="641"/>
      <c r="H56" s="641"/>
      <c r="I56" s="641"/>
      <c r="J56" s="788"/>
      <c r="K56" s="788"/>
      <c r="L56" s="641"/>
      <c r="M56" s="641"/>
      <c r="N56" s="641"/>
      <c r="O56" s="641"/>
      <c r="P56" s="641"/>
      <c r="Q56" s="641"/>
      <c r="R56" s="641"/>
      <c r="S56" s="641"/>
      <c r="T56" s="641"/>
      <c r="U56" s="641"/>
      <c r="V56" s="641"/>
      <c r="W56" s="641"/>
      <c r="X56" s="641"/>
      <c r="Y56" s="641"/>
      <c r="Z56" s="643"/>
    </row>
    <row r="57" spans="1:26" s="595" customFormat="1" ht="12.75">
      <c r="A57" s="596"/>
      <c r="B57" s="789"/>
      <c r="C57" s="789"/>
      <c r="D57" s="641"/>
      <c r="E57" s="641"/>
      <c r="F57" s="641"/>
      <c r="G57" s="641"/>
      <c r="H57" s="641"/>
      <c r="I57" s="641"/>
      <c r="J57" s="788"/>
      <c r="K57" s="788"/>
      <c r="L57" s="641"/>
      <c r="M57" s="641"/>
      <c r="N57" s="641"/>
      <c r="O57" s="641"/>
      <c r="P57" s="641"/>
      <c r="Q57" s="641"/>
      <c r="R57" s="641"/>
      <c r="S57" s="641"/>
      <c r="T57" s="641"/>
      <c r="U57" s="641"/>
      <c r="V57" s="641"/>
      <c r="W57" s="641"/>
      <c r="X57" s="641"/>
      <c r="Y57" s="641"/>
      <c r="Z57" s="643"/>
    </row>
    <row r="58" spans="1:26" s="577" customFormat="1">
      <c r="A58" s="597" t="s">
        <v>280</v>
      </c>
      <c r="B58" s="598"/>
      <c r="C58" s="598"/>
      <c r="D58" s="598"/>
      <c r="E58" s="598"/>
      <c r="F58" s="598"/>
      <c r="G58" s="598"/>
      <c r="H58" s="598"/>
      <c r="I58" s="598"/>
      <c r="J58" s="598"/>
      <c r="K58" s="598"/>
      <c r="L58" s="599"/>
      <c r="M58" s="599">
        <f>SUM(M28:M57)</f>
        <v>1189.4000000000001</v>
      </c>
      <c r="N58" s="599">
        <f>SUM(N28:N57)</f>
        <v>5272.6056818181814</v>
      </c>
      <c r="O58" s="599">
        <f t="shared" ref="O58:W58" si="2">SUM(O28:O57)</f>
        <v>7548.3652597402597</v>
      </c>
      <c r="P58" s="599">
        <f t="shared" si="2"/>
        <v>15060.000000000002</v>
      </c>
      <c r="Q58" s="599">
        <f t="shared" si="2"/>
        <v>21.730519480519479</v>
      </c>
      <c r="R58" s="599">
        <f t="shared" si="2"/>
        <v>0</v>
      </c>
      <c r="S58" s="599">
        <f t="shared" si="2"/>
        <v>0</v>
      </c>
      <c r="T58" s="599">
        <f t="shared" si="2"/>
        <v>0</v>
      </c>
      <c r="U58" s="599">
        <f t="shared" si="2"/>
        <v>0</v>
      </c>
      <c r="V58" s="599">
        <f t="shared" si="2"/>
        <v>0</v>
      </c>
      <c r="W58" s="599">
        <f t="shared" si="2"/>
        <v>0</v>
      </c>
      <c r="X58" s="600"/>
      <c r="Y58" s="600"/>
      <c r="Z58" s="601"/>
    </row>
    <row r="59" spans="1:26" s="577" customFormat="1">
      <c r="A59" s="597" t="s">
        <v>287</v>
      </c>
      <c r="B59" s="598"/>
      <c r="C59" s="598"/>
      <c r="D59" s="598"/>
      <c r="E59" s="598"/>
      <c r="F59" s="598"/>
      <c r="G59" s="598"/>
      <c r="H59" s="598"/>
      <c r="I59" s="598"/>
      <c r="J59" s="598"/>
      <c r="K59" s="598"/>
      <c r="L59" s="599"/>
      <c r="M59" s="599">
        <f t="shared" ref="M59:W59" si="3">SUMIF($Z$28:$Z$57,"industrie",M28:M57)</f>
        <v>0</v>
      </c>
      <c r="N59" s="599">
        <f t="shared" si="3"/>
        <v>0</v>
      </c>
      <c r="O59" s="599">
        <f t="shared" si="3"/>
        <v>0</v>
      </c>
      <c r="P59" s="599">
        <f t="shared" si="3"/>
        <v>0</v>
      </c>
      <c r="Q59" s="599">
        <f t="shared" si="3"/>
        <v>0</v>
      </c>
      <c r="R59" s="599">
        <f t="shared" si="3"/>
        <v>0</v>
      </c>
      <c r="S59" s="599">
        <f t="shared" si="3"/>
        <v>0</v>
      </c>
      <c r="T59" s="599">
        <f t="shared" si="3"/>
        <v>0</v>
      </c>
      <c r="U59" s="599">
        <f t="shared" si="3"/>
        <v>0</v>
      </c>
      <c r="V59" s="599">
        <f t="shared" si="3"/>
        <v>0</v>
      </c>
      <c r="W59" s="599">
        <f t="shared" si="3"/>
        <v>0</v>
      </c>
      <c r="X59" s="600"/>
      <c r="Y59" s="600"/>
      <c r="Z59" s="601"/>
    </row>
    <row r="60" spans="1:26" s="577" customFormat="1">
      <c r="A60" s="597" t="s">
        <v>288</v>
      </c>
      <c r="B60" s="598"/>
      <c r="C60" s="598"/>
      <c r="D60" s="598"/>
      <c r="E60" s="598"/>
      <c r="F60" s="598"/>
      <c r="G60" s="598"/>
      <c r="H60" s="598"/>
      <c r="I60" s="598"/>
      <c r="J60" s="598"/>
      <c r="K60" s="598"/>
      <c r="L60" s="599"/>
      <c r="M60" s="599">
        <f ca="1">SUMIF($Z$28:AC57,"tertiair",M28:M57)</f>
        <v>1</v>
      </c>
      <c r="N60" s="599">
        <f ca="1">SUMIF($Z$28:AD57,"tertiair",N28:N57)</f>
        <v>4.5</v>
      </c>
      <c r="O60" s="599">
        <f ca="1">SUMIF($Z$28:AE57,"tertiair",O28:O57)</f>
        <v>22.5</v>
      </c>
      <c r="P60" s="599">
        <f ca="1">SUMIF($Z$28:AF57,"tertiair",P28:P57)</f>
        <v>30</v>
      </c>
      <c r="Q60" s="599">
        <f ca="1">SUMIF($Z$28:AG57,"tertiair",Q28:Q57)</f>
        <v>0</v>
      </c>
      <c r="R60" s="599">
        <f ca="1">SUMIF($Z$28:AH57,"tertiair",R28:R57)</f>
        <v>0</v>
      </c>
      <c r="S60" s="599">
        <f ca="1">SUMIF($Z$28:AI57,"tertiair",S28:S57)</f>
        <v>0</v>
      </c>
      <c r="T60" s="599">
        <f ca="1">SUMIF($Z$28:AJ57,"tertiair",T28:T57)</f>
        <v>0</v>
      </c>
      <c r="U60" s="599">
        <f ca="1">SUMIF($Z$28:AK57,"tertiair",U28:U57)</f>
        <v>0</v>
      </c>
      <c r="V60" s="599">
        <f ca="1">SUMIF($Z$28:AL57,"tertiair",V28:V57)</f>
        <v>0</v>
      </c>
      <c r="W60" s="599">
        <f ca="1">SUMIF($Z$28:AM57,"tertiair",W28:W57)</f>
        <v>0</v>
      </c>
      <c r="X60" s="600"/>
      <c r="Y60" s="600"/>
      <c r="Z60" s="601"/>
    </row>
    <row r="61" spans="1:26" s="577" customFormat="1" ht="15.75" thickBot="1">
      <c r="A61" s="602" t="s">
        <v>289</v>
      </c>
      <c r="B61" s="603"/>
      <c r="C61" s="603"/>
      <c r="D61" s="603"/>
      <c r="E61" s="603"/>
      <c r="F61" s="603"/>
      <c r="G61" s="603"/>
      <c r="H61" s="603"/>
      <c r="I61" s="603"/>
      <c r="J61" s="603"/>
      <c r="K61" s="603"/>
      <c r="L61" s="604"/>
      <c r="M61" s="604">
        <f t="shared" ref="M61:W61" si="4">SUMIF($Z$28:$Z$57,"landbouw",M28:M57)</f>
        <v>1188.4000000000001</v>
      </c>
      <c r="N61" s="604">
        <f t="shared" si="4"/>
        <v>5268.1056818181814</v>
      </c>
      <c r="O61" s="604">
        <f t="shared" si="4"/>
        <v>7525.8652597402597</v>
      </c>
      <c r="P61" s="604">
        <f t="shared" si="4"/>
        <v>15030.000000000002</v>
      </c>
      <c r="Q61" s="604">
        <f t="shared" si="4"/>
        <v>21.730519480519479</v>
      </c>
      <c r="R61" s="604">
        <f t="shared" si="4"/>
        <v>0</v>
      </c>
      <c r="S61" s="604">
        <f t="shared" si="4"/>
        <v>0</v>
      </c>
      <c r="T61" s="604">
        <f t="shared" si="4"/>
        <v>0</v>
      </c>
      <c r="U61" s="604">
        <f t="shared" si="4"/>
        <v>0</v>
      </c>
      <c r="V61" s="604">
        <f t="shared" si="4"/>
        <v>0</v>
      </c>
      <c r="W61" s="604">
        <f t="shared" si="4"/>
        <v>0</v>
      </c>
      <c r="X61" s="605"/>
      <c r="Y61" s="605"/>
      <c r="Z61" s="606"/>
    </row>
    <row r="62" spans="1:26" s="546" customFormat="1" ht="15.75" thickBot="1">
      <c r="A62" s="607"/>
      <c r="B62" s="608"/>
      <c r="C62" s="608"/>
      <c r="D62" s="608"/>
      <c r="E62" s="608"/>
      <c r="F62" s="608"/>
      <c r="G62" s="608"/>
      <c r="H62" s="608"/>
      <c r="I62" s="608"/>
      <c r="J62" s="608"/>
      <c r="K62" s="608"/>
      <c r="L62" s="591"/>
      <c r="M62" s="591"/>
      <c r="N62" s="591"/>
      <c r="O62" s="592"/>
      <c r="P62" s="592"/>
    </row>
    <row r="63" spans="1:26" s="546" customFormat="1" ht="45">
      <c r="A63" s="609" t="s">
        <v>281</v>
      </c>
      <c r="B63" s="638" t="s">
        <v>90</v>
      </c>
      <c r="C63" s="638" t="s">
        <v>91</v>
      </c>
      <c r="D63" s="638" t="s">
        <v>92</v>
      </c>
      <c r="E63" s="638" t="s">
        <v>93</v>
      </c>
      <c r="F63" s="638" t="s">
        <v>94</v>
      </c>
      <c r="G63" s="638" t="s">
        <v>95</v>
      </c>
      <c r="H63" s="638" t="s">
        <v>96</v>
      </c>
      <c r="I63" s="638" t="s">
        <v>97</v>
      </c>
      <c r="J63" s="638" t="s">
        <v>98</v>
      </c>
      <c r="K63" s="638" t="s">
        <v>99</v>
      </c>
      <c r="L63" s="638" t="s">
        <v>100</v>
      </c>
      <c r="M63" s="639" t="s">
        <v>298</v>
      </c>
      <c r="N63" s="639" t="s">
        <v>101</v>
      </c>
      <c r="O63" s="639" t="s">
        <v>102</v>
      </c>
      <c r="P63" s="639" t="s">
        <v>552</v>
      </c>
      <c r="Q63" s="639" t="s">
        <v>103</v>
      </c>
      <c r="R63" s="639" t="s">
        <v>104</v>
      </c>
      <c r="S63" s="639" t="s">
        <v>105</v>
      </c>
      <c r="T63" s="639" t="s">
        <v>106</v>
      </c>
      <c r="U63" s="639" t="s">
        <v>107</v>
      </c>
      <c r="V63" s="639" t="s">
        <v>108</v>
      </c>
      <c r="W63" s="638" t="s">
        <v>109</v>
      </c>
      <c r="X63" s="638" t="s">
        <v>299</v>
      </c>
      <c r="Y63" s="638" t="s">
        <v>110</v>
      </c>
      <c r="Z63" s="640" t="s">
        <v>300</v>
      </c>
    </row>
    <row r="64" spans="1:26" s="610" customFormat="1" ht="63.75">
      <c r="A64" s="596"/>
      <c r="B64" s="789">
        <v>11009</v>
      </c>
      <c r="C64" s="789">
        <v>2960</v>
      </c>
      <c r="D64" s="644" t="s">
        <v>963</v>
      </c>
      <c r="E64" s="644" t="s">
        <v>964</v>
      </c>
      <c r="F64" s="644" t="s">
        <v>965</v>
      </c>
      <c r="G64" s="644" t="s">
        <v>966</v>
      </c>
      <c r="H64" s="644" t="s">
        <v>967</v>
      </c>
      <c r="I64" s="644" t="s">
        <v>968</v>
      </c>
      <c r="J64" s="788">
        <v>35323</v>
      </c>
      <c r="K64" s="788">
        <v>37653</v>
      </c>
      <c r="L64" s="644" t="s">
        <v>963</v>
      </c>
      <c r="M64" s="644">
        <v>312</v>
      </c>
      <c r="N64" s="644">
        <v>1404</v>
      </c>
      <c r="O64" s="644">
        <v>0</v>
      </c>
      <c r="P64" s="644">
        <v>0</v>
      </c>
      <c r="Q64" s="644">
        <v>0</v>
      </c>
      <c r="R64" s="644">
        <v>4011.4285714285716</v>
      </c>
      <c r="S64" s="644">
        <v>0</v>
      </c>
      <c r="T64" s="644">
        <v>0</v>
      </c>
      <c r="U64" s="644">
        <v>0</v>
      </c>
      <c r="V64" s="644">
        <v>0</v>
      </c>
      <c r="W64" s="644"/>
      <c r="X64" s="644">
        <v>1600</v>
      </c>
      <c r="Y64" s="644" t="s">
        <v>50</v>
      </c>
      <c r="Z64" s="645" t="s">
        <v>156</v>
      </c>
    </row>
    <row r="65" spans="1:26" s="610" customFormat="1" ht="63.75">
      <c r="A65" s="596"/>
      <c r="B65" s="789">
        <v>11009</v>
      </c>
      <c r="C65" s="789">
        <v>2960</v>
      </c>
      <c r="D65" s="644" t="s">
        <v>969</v>
      </c>
      <c r="E65" s="644" t="s">
        <v>970</v>
      </c>
      <c r="F65" s="644" t="s">
        <v>971</v>
      </c>
      <c r="G65" s="644" t="s">
        <v>972</v>
      </c>
      <c r="H65" s="644" t="s">
        <v>967</v>
      </c>
      <c r="I65" s="644" t="s">
        <v>973</v>
      </c>
      <c r="J65" s="788">
        <v>38117</v>
      </c>
      <c r="K65" s="788">
        <v>38200</v>
      </c>
      <c r="L65" s="644" t="s">
        <v>963</v>
      </c>
      <c r="M65" s="644">
        <v>1095</v>
      </c>
      <c r="N65" s="644">
        <v>4927.5</v>
      </c>
      <c r="O65" s="644">
        <v>0</v>
      </c>
      <c r="P65" s="644">
        <v>0</v>
      </c>
      <c r="Q65" s="644">
        <v>14078.571428571429</v>
      </c>
      <c r="R65" s="644">
        <v>0</v>
      </c>
      <c r="S65" s="644">
        <v>0</v>
      </c>
      <c r="T65" s="644">
        <v>0</v>
      </c>
      <c r="U65" s="644">
        <v>0</v>
      </c>
      <c r="V65" s="644">
        <v>0</v>
      </c>
      <c r="W65" s="644"/>
      <c r="X65" s="644">
        <v>1600</v>
      </c>
      <c r="Y65" s="644" t="s">
        <v>50</v>
      </c>
      <c r="Z65" s="645" t="s">
        <v>156</v>
      </c>
    </row>
    <row r="66" spans="1:26" s="610" customFormat="1" ht="63.75">
      <c r="A66" s="596"/>
      <c r="B66" s="789">
        <v>11009</v>
      </c>
      <c r="C66" s="789">
        <v>2960</v>
      </c>
      <c r="D66" s="644" t="s">
        <v>974</v>
      </c>
      <c r="E66" s="644" t="s">
        <v>975</v>
      </c>
      <c r="F66" s="644" t="s">
        <v>976</v>
      </c>
      <c r="G66" s="644" t="s">
        <v>977</v>
      </c>
      <c r="H66" s="644" t="s">
        <v>967</v>
      </c>
      <c r="I66" s="644" t="s">
        <v>978</v>
      </c>
      <c r="J66" s="788">
        <v>40365</v>
      </c>
      <c r="K66" s="788">
        <v>40704</v>
      </c>
      <c r="L66" s="644" t="s">
        <v>963</v>
      </c>
      <c r="M66" s="644">
        <v>2353</v>
      </c>
      <c r="N66" s="644">
        <v>10588.500000000002</v>
      </c>
      <c r="O66" s="644">
        <v>0</v>
      </c>
      <c r="P66" s="644">
        <v>0</v>
      </c>
      <c r="Q66" s="644">
        <v>30252.857142857149</v>
      </c>
      <c r="R66" s="644">
        <v>0</v>
      </c>
      <c r="S66" s="644">
        <v>0</v>
      </c>
      <c r="T66" s="644">
        <v>0</v>
      </c>
      <c r="U66" s="644">
        <v>0</v>
      </c>
      <c r="V66" s="644">
        <v>0</v>
      </c>
      <c r="W66" s="644"/>
      <c r="X66" s="644">
        <v>1600</v>
      </c>
      <c r="Y66" s="644" t="s">
        <v>50</v>
      </c>
      <c r="Z66" s="645" t="s">
        <v>156</v>
      </c>
    </row>
    <row r="67" spans="1:26" s="610" customFormat="1" ht="12.75">
      <c r="A67" s="596"/>
      <c r="B67" s="789"/>
      <c r="C67" s="789"/>
      <c r="D67" s="644"/>
      <c r="E67" s="644"/>
      <c r="F67" s="644"/>
      <c r="G67" s="644"/>
      <c r="H67" s="644"/>
      <c r="I67" s="644"/>
      <c r="J67" s="788"/>
      <c r="K67" s="788"/>
      <c r="L67" s="644"/>
      <c r="M67" s="644"/>
      <c r="N67" s="644"/>
      <c r="O67" s="644"/>
      <c r="P67" s="644"/>
      <c r="Q67" s="644"/>
      <c r="R67" s="644"/>
      <c r="S67" s="644"/>
      <c r="T67" s="644"/>
      <c r="U67" s="644"/>
      <c r="V67" s="644"/>
      <c r="W67" s="644"/>
      <c r="X67" s="644"/>
      <c r="Y67" s="644"/>
      <c r="Z67" s="645"/>
    </row>
    <row r="68" spans="1:26" s="610" customFormat="1" ht="12.75">
      <c r="A68" s="596"/>
      <c r="B68" s="789"/>
      <c r="C68" s="789"/>
      <c r="D68" s="644"/>
      <c r="E68" s="644"/>
      <c r="F68" s="644"/>
      <c r="G68" s="644"/>
      <c r="H68" s="644"/>
      <c r="I68" s="644"/>
      <c r="J68" s="788"/>
      <c r="K68" s="788"/>
      <c r="L68" s="644"/>
      <c r="M68" s="644"/>
      <c r="N68" s="644"/>
      <c r="O68" s="644"/>
      <c r="P68" s="644"/>
      <c r="Q68" s="644"/>
      <c r="R68" s="644"/>
      <c r="S68" s="644"/>
      <c r="T68" s="644"/>
      <c r="U68" s="644"/>
      <c r="V68" s="644"/>
      <c r="W68" s="644"/>
      <c r="X68" s="644"/>
      <c r="Y68" s="644"/>
      <c r="Z68" s="645"/>
    </row>
    <row r="69" spans="1:26" s="610" customFormat="1" ht="12.75">
      <c r="A69" s="596"/>
      <c r="B69" s="789"/>
      <c r="C69" s="789"/>
      <c r="D69" s="644"/>
      <c r="E69" s="644"/>
      <c r="F69" s="644"/>
      <c r="G69" s="644"/>
      <c r="H69" s="644"/>
      <c r="I69" s="644"/>
      <c r="J69" s="788"/>
      <c r="K69" s="788"/>
      <c r="L69" s="644"/>
      <c r="M69" s="644"/>
      <c r="N69" s="644"/>
      <c r="O69" s="644"/>
      <c r="P69" s="644"/>
      <c r="Q69" s="644"/>
      <c r="R69" s="644"/>
      <c r="S69" s="644"/>
      <c r="T69" s="644"/>
      <c r="U69" s="644"/>
      <c r="V69" s="644"/>
      <c r="W69" s="644"/>
      <c r="X69" s="644"/>
      <c r="Y69" s="644"/>
      <c r="Z69" s="645"/>
    </row>
    <row r="70" spans="1:26" s="610" customFormat="1" ht="12.75">
      <c r="A70" s="596"/>
      <c r="B70" s="789"/>
      <c r="C70" s="789"/>
      <c r="D70" s="644"/>
      <c r="E70" s="644"/>
      <c r="F70" s="644"/>
      <c r="G70" s="644"/>
      <c r="H70" s="644"/>
      <c r="I70" s="644"/>
      <c r="J70" s="788"/>
      <c r="K70" s="788"/>
      <c r="L70" s="644"/>
      <c r="M70" s="644"/>
      <c r="N70" s="644"/>
      <c r="O70" s="644"/>
      <c r="P70" s="644"/>
      <c r="Q70" s="644"/>
      <c r="R70" s="644"/>
      <c r="S70" s="644"/>
      <c r="T70" s="644"/>
      <c r="U70" s="644"/>
      <c r="V70" s="644"/>
      <c r="W70" s="644"/>
      <c r="X70" s="644"/>
      <c r="Y70" s="644"/>
      <c r="Z70" s="645"/>
    </row>
    <row r="71" spans="1:26" s="610" customFormat="1" ht="12.75">
      <c r="A71" s="596"/>
      <c r="B71" s="789"/>
      <c r="C71" s="789"/>
      <c r="D71" s="644"/>
      <c r="E71" s="644"/>
      <c r="F71" s="644"/>
      <c r="G71" s="644"/>
      <c r="H71" s="644"/>
      <c r="I71" s="644"/>
      <c r="J71" s="788"/>
      <c r="K71" s="788"/>
      <c r="L71" s="644"/>
      <c r="M71" s="644"/>
      <c r="N71" s="644"/>
      <c r="O71" s="644"/>
      <c r="P71" s="644"/>
      <c r="Q71" s="644"/>
      <c r="R71" s="644"/>
      <c r="S71" s="644"/>
      <c r="T71" s="644"/>
      <c r="U71" s="644"/>
      <c r="V71" s="644"/>
      <c r="W71" s="644"/>
      <c r="X71" s="644"/>
      <c r="Y71" s="644"/>
      <c r="Z71" s="645"/>
    </row>
    <row r="72" spans="1:26" s="610" customFormat="1" ht="12.75">
      <c r="A72" s="596"/>
      <c r="B72" s="789"/>
      <c r="C72" s="789"/>
      <c r="D72" s="644"/>
      <c r="E72" s="644"/>
      <c r="F72" s="644"/>
      <c r="G72" s="644"/>
      <c r="H72" s="644"/>
      <c r="I72" s="644"/>
      <c r="J72" s="788"/>
      <c r="K72" s="788"/>
      <c r="L72" s="644"/>
      <c r="M72" s="644"/>
      <c r="N72" s="644"/>
      <c r="O72" s="644"/>
      <c r="P72" s="644"/>
      <c r="Q72" s="644"/>
      <c r="R72" s="644"/>
      <c r="S72" s="644"/>
      <c r="T72" s="644"/>
      <c r="U72" s="644"/>
      <c r="V72" s="644"/>
      <c r="W72" s="644"/>
      <c r="X72" s="644"/>
      <c r="Y72" s="644"/>
      <c r="Z72" s="645"/>
    </row>
    <row r="73" spans="1:26" s="610" customFormat="1" ht="12.75">
      <c r="A73" s="596"/>
      <c r="B73" s="789"/>
      <c r="C73" s="789"/>
      <c r="D73" s="644"/>
      <c r="E73" s="644"/>
      <c r="F73" s="644"/>
      <c r="G73" s="644"/>
      <c r="H73" s="644"/>
      <c r="I73" s="644"/>
      <c r="J73" s="788"/>
      <c r="K73" s="788"/>
      <c r="L73" s="644"/>
      <c r="M73" s="644"/>
      <c r="N73" s="644"/>
      <c r="O73" s="644"/>
      <c r="P73" s="644"/>
      <c r="Q73" s="644"/>
      <c r="R73" s="644"/>
      <c r="S73" s="644"/>
      <c r="T73" s="644"/>
      <c r="U73" s="644"/>
      <c r="V73" s="644"/>
      <c r="W73" s="644"/>
      <c r="X73" s="644"/>
      <c r="Y73" s="644"/>
      <c r="Z73" s="645"/>
    </row>
    <row r="74" spans="1:26" s="610" customFormat="1" ht="12.75">
      <c r="A74" s="596"/>
      <c r="B74" s="789"/>
      <c r="C74" s="789"/>
      <c r="D74" s="644"/>
      <c r="E74" s="644"/>
      <c r="F74" s="644"/>
      <c r="G74" s="644"/>
      <c r="H74" s="644"/>
      <c r="I74" s="644"/>
      <c r="J74" s="788"/>
      <c r="K74" s="788"/>
      <c r="L74" s="644"/>
      <c r="M74" s="644"/>
      <c r="N74" s="644"/>
      <c r="O74" s="644"/>
      <c r="P74" s="644"/>
      <c r="Q74" s="644"/>
      <c r="R74" s="644"/>
      <c r="S74" s="644"/>
      <c r="T74" s="644"/>
      <c r="U74" s="644"/>
      <c r="V74" s="644"/>
      <c r="W74" s="644"/>
      <c r="X74" s="644"/>
      <c r="Y74" s="644"/>
      <c r="Z74" s="645"/>
    </row>
    <row r="75" spans="1:26" s="610" customFormat="1" ht="12.75">
      <c r="A75" s="596"/>
      <c r="B75" s="789"/>
      <c r="C75" s="789"/>
      <c r="D75" s="644"/>
      <c r="E75" s="644"/>
      <c r="F75" s="644"/>
      <c r="G75" s="644"/>
      <c r="H75" s="644"/>
      <c r="I75" s="644"/>
      <c r="J75" s="788"/>
      <c r="K75" s="788"/>
      <c r="L75" s="644"/>
      <c r="M75" s="644"/>
      <c r="N75" s="644"/>
      <c r="O75" s="644"/>
      <c r="P75" s="644"/>
      <c r="Q75" s="644"/>
      <c r="R75" s="644"/>
      <c r="S75" s="644"/>
      <c r="T75" s="644"/>
      <c r="U75" s="644"/>
      <c r="V75" s="644"/>
      <c r="W75" s="644"/>
      <c r="X75" s="644"/>
      <c r="Y75" s="644"/>
      <c r="Z75" s="645"/>
    </row>
    <row r="76" spans="1:26" s="610" customFormat="1" ht="12.75">
      <c r="A76" s="596"/>
      <c r="B76" s="789"/>
      <c r="C76" s="789"/>
      <c r="D76" s="644"/>
      <c r="E76" s="644"/>
      <c r="F76" s="644"/>
      <c r="G76" s="644"/>
      <c r="H76" s="644"/>
      <c r="I76" s="644"/>
      <c r="J76" s="788"/>
      <c r="K76" s="788"/>
      <c r="L76" s="644"/>
      <c r="M76" s="644"/>
      <c r="N76" s="644"/>
      <c r="O76" s="644"/>
      <c r="P76" s="644"/>
      <c r="Q76" s="644"/>
      <c r="R76" s="644"/>
      <c r="S76" s="644"/>
      <c r="T76" s="644"/>
      <c r="U76" s="644"/>
      <c r="V76" s="644"/>
      <c r="W76" s="644"/>
      <c r="X76" s="644"/>
      <c r="Y76" s="644"/>
      <c r="Z76" s="645"/>
    </row>
    <row r="77" spans="1:26" s="610" customFormat="1" ht="12.75">
      <c r="A77" s="596"/>
      <c r="B77" s="789"/>
      <c r="C77" s="789"/>
      <c r="D77" s="644"/>
      <c r="E77" s="644"/>
      <c r="F77" s="644"/>
      <c r="G77" s="644"/>
      <c r="H77" s="644"/>
      <c r="I77" s="644"/>
      <c r="J77" s="788"/>
      <c r="K77" s="788"/>
      <c r="L77" s="644"/>
      <c r="M77" s="644"/>
      <c r="N77" s="644"/>
      <c r="O77" s="644"/>
      <c r="P77" s="644"/>
      <c r="Q77" s="644"/>
      <c r="R77" s="644"/>
      <c r="S77" s="644"/>
      <c r="T77" s="644"/>
      <c r="U77" s="644"/>
      <c r="V77" s="644"/>
      <c r="W77" s="644"/>
      <c r="X77" s="644"/>
      <c r="Y77" s="644"/>
      <c r="Z77" s="645"/>
    </row>
    <row r="78" spans="1:26" s="610" customFormat="1" ht="12.75">
      <c r="A78" s="596"/>
      <c r="B78" s="789"/>
      <c r="C78" s="789"/>
      <c r="D78" s="644"/>
      <c r="E78" s="644"/>
      <c r="F78" s="644"/>
      <c r="G78" s="644"/>
      <c r="H78" s="644"/>
      <c r="I78" s="644"/>
      <c r="J78" s="788"/>
      <c r="K78" s="788"/>
      <c r="L78" s="644"/>
      <c r="M78" s="644"/>
      <c r="N78" s="644"/>
      <c r="O78" s="644"/>
      <c r="P78" s="644"/>
      <c r="Q78" s="644"/>
      <c r="R78" s="644"/>
      <c r="S78" s="644"/>
      <c r="T78" s="644"/>
      <c r="U78" s="644"/>
      <c r="V78" s="644"/>
      <c r="W78" s="644"/>
      <c r="X78" s="644"/>
      <c r="Y78" s="644"/>
      <c r="Z78" s="645"/>
    </row>
    <row r="79" spans="1:26" s="610" customFormat="1" ht="12.75">
      <c r="A79" s="596"/>
      <c r="B79" s="789"/>
      <c r="C79" s="789"/>
      <c r="D79" s="644"/>
      <c r="E79" s="644"/>
      <c r="F79" s="644"/>
      <c r="G79" s="644"/>
      <c r="H79" s="644"/>
      <c r="I79" s="644"/>
      <c r="J79" s="788"/>
      <c r="K79" s="788"/>
      <c r="L79" s="644"/>
      <c r="M79" s="644"/>
      <c r="N79" s="644"/>
      <c r="O79" s="644"/>
      <c r="P79" s="644"/>
      <c r="Q79" s="644"/>
      <c r="R79" s="644"/>
      <c r="S79" s="644"/>
      <c r="T79" s="644"/>
      <c r="U79" s="644"/>
      <c r="V79" s="644"/>
      <c r="W79" s="644"/>
      <c r="X79" s="644"/>
      <c r="Y79" s="644"/>
      <c r="Z79" s="645"/>
    </row>
    <row r="80" spans="1:26" s="610" customFormat="1" ht="12.75">
      <c r="A80" s="596"/>
      <c r="B80" s="789"/>
      <c r="C80" s="789"/>
      <c r="D80" s="644"/>
      <c r="E80" s="644"/>
      <c r="F80" s="644"/>
      <c r="G80" s="644"/>
      <c r="H80" s="644"/>
      <c r="I80" s="644"/>
      <c r="J80" s="788"/>
      <c r="K80" s="788"/>
      <c r="L80" s="644"/>
      <c r="M80" s="644"/>
      <c r="N80" s="644"/>
      <c r="O80" s="644"/>
      <c r="P80" s="644"/>
      <c r="Q80" s="644"/>
      <c r="R80" s="644"/>
      <c r="S80" s="644"/>
      <c r="T80" s="644"/>
      <c r="U80" s="644"/>
      <c r="V80" s="644"/>
      <c r="W80" s="644"/>
      <c r="X80" s="644"/>
      <c r="Y80" s="644"/>
      <c r="Z80" s="645"/>
    </row>
    <row r="81" spans="1:27" s="610" customFormat="1" ht="12.75">
      <c r="A81" s="596"/>
      <c r="B81" s="789"/>
      <c r="C81" s="789"/>
      <c r="D81" s="644"/>
      <c r="E81" s="644"/>
      <c r="F81" s="644"/>
      <c r="G81" s="644"/>
      <c r="H81" s="644"/>
      <c r="I81" s="644"/>
      <c r="J81" s="788"/>
      <c r="K81" s="788"/>
      <c r="L81" s="644"/>
      <c r="M81" s="644"/>
      <c r="N81" s="644"/>
      <c r="O81" s="644"/>
      <c r="P81" s="644"/>
      <c r="Q81" s="644"/>
      <c r="R81" s="644"/>
      <c r="S81" s="644"/>
      <c r="T81" s="644"/>
      <c r="U81" s="644"/>
      <c r="V81" s="644"/>
      <c r="W81" s="644"/>
      <c r="X81" s="644"/>
      <c r="Y81" s="644"/>
      <c r="Z81" s="645"/>
    </row>
    <row r="82" spans="1:27" s="610" customFormat="1" ht="12.75">
      <c r="A82" s="596"/>
      <c r="B82" s="789"/>
      <c r="C82" s="789"/>
      <c r="D82" s="644"/>
      <c r="E82" s="644"/>
      <c r="F82" s="644"/>
      <c r="G82" s="644"/>
      <c r="H82" s="644"/>
      <c r="I82" s="644"/>
      <c r="J82" s="788"/>
      <c r="K82" s="788"/>
      <c r="L82" s="644"/>
      <c r="M82" s="644"/>
      <c r="N82" s="644"/>
      <c r="O82" s="644"/>
      <c r="P82" s="644"/>
      <c r="Q82" s="644"/>
      <c r="R82" s="644"/>
      <c r="S82" s="644"/>
      <c r="T82" s="644"/>
      <c r="U82" s="644"/>
      <c r="V82" s="644"/>
      <c r="W82" s="644"/>
      <c r="X82" s="644"/>
      <c r="Y82" s="644"/>
      <c r="Z82" s="645"/>
    </row>
    <row r="83" spans="1:27" s="610" customFormat="1" ht="12.75">
      <c r="A83" s="596"/>
      <c r="B83" s="789"/>
      <c r="C83" s="789"/>
      <c r="D83" s="644"/>
      <c r="E83" s="644"/>
      <c r="F83" s="644"/>
      <c r="G83" s="644"/>
      <c r="H83" s="644"/>
      <c r="I83" s="644"/>
      <c r="J83" s="788"/>
      <c r="K83" s="788"/>
      <c r="L83" s="644"/>
      <c r="M83" s="644"/>
      <c r="N83" s="644"/>
      <c r="O83" s="644"/>
      <c r="P83" s="644"/>
      <c r="Q83" s="644"/>
      <c r="R83" s="644"/>
      <c r="S83" s="644"/>
      <c r="T83" s="644"/>
      <c r="U83" s="644"/>
      <c r="V83" s="644"/>
      <c r="W83" s="644"/>
      <c r="X83" s="644"/>
      <c r="Y83" s="644"/>
      <c r="Z83" s="645"/>
    </row>
    <row r="84" spans="1:27" s="610" customFormat="1" ht="12.75">
      <c r="A84" s="596"/>
      <c r="B84" s="789"/>
      <c r="C84" s="789"/>
      <c r="D84" s="644"/>
      <c r="E84" s="644"/>
      <c r="F84" s="644"/>
      <c r="G84" s="644"/>
      <c r="H84" s="644"/>
      <c r="I84" s="644"/>
      <c r="J84" s="788"/>
      <c r="K84" s="788"/>
      <c r="L84" s="644"/>
      <c r="M84" s="644"/>
      <c r="N84" s="644"/>
      <c r="O84" s="644"/>
      <c r="P84" s="644"/>
      <c r="Q84" s="644"/>
      <c r="R84" s="644"/>
      <c r="S84" s="644"/>
      <c r="T84" s="644"/>
      <c r="U84" s="644"/>
      <c r="V84" s="644"/>
      <c r="W84" s="644"/>
      <c r="X84" s="644"/>
      <c r="Y84" s="644"/>
      <c r="Z84" s="645"/>
    </row>
    <row r="85" spans="1:27" s="610" customFormat="1" ht="12.75">
      <c r="A85" s="596"/>
      <c r="B85" s="789"/>
      <c r="C85" s="789"/>
      <c r="D85" s="644"/>
      <c r="E85" s="644"/>
      <c r="F85" s="644"/>
      <c r="G85" s="644"/>
      <c r="H85" s="644"/>
      <c r="I85" s="644"/>
      <c r="J85" s="788"/>
      <c r="K85" s="788"/>
      <c r="L85" s="644"/>
      <c r="M85" s="644"/>
      <c r="N85" s="644"/>
      <c r="O85" s="644"/>
      <c r="P85" s="644"/>
      <c r="Q85" s="644"/>
      <c r="R85" s="644"/>
      <c r="S85" s="644"/>
      <c r="T85" s="644"/>
      <c r="U85" s="644"/>
      <c r="V85" s="644"/>
      <c r="W85" s="644"/>
      <c r="X85" s="644"/>
      <c r="Y85" s="644"/>
      <c r="Z85" s="645"/>
    </row>
    <row r="86" spans="1:27" s="610" customFormat="1" ht="12.75">
      <c r="A86" s="596"/>
      <c r="B86" s="789"/>
      <c r="C86" s="789"/>
      <c r="D86" s="644"/>
      <c r="E86" s="644"/>
      <c r="F86" s="644"/>
      <c r="G86" s="644"/>
      <c r="H86" s="644"/>
      <c r="I86" s="644"/>
      <c r="J86" s="788"/>
      <c r="K86" s="788"/>
      <c r="L86" s="644"/>
      <c r="M86" s="644"/>
      <c r="N86" s="644"/>
      <c r="O86" s="644"/>
      <c r="P86" s="644"/>
      <c r="Q86" s="644"/>
      <c r="R86" s="644"/>
      <c r="S86" s="644"/>
      <c r="T86" s="644"/>
      <c r="U86" s="644"/>
      <c r="V86" s="644"/>
      <c r="W86" s="644"/>
      <c r="X86" s="644"/>
      <c r="Y86" s="644"/>
      <c r="Z86" s="645"/>
    </row>
    <row r="87" spans="1:27" s="610" customFormat="1" ht="12.75">
      <c r="A87" s="596"/>
      <c r="B87" s="789"/>
      <c r="C87" s="789"/>
      <c r="D87" s="644"/>
      <c r="E87" s="644"/>
      <c r="F87" s="644"/>
      <c r="G87" s="644"/>
      <c r="H87" s="644"/>
      <c r="I87" s="644"/>
      <c r="J87" s="788"/>
      <c r="K87" s="788"/>
      <c r="L87" s="644"/>
      <c r="M87" s="644"/>
      <c r="N87" s="644"/>
      <c r="O87" s="644"/>
      <c r="P87" s="644"/>
      <c r="Q87" s="644"/>
      <c r="R87" s="644"/>
      <c r="S87" s="644"/>
      <c r="T87" s="644"/>
      <c r="U87" s="644"/>
      <c r="V87" s="644"/>
      <c r="W87" s="644"/>
      <c r="X87" s="644"/>
      <c r="Y87" s="644"/>
      <c r="Z87" s="645"/>
    </row>
    <row r="88" spans="1:27" s="610" customFormat="1" ht="12.75">
      <c r="A88" s="596"/>
      <c r="B88" s="789"/>
      <c r="C88" s="789"/>
      <c r="D88" s="644"/>
      <c r="E88" s="644"/>
      <c r="F88" s="644"/>
      <c r="G88" s="644"/>
      <c r="H88" s="644"/>
      <c r="I88" s="644"/>
      <c r="J88" s="788"/>
      <c r="K88" s="788"/>
      <c r="L88" s="644"/>
      <c r="M88" s="644"/>
      <c r="N88" s="644"/>
      <c r="O88" s="644"/>
      <c r="P88" s="644"/>
      <c r="Q88" s="644"/>
      <c r="R88" s="644"/>
      <c r="S88" s="644"/>
      <c r="T88" s="644"/>
      <c r="U88" s="644"/>
      <c r="V88" s="644"/>
      <c r="W88" s="644"/>
      <c r="X88" s="644"/>
      <c r="Y88" s="644"/>
      <c r="Z88" s="645"/>
    </row>
    <row r="89" spans="1:27" s="577" customFormat="1">
      <c r="A89" s="597" t="s">
        <v>280</v>
      </c>
      <c r="B89" s="598"/>
      <c r="C89" s="598"/>
      <c r="D89" s="598"/>
      <c r="E89" s="598"/>
      <c r="F89" s="598"/>
      <c r="G89" s="598"/>
      <c r="H89" s="598"/>
      <c r="I89" s="598"/>
      <c r="J89" s="598"/>
      <c r="K89" s="598"/>
      <c r="L89" s="599"/>
      <c r="M89" s="599">
        <f>SUM(M64:M88)</f>
        <v>3760</v>
      </c>
      <c r="N89" s="599">
        <f t="shared" ref="N89:W89" si="5">SUM(N64:N88)</f>
        <v>16920</v>
      </c>
      <c r="O89" s="599">
        <f t="shared" si="5"/>
        <v>0</v>
      </c>
      <c r="P89" s="599">
        <f t="shared" si="5"/>
        <v>0</v>
      </c>
      <c r="Q89" s="599">
        <f t="shared" si="5"/>
        <v>44331.42857142858</v>
      </c>
      <c r="R89" s="599">
        <f t="shared" si="5"/>
        <v>4011.4285714285716</v>
      </c>
      <c r="S89" s="599">
        <f t="shared" si="5"/>
        <v>0</v>
      </c>
      <c r="T89" s="599">
        <f t="shared" si="5"/>
        <v>0</v>
      </c>
      <c r="U89" s="599">
        <f t="shared" si="5"/>
        <v>0</v>
      </c>
      <c r="V89" s="599">
        <f t="shared" si="5"/>
        <v>0</v>
      </c>
      <c r="W89" s="599">
        <f t="shared" si="5"/>
        <v>0</v>
      </c>
      <c r="X89" s="600"/>
      <c r="Y89" s="600"/>
      <c r="Z89" s="601"/>
    </row>
    <row r="90" spans="1:27" s="577" customFormat="1">
      <c r="A90" s="597" t="s">
        <v>287</v>
      </c>
      <c r="B90" s="598"/>
      <c r="C90" s="598"/>
      <c r="D90" s="598"/>
      <c r="E90" s="598"/>
      <c r="F90" s="598"/>
      <c r="G90" s="598"/>
      <c r="H90" s="598"/>
      <c r="I90" s="598"/>
      <c r="J90" s="598"/>
      <c r="K90" s="598"/>
      <c r="L90" s="599"/>
      <c r="M90" s="599">
        <f t="shared" ref="M90:W90" si="6">SUMIF($Z$64:$Z$88,"industrie",M64:M88)</f>
        <v>0</v>
      </c>
      <c r="N90" s="599">
        <f t="shared" si="6"/>
        <v>0</v>
      </c>
      <c r="O90" s="599">
        <f t="shared" si="6"/>
        <v>0</v>
      </c>
      <c r="P90" s="599">
        <f t="shared" si="6"/>
        <v>0</v>
      </c>
      <c r="Q90" s="599">
        <f t="shared" si="6"/>
        <v>0</v>
      </c>
      <c r="R90" s="599">
        <f t="shared" si="6"/>
        <v>0</v>
      </c>
      <c r="S90" s="599">
        <f t="shared" si="6"/>
        <v>0</v>
      </c>
      <c r="T90" s="599">
        <f t="shared" si="6"/>
        <v>0</v>
      </c>
      <c r="U90" s="599">
        <f t="shared" si="6"/>
        <v>0</v>
      </c>
      <c r="V90" s="599">
        <f t="shared" si="6"/>
        <v>0</v>
      </c>
      <c r="W90" s="599">
        <f t="shared" si="6"/>
        <v>0</v>
      </c>
      <c r="X90" s="600"/>
      <c r="Y90" s="600"/>
      <c r="Z90" s="601"/>
    </row>
    <row r="91" spans="1:27" s="577" customFormat="1">
      <c r="A91" s="597" t="s">
        <v>288</v>
      </c>
      <c r="B91" s="598"/>
      <c r="C91" s="598"/>
      <c r="D91" s="598"/>
      <c r="E91" s="598"/>
      <c r="F91" s="598"/>
      <c r="G91" s="598"/>
      <c r="H91" s="598"/>
      <c r="I91" s="598"/>
      <c r="J91" s="598"/>
      <c r="K91" s="598"/>
      <c r="L91" s="599"/>
      <c r="M91" s="599">
        <f t="shared" ref="M91:W91" si="7">SUMIF($Z$64:$Z$89,"tertiair",M64:M89)</f>
        <v>3760</v>
      </c>
      <c r="N91" s="599">
        <f t="shared" si="7"/>
        <v>16920</v>
      </c>
      <c r="O91" s="599">
        <f t="shared" si="7"/>
        <v>0</v>
      </c>
      <c r="P91" s="599">
        <f t="shared" si="7"/>
        <v>0</v>
      </c>
      <c r="Q91" s="599">
        <f t="shared" si="7"/>
        <v>44331.42857142858</v>
      </c>
      <c r="R91" s="599">
        <f t="shared" si="7"/>
        <v>4011.4285714285716</v>
      </c>
      <c r="S91" s="599">
        <f t="shared" si="7"/>
        <v>0</v>
      </c>
      <c r="T91" s="599">
        <f t="shared" si="7"/>
        <v>0</v>
      </c>
      <c r="U91" s="599">
        <f t="shared" si="7"/>
        <v>0</v>
      </c>
      <c r="V91" s="599">
        <f t="shared" si="7"/>
        <v>0</v>
      </c>
      <c r="W91" s="599">
        <f t="shared" si="7"/>
        <v>0</v>
      </c>
      <c r="X91" s="600"/>
      <c r="Y91" s="600"/>
      <c r="Z91" s="601"/>
    </row>
    <row r="92" spans="1:27" s="577" customFormat="1" ht="15.75" thickBot="1">
      <c r="A92" s="602" t="s">
        <v>289</v>
      </c>
      <c r="B92" s="603"/>
      <c r="C92" s="603"/>
      <c r="D92" s="603"/>
      <c r="E92" s="603"/>
      <c r="F92" s="603"/>
      <c r="G92" s="603"/>
      <c r="H92" s="603"/>
      <c r="I92" s="603"/>
      <c r="J92" s="603"/>
      <c r="K92" s="603"/>
      <c r="L92" s="604"/>
      <c r="M92" s="604">
        <f t="shared" ref="M92:W92" si="8">SUMIF($Z$64:$Z$90,"landbouw",M64:M90)</f>
        <v>0</v>
      </c>
      <c r="N92" s="604">
        <f t="shared" si="8"/>
        <v>0</v>
      </c>
      <c r="O92" s="604">
        <f t="shared" si="8"/>
        <v>0</v>
      </c>
      <c r="P92" s="604">
        <f t="shared" si="8"/>
        <v>0</v>
      </c>
      <c r="Q92" s="604">
        <f t="shared" si="8"/>
        <v>0</v>
      </c>
      <c r="R92" s="604">
        <f t="shared" si="8"/>
        <v>0</v>
      </c>
      <c r="S92" s="604">
        <f t="shared" si="8"/>
        <v>0</v>
      </c>
      <c r="T92" s="604">
        <f t="shared" si="8"/>
        <v>0</v>
      </c>
      <c r="U92" s="604">
        <f t="shared" si="8"/>
        <v>0</v>
      </c>
      <c r="V92" s="604">
        <f t="shared" si="8"/>
        <v>0</v>
      </c>
      <c r="W92" s="604">
        <f t="shared" si="8"/>
        <v>0</v>
      </c>
      <c r="X92" s="605"/>
      <c r="Y92" s="605"/>
      <c r="Z92" s="606"/>
    </row>
    <row r="93" spans="1:27" s="611" customFormat="1">
      <c r="A93" s="607"/>
      <c r="B93" s="591"/>
      <c r="C93" s="591"/>
      <c r="D93" s="591"/>
      <c r="E93" s="591"/>
      <c r="F93" s="591"/>
      <c r="G93" s="591"/>
      <c r="H93" s="591"/>
      <c r="I93" s="591"/>
      <c r="J93" s="591"/>
      <c r="K93" s="591"/>
      <c r="L93" s="591"/>
      <c r="M93" s="591"/>
      <c r="N93" s="591"/>
      <c r="O93" s="591"/>
      <c r="P93" s="591"/>
      <c r="Q93" s="591"/>
      <c r="R93" s="591"/>
      <c r="S93" s="591"/>
      <c r="T93" s="591"/>
      <c r="U93" s="591"/>
      <c r="V93" s="591"/>
      <c r="W93" s="591"/>
      <c r="X93" s="591"/>
      <c r="Y93" s="591"/>
    </row>
    <row r="94" spans="1:27" s="611" customFormat="1" ht="15.75" thickBot="1">
      <c r="A94" s="607"/>
      <c r="B94" s="591"/>
      <c r="C94" s="591"/>
      <c r="D94" s="591"/>
      <c r="E94" s="591"/>
      <c r="F94" s="591"/>
      <c r="G94" s="591"/>
      <c r="H94" s="591"/>
      <c r="I94" s="591"/>
      <c r="J94" s="591"/>
      <c r="K94" s="591"/>
      <c r="L94" s="591"/>
      <c r="M94" s="591"/>
      <c r="N94" s="591"/>
      <c r="O94" s="591"/>
      <c r="P94" s="591"/>
      <c r="Q94" s="591"/>
      <c r="R94" s="591"/>
      <c r="S94" s="591"/>
      <c r="T94" s="591"/>
      <c r="U94" s="591"/>
      <c r="V94" s="591"/>
      <c r="W94" s="591"/>
      <c r="X94" s="591"/>
      <c r="Y94" s="591"/>
      <c r="Z94" s="591"/>
      <c r="AA94" s="591"/>
    </row>
    <row r="95" spans="1:27">
      <c r="A95" s="612" t="s">
        <v>282</v>
      </c>
      <c r="B95" s="613"/>
      <c r="C95" s="613"/>
      <c r="D95" s="613"/>
      <c r="E95" s="613"/>
      <c r="F95" s="613"/>
      <c r="G95" s="613"/>
      <c r="H95" s="613"/>
      <c r="I95" s="614"/>
      <c r="J95" s="615"/>
      <c r="K95" s="615"/>
      <c r="L95" s="616"/>
      <c r="M95" s="616"/>
      <c r="N95" s="616"/>
      <c r="O95" s="616"/>
      <c r="P95" s="616"/>
    </row>
    <row r="96" spans="1:27">
      <c r="A96" s="618"/>
      <c r="B96" s="608"/>
      <c r="C96" s="608"/>
      <c r="D96" s="608"/>
      <c r="E96" s="608"/>
      <c r="F96" s="608"/>
      <c r="G96" s="608"/>
      <c r="H96" s="608"/>
      <c r="I96" s="619"/>
      <c r="J96" s="608"/>
      <c r="K96" s="608"/>
      <c r="L96" s="616"/>
      <c r="M96" s="616"/>
      <c r="N96" s="616"/>
      <c r="O96" s="616"/>
      <c r="P96" s="616"/>
    </row>
    <row r="97" spans="1:16">
      <c r="A97" s="620"/>
      <c r="B97" s="621" t="s">
        <v>283</v>
      </c>
      <c r="C97" s="621" t="s">
        <v>284</v>
      </c>
      <c r="D97" s="621"/>
      <c r="E97" s="621"/>
      <c r="F97" s="621"/>
      <c r="G97" s="621"/>
      <c r="H97" s="621"/>
      <c r="I97" s="622"/>
      <c r="J97" s="621"/>
      <c r="K97" s="621"/>
      <c r="L97" s="621"/>
      <c r="M97" s="621"/>
      <c r="N97" s="621"/>
      <c r="O97" s="621"/>
      <c r="P97" s="616"/>
    </row>
    <row r="98" spans="1:16">
      <c r="A98" s="618" t="s">
        <v>280</v>
      </c>
      <c r="B98" s="623">
        <f>IF(ISERROR(O58/(O58+N58)),0,O58/(O58+N58))</f>
        <v>0.58875145214413271</v>
      </c>
      <c r="C98" s="624">
        <f>IF(ISERROR(N58/(O58+N58)),0,N58/(N58+O58))</f>
        <v>0.4112485478558674</v>
      </c>
      <c r="D98" s="591"/>
      <c r="E98" s="591"/>
      <c r="F98" s="591"/>
      <c r="G98" s="591"/>
      <c r="H98" s="591"/>
      <c r="I98" s="625"/>
      <c r="J98" s="591"/>
      <c r="K98" s="591"/>
      <c r="L98" s="626"/>
      <c r="M98" s="626"/>
      <c r="N98" s="626"/>
      <c r="O98" s="626"/>
      <c r="P98" s="616"/>
    </row>
    <row r="99" spans="1:16">
      <c r="A99" s="618"/>
      <c r="B99" s="627"/>
      <c r="C99" s="627"/>
      <c r="D99" s="627"/>
      <c r="E99" s="627"/>
      <c r="F99" s="627"/>
      <c r="G99" s="627"/>
      <c r="H99" s="627"/>
      <c r="I99" s="628"/>
      <c r="J99" s="627"/>
      <c r="K99" s="627"/>
      <c r="L99" s="629"/>
      <c r="M99" s="629"/>
      <c r="N99" s="629"/>
      <c r="O99" s="629"/>
      <c r="P99" s="616"/>
    </row>
    <row r="100" spans="1:16" ht="30">
      <c r="A100" s="630"/>
      <c r="B100" s="631" t="s">
        <v>552</v>
      </c>
      <c r="C100" s="631" t="s">
        <v>103</v>
      </c>
      <c r="D100" s="631" t="s">
        <v>104</v>
      </c>
      <c r="E100" s="631" t="s">
        <v>105</v>
      </c>
      <c r="F100" s="631" t="s">
        <v>106</v>
      </c>
      <c r="G100" s="631" t="s">
        <v>107</v>
      </c>
      <c r="H100" s="631" t="s">
        <v>108</v>
      </c>
      <c r="I100" s="632" t="s">
        <v>109</v>
      </c>
      <c r="J100" s="621"/>
      <c r="K100" s="621"/>
      <c r="L100" s="629"/>
      <c r="M100" s="629"/>
      <c r="N100" s="629"/>
      <c r="O100" s="616"/>
      <c r="P100" s="616"/>
    </row>
    <row r="101" spans="1:16">
      <c r="A101" s="620" t="s">
        <v>285</v>
      </c>
      <c r="B101" s="633">
        <f t="shared" ref="B101:I101" si="9">$C$98*P58</f>
        <v>6193.4031307093637</v>
      </c>
      <c r="C101" s="633">
        <f t="shared" si="9"/>
        <v>8.9366445805172745</v>
      </c>
      <c r="D101" s="633">
        <f t="shared" si="9"/>
        <v>0</v>
      </c>
      <c r="E101" s="633">
        <f t="shared" si="9"/>
        <v>0</v>
      </c>
      <c r="F101" s="633">
        <f t="shared" si="9"/>
        <v>0</v>
      </c>
      <c r="G101" s="633">
        <f t="shared" si="9"/>
        <v>0</v>
      </c>
      <c r="H101" s="633">
        <f t="shared" si="9"/>
        <v>0</v>
      </c>
      <c r="I101" s="634">
        <f t="shared" si="9"/>
        <v>0</v>
      </c>
      <c r="J101" s="591"/>
      <c r="K101" s="591"/>
      <c r="L101" s="629"/>
      <c r="M101" s="629"/>
      <c r="N101" s="629"/>
      <c r="O101" s="616"/>
      <c r="P101" s="616"/>
    </row>
    <row r="102" spans="1:16" ht="15.75" thickBot="1">
      <c r="A102" s="635" t="s">
        <v>286</v>
      </c>
      <c r="B102" s="636">
        <f t="shared" ref="B102:I102" si="10">$B$98*P58</f>
        <v>8866.596869290639</v>
      </c>
      <c r="C102" s="636">
        <f t="shared" si="10"/>
        <v>12.793874900002209</v>
      </c>
      <c r="D102" s="636">
        <f t="shared" si="10"/>
        <v>0</v>
      </c>
      <c r="E102" s="636">
        <f t="shared" si="10"/>
        <v>0</v>
      </c>
      <c r="F102" s="636">
        <f t="shared" si="10"/>
        <v>0</v>
      </c>
      <c r="G102" s="636">
        <f t="shared" si="10"/>
        <v>0</v>
      </c>
      <c r="H102" s="636">
        <f t="shared" si="10"/>
        <v>0</v>
      </c>
      <c r="I102" s="637">
        <f t="shared" si="10"/>
        <v>0</v>
      </c>
      <c r="J102" s="591"/>
      <c r="K102" s="591"/>
      <c r="L102" s="629"/>
      <c r="M102" s="629"/>
      <c r="N102" s="629"/>
      <c r="O102" s="616"/>
      <c r="P102" s="616"/>
    </row>
    <row r="103" spans="1:16">
      <c r="J103" s="575"/>
      <c r="K103" s="575"/>
      <c r="L103" s="575"/>
      <c r="M103" s="575"/>
      <c r="N103" s="575"/>
    </row>
    <row r="104" spans="1:16">
      <c r="J104" s="575"/>
      <c r="K104" s="575"/>
      <c r="L104" s="575"/>
      <c r="M104" s="575"/>
      <c r="N104" s="575"/>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sheetPr codeName="Sheet28">
    <tabColor theme="9"/>
  </sheetPr>
  <dimension ref="A1:I26"/>
  <sheetViews>
    <sheetView showGridLines="0" topLeftCell="F13" workbookViewId="0">
      <selection activeCell="J13" sqref="J13:L26"/>
    </sheetView>
  </sheetViews>
  <sheetFormatPr defaultRowHeight="15"/>
  <cols>
    <col min="1" max="1" width="42.85546875" bestFit="1" customWidth="1"/>
    <col min="2" max="2" width="32.7109375" bestFit="1" customWidth="1"/>
    <col min="3" max="3" width="100.28515625" customWidth="1"/>
    <col min="4" max="4" width="149.85546875" bestFit="1" customWidth="1"/>
    <col min="5" max="5" width="140.5703125" customWidth="1"/>
    <col min="6" max="6" width="57.7109375" bestFit="1" customWidth="1"/>
    <col min="7" max="7" width="12.5703125" bestFit="1" customWidth="1"/>
    <col min="8" max="8" width="36" bestFit="1" customWidth="1"/>
  </cols>
  <sheetData>
    <row r="1" spans="1:8" s="8" customFormat="1">
      <c r="A1" s="360" t="s">
        <v>424</v>
      </c>
      <c r="B1" s="360" t="s">
        <v>431</v>
      </c>
      <c r="C1" s="360" t="s">
        <v>430</v>
      </c>
      <c r="D1" s="360" t="s">
        <v>429</v>
      </c>
      <c r="E1" s="361" t="s">
        <v>425</v>
      </c>
      <c r="F1" s="362" t="s">
        <v>426</v>
      </c>
      <c r="G1" s="362" t="s">
        <v>427</v>
      </c>
      <c r="H1" s="362" t="s">
        <v>428</v>
      </c>
    </row>
    <row r="2" spans="1:8" s="12" customFormat="1">
      <c r="A2" s="917" t="s">
        <v>794</v>
      </c>
      <c r="B2" s="918" t="s">
        <v>795</v>
      </c>
      <c r="C2" s="917" t="s">
        <v>193</v>
      </c>
      <c r="D2" s="917" t="s">
        <v>796</v>
      </c>
      <c r="E2" s="919"/>
      <c r="F2" s="920" t="s">
        <v>797</v>
      </c>
      <c r="G2" s="920" t="s">
        <v>798</v>
      </c>
      <c r="H2" s="920" t="s">
        <v>799</v>
      </c>
    </row>
    <row r="3" spans="1:8" s="12" customFormat="1">
      <c r="A3" s="917" t="s">
        <v>803</v>
      </c>
      <c r="B3" s="921" t="s">
        <v>823</v>
      </c>
      <c r="C3" s="917" t="s">
        <v>193</v>
      </c>
      <c r="D3" s="917" t="s">
        <v>824</v>
      </c>
      <c r="E3" s="919"/>
      <c r="F3" s="923" t="s">
        <v>804</v>
      </c>
      <c r="G3" s="923" t="s">
        <v>805</v>
      </c>
      <c r="H3" s="354" t="s">
        <v>806</v>
      </c>
    </row>
    <row r="4" spans="1:8" s="12" customFormat="1">
      <c r="A4" s="917" t="s">
        <v>788</v>
      </c>
      <c r="B4" s="921" t="s">
        <v>795</v>
      </c>
      <c r="C4" s="917" t="s">
        <v>193</v>
      </c>
      <c r="D4" s="922" t="s">
        <v>807</v>
      </c>
      <c r="E4" s="919"/>
      <c r="F4" s="920" t="s">
        <v>797</v>
      </c>
      <c r="G4" s="920" t="s">
        <v>798</v>
      </c>
      <c r="H4" s="920" t="s">
        <v>799</v>
      </c>
    </row>
    <row r="5" spans="1:8" s="890" customFormat="1">
      <c r="A5" s="917" t="s">
        <v>417</v>
      </c>
      <c r="B5" s="928">
        <v>2013</v>
      </c>
      <c r="C5" s="917" t="s">
        <v>417</v>
      </c>
      <c r="D5" s="917" t="s">
        <v>822</v>
      </c>
      <c r="E5" s="919"/>
      <c r="F5" s="920" t="s">
        <v>800</v>
      </c>
      <c r="G5" s="920" t="s">
        <v>801</v>
      </c>
      <c r="H5" s="920" t="s">
        <v>802</v>
      </c>
    </row>
    <row r="6" spans="1:8">
      <c r="A6" s="350" t="s">
        <v>405</v>
      </c>
      <c r="B6" s="351" t="s">
        <v>672</v>
      </c>
      <c r="C6" s="350" t="s">
        <v>405</v>
      </c>
      <c r="D6" s="350" t="s">
        <v>673</v>
      </c>
      <c r="E6" s="352"/>
      <c r="F6" s="353" t="s">
        <v>407</v>
      </c>
      <c r="G6" s="353" t="s">
        <v>408</v>
      </c>
      <c r="H6" s="354" t="s">
        <v>409</v>
      </c>
    </row>
    <row r="7" spans="1:8">
      <c r="A7" s="350" t="s">
        <v>410</v>
      </c>
      <c r="B7" s="351" t="s">
        <v>675</v>
      </c>
      <c r="C7" s="350" t="s">
        <v>410</v>
      </c>
      <c r="D7" s="350" t="s">
        <v>674</v>
      </c>
      <c r="E7" s="352"/>
      <c r="F7" s="353" t="s">
        <v>412</v>
      </c>
      <c r="G7" s="353" t="s">
        <v>413</v>
      </c>
      <c r="H7" s="354" t="s">
        <v>411</v>
      </c>
    </row>
    <row r="8" spans="1:8">
      <c r="A8" s="355" t="s">
        <v>443</v>
      </c>
      <c r="B8" s="358" t="s">
        <v>444</v>
      </c>
      <c r="C8" s="355" t="s">
        <v>446</v>
      </c>
      <c r="D8" s="355" t="s">
        <v>442</v>
      </c>
      <c r="E8" s="352" t="s">
        <v>445</v>
      </c>
      <c r="F8" s="353"/>
      <c r="G8" s="353"/>
      <c r="H8" s="354"/>
    </row>
    <row r="9" spans="1:8" s="890" customFormat="1">
      <c r="A9" s="355" t="s">
        <v>808</v>
      </c>
      <c r="B9" s="793">
        <v>2012</v>
      </c>
      <c r="C9" s="355" t="s">
        <v>417</v>
      </c>
      <c r="D9" s="355" t="s">
        <v>809</v>
      </c>
      <c r="E9" s="924" t="s">
        <v>810</v>
      </c>
      <c r="F9" s="353"/>
      <c r="G9" s="353"/>
      <c r="H9" s="354"/>
    </row>
    <row r="10" spans="1:8" s="12" customFormat="1">
      <c r="A10" s="917" t="s">
        <v>841</v>
      </c>
      <c r="B10" s="921" t="s">
        <v>844</v>
      </c>
      <c r="C10" s="917" t="s">
        <v>843</v>
      </c>
      <c r="D10" s="917" t="s">
        <v>842</v>
      </c>
      <c r="E10" s="919" t="s">
        <v>840</v>
      </c>
      <c r="F10" s="923"/>
      <c r="G10" s="923"/>
      <c r="H10" s="354"/>
    </row>
    <row r="11" spans="1:8">
      <c r="A11" s="355" t="s">
        <v>646</v>
      </c>
      <c r="B11" s="351" t="s">
        <v>647</v>
      </c>
      <c r="C11" s="355" t="s">
        <v>651</v>
      </c>
      <c r="D11" s="355" t="s">
        <v>652</v>
      </c>
      <c r="E11" s="352"/>
      <c r="F11" s="353" t="s">
        <v>648</v>
      </c>
      <c r="G11" s="353" t="s">
        <v>649</v>
      </c>
      <c r="H11" s="354" t="s">
        <v>650</v>
      </c>
    </row>
    <row r="12" spans="1:8" s="890" customFormat="1">
      <c r="A12" s="917" t="s">
        <v>825</v>
      </c>
      <c r="B12" s="928">
        <v>2017</v>
      </c>
      <c r="C12" s="917" t="s">
        <v>436</v>
      </c>
      <c r="D12" s="917" t="s">
        <v>826</v>
      </c>
      <c r="E12" s="924"/>
      <c r="F12" s="923" t="s">
        <v>804</v>
      </c>
      <c r="G12" s="923" t="s">
        <v>805</v>
      </c>
      <c r="H12" s="354" t="s">
        <v>806</v>
      </c>
    </row>
    <row r="13" spans="1:8" s="11" customFormat="1">
      <c r="A13" s="355" t="s">
        <v>419</v>
      </c>
      <c r="B13" s="351" t="s">
        <v>435</v>
      </c>
      <c r="C13" s="350"/>
      <c r="D13" s="359" t="s">
        <v>434</v>
      </c>
      <c r="E13" s="352"/>
      <c r="F13" s="353"/>
      <c r="G13" s="353"/>
      <c r="H13" s="354"/>
    </row>
    <row r="14" spans="1:8">
      <c r="A14" s="350" t="s">
        <v>397</v>
      </c>
      <c r="B14" s="351" t="s">
        <v>403</v>
      </c>
      <c r="C14" s="350" t="s">
        <v>402</v>
      </c>
      <c r="D14" s="350" t="s">
        <v>404</v>
      </c>
      <c r="E14" s="357" t="s">
        <v>398</v>
      </c>
      <c r="F14" s="353" t="s">
        <v>399</v>
      </c>
      <c r="G14" s="353" t="s">
        <v>400</v>
      </c>
      <c r="H14" s="353" t="s">
        <v>401</v>
      </c>
    </row>
    <row r="15" spans="1:8">
      <c r="A15" s="350" t="s">
        <v>418</v>
      </c>
      <c r="B15" s="351" t="s">
        <v>406</v>
      </c>
      <c r="C15" s="350" t="s">
        <v>418</v>
      </c>
      <c r="D15" s="350" t="s">
        <v>432</v>
      </c>
      <c r="E15" s="352"/>
      <c r="F15" s="353" t="s">
        <v>857</v>
      </c>
      <c r="G15" s="353" t="s">
        <v>858</v>
      </c>
      <c r="H15" s="354" t="s">
        <v>859</v>
      </c>
    </row>
    <row r="16" spans="1:8" s="890" customFormat="1">
      <c r="A16" s="926" t="s">
        <v>815</v>
      </c>
      <c r="B16" s="927" t="s">
        <v>816</v>
      </c>
      <c r="C16" s="926" t="s">
        <v>817</v>
      </c>
      <c r="D16" s="926" t="s">
        <v>818</v>
      </c>
      <c r="E16" s="687"/>
      <c r="F16" s="923" t="s">
        <v>819</v>
      </c>
      <c r="G16" s="923" t="s">
        <v>820</v>
      </c>
      <c r="H16" s="354" t="s">
        <v>821</v>
      </c>
    </row>
    <row r="17" spans="1:9">
      <c r="A17" s="350" t="s">
        <v>524</v>
      </c>
      <c r="B17" s="351" t="s">
        <v>382</v>
      </c>
      <c r="C17" s="350" t="s">
        <v>380</v>
      </c>
      <c r="D17" s="359" t="s">
        <v>381</v>
      </c>
      <c r="E17" s="352" t="s">
        <v>383</v>
      </c>
      <c r="F17" s="925" t="s">
        <v>811</v>
      </c>
      <c r="G17" s="925" t="s">
        <v>812</v>
      </c>
      <c r="H17" s="354" t="s">
        <v>813</v>
      </c>
      <c r="I17" s="890"/>
    </row>
    <row r="18" spans="1:9" s="890" customFormat="1">
      <c r="A18" s="350" t="s">
        <v>524</v>
      </c>
      <c r="B18" s="351" t="s">
        <v>849</v>
      </c>
      <c r="C18" s="350" t="s">
        <v>853</v>
      </c>
      <c r="D18" s="359" t="s">
        <v>854</v>
      </c>
      <c r="E18" s="352"/>
      <c r="F18" s="925" t="s">
        <v>811</v>
      </c>
      <c r="G18" s="925" t="s">
        <v>812</v>
      </c>
      <c r="H18" s="354" t="s">
        <v>813</v>
      </c>
    </row>
    <row r="19" spans="1:9">
      <c r="A19" s="355" t="s">
        <v>523</v>
      </c>
      <c r="B19" s="358" t="s">
        <v>406</v>
      </c>
      <c r="C19" s="355" t="s">
        <v>436</v>
      </c>
      <c r="D19" s="355" t="s">
        <v>378</v>
      </c>
      <c r="E19" s="352"/>
      <c r="F19" s="920" t="s">
        <v>811</v>
      </c>
      <c r="G19" s="925" t="s">
        <v>812</v>
      </c>
      <c r="H19" s="354" t="s">
        <v>813</v>
      </c>
      <c r="I19" s="890"/>
    </row>
    <row r="20" spans="1:9">
      <c r="A20" s="355" t="s">
        <v>523</v>
      </c>
      <c r="B20" s="855" t="s">
        <v>672</v>
      </c>
      <c r="C20" s="355" t="s">
        <v>436</v>
      </c>
      <c r="D20" s="355" t="s">
        <v>706</v>
      </c>
      <c r="E20" s="352"/>
      <c r="F20" s="920" t="s">
        <v>811</v>
      </c>
      <c r="G20" s="925" t="s">
        <v>814</v>
      </c>
      <c r="H20" s="354" t="s">
        <v>813</v>
      </c>
    </row>
    <row r="21" spans="1:9" s="11" customFormat="1">
      <c r="A21" s="355" t="s">
        <v>522</v>
      </c>
      <c r="B21" s="358" t="s">
        <v>521</v>
      </c>
      <c r="C21" s="355" t="s">
        <v>520</v>
      </c>
      <c r="D21" s="355" t="s">
        <v>519</v>
      </c>
      <c r="E21" s="348"/>
      <c r="F21" s="349"/>
      <c r="G21" s="349"/>
      <c r="H21" s="356"/>
    </row>
    <row r="22" spans="1:9">
      <c r="A22" s="355" t="s">
        <v>193</v>
      </c>
      <c r="B22" s="793" t="s">
        <v>749</v>
      </c>
      <c r="C22" s="355" t="s">
        <v>437</v>
      </c>
      <c r="D22" s="355" t="s">
        <v>438</v>
      </c>
      <c r="E22" s="352"/>
      <c r="F22" s="353" t="s">
        <v>439</v>
      </c>
      <c r="G22" s="353" t="s">
        <v>440</v>
      </c>
      <c r="H22" s="354" t="s">
        <v>441</v>
      </c>
    </row>
    <row r="23" spans="1:9">
      <c r="A23" s="355" t="s">
        <v>418</v>
      </c>
      <c r="B23" s="351" t="s">
        <v>849</v>
      </c>
      <c r="C23" s="355" t="s">
        <v>418</v>
      </c>
      <c r="D23" s="355" t="s">
        <v>850</v>
      </c>
      <c r="E23" s="352" t="s">
        <v>433</v>
      </c>
      <c r="F23" s="353" t="s">
        <v>860</v>
      </c>
      <c r="G23" s="353" t="s">
        <v>861</v>
      </c>
      <c r="H23" s="354" t="s">
        <v>862</v>
      </c>
    </row>
    <row r="24" spans="1:9" s="890" customFormat="1">
      <c r="A24" s="355" t="s">
        <v>418</v>
      </c>
      <c r="B24" s="351" t="s">
        <v>851</v>
      </c>
      <c r="C24" s="355" t="s">
        <v>418</v>
      </c>
      <c r="D24" s="355" t="s">
        <v>852</v>
      </c>
      <c r="E24" s="352"/>
      <c r="F24" s="353" t="s">
        <v>863</v>
      </c>
      <c r="G24" s="353" t="s">
        <v>864</v>
      </c>
      <c r="H24" s="354" t="s">
        <v>865</v>
      </c>
    </row>
    <row r="25" spans="1:9">
      <c r="A25" s="350" t="s">
        <v>416</v>
      </c>
      <c r="B25" s="351" t="s">
        <v>676</v>
      </c>
      <c r="C25" s="350" t="s">
        <v>416</v>
      </c>
      <c r="D25" s="359" t="s">
        <v>677</v>
      </c>
      <c r="E25" s="352" t="s">
        <v>433</v>
      </c>
      <c r="F25" s="353" t="s">
        <v>866</v>
      </c>
      <c r="G25" s="353" t="s">
        <v>867</v>
      </c>
      <c r="H25" s="354" t="s">
        <v>868</v>
      </c>
    </row>
    <row r="26" spans="1:9" s="890" customFormat="1">
      <c r="A26" s="355" t="s">
        <v>416</v>
      </c>
      <c r="B26" s="351" t="s">
        <v>676</v>
      </c>
      <c r="C26" s="355" t="s">
        <v>416</v>
      </c>
      <c r="D26" s="355" t="s">
        <v>855</v>
      </c>
      <c r="E26" s="352" t="s">
        <v>856</v>
      </c>
      <c r="F26" s="353" t="s">
        <v>866</v>
      </c>
      <c r="G26" s="353" t="s">
        <v>867</v>
      </c>
      <c r="H26" s="354" t="s">
        <v>868</v>
      </c>
    </row>
  </sheetData>
  <hyperlinks>
    <hyperlink ref="H6" r:id="rId1"/>
    <hyperlink ref="H7" r:id="rId2" display="mailto:toon.lenaerts@infrax.be"/>
    <hyperlink ref="H15" r:id="rId3" display="tine.tanghe@vea.be"/>
    <hyperlink ref="E14" r:id="rId4"/>
    <hyperlink ref="H3" r:id="rId5"/>
    <hyperlink ref="H17" r:id="rId6"/>
    <hyperlink ref="H19" r:id="rId7"/>
    <hyperlink ref="H20" r:id="rId8"/>
    <hyperlink ref="H12" r:id="rId9"/>
  </hyperlinks>
  <pageMargins left="0.7" right="0.7" top="0.75" bottom="0.75" header="0.3" footer="0.3"/>
  <pageSetup paperSize="9" orientation="portrait" r:id="rId10"/>
  <ignoredErrors>
    <ignoredError sqref="B8 B13 B10" numberStoredAsText="1"/>
  </ignoredErrors>
</worksheet>
</file>

<file path=xl/worksheets/sheet32.xml><?xml version="1.0" encoding="utf-8"?>
<worksheet xmlns="http://schemas.openxmlformats.org/spreadsheetml/2006/main" xmlns:r="http://schemas.openxmlformats.org/officeDocument/2006/relationships">
  <sheetPr codeName="Sheet29"/>
  <dimension ref="A1:D43"/>
  <sheetViews>
    <sheetView topLeftCell="A25" workbookViewId="0">
      <selection activeCell="C51" sqref="C51"/>
    </sheetView>
  </sheetViews>
  <sheetFormatPr defaultRowHeight="15"/>
  <cols>
    <col min="2" max="2" width="12" bestFit="1" customWidth="1"/>
    <col min="3" max="3" width="150.7109375" bestFit="1" customWidth="1"/>
    <col min="4" max="4" width="36.28515625" bestFit="1" customWidth="1"/>
    <col min="6" max="6" width="28.5703125" bestFit="1" customWidth="1"/>
  </cols>
  <sheetData>
    <row r="1" spans="1:4">
      <c r="A1" s="770" t="s">
        <v>635</v>
      </c>
      <c r="B1" s="770" t="s">
        <v>636</v>
      </c>
      <c r="C1" s="770" t="s">
        <v>638</v>
      </c>
      <c r="D1" s="770" t="s">
        <v>637</v>
      </c>
    </row>
    <row r="2" spans="1:4">
      <c r="A2" t="s">
        <v>655</v>
      </c>
      <c r="B2" s="768">
        <v>41877</v>
      </c>
      <c r="C2" t="s">
        <v>660</v>
      </c>
      <c r="D2" s="783" t="s">
        <v>656</v>
      </c>
    </row>
    <row r="3" spans="1:4">
      <c r="A3" t="s">
        <v>655</v>
      </c>
      <c r="B3" s="768">
        <v>41877</v>
      </c>
      <c r="C3" t="s">
        <v>658</v>
      </c>
      <c r="D3" s="769" t="s">
        <v>657</v>
      </c>
    </row>
    <row r="4" spans="1:4">
      <c r="A4" t="s">
        <v>655</v>
      </c>
      <c r="B4" s="768">
        <v>41877</v>
      </c>
      <c r="C4" t="s">
        <v>659</v>
      </c>
      <c r="D4" s="783" t="s">
        <v>661</v>
      </c>
    </row>
    <row r="5" spans="1:4">
      <c r="A5" t="s">
        <v>655</v>
      </c>
      <c r="B5" s="768">
        <v>41877</v>
      </c>
      <c r="C5" t="s">
        <v>662</v>
      </c>
      <c r="D5" s="769" t="s">
        <v>663</v>
      </c>
    </row>
    <row r="6" spans="1:4">
      <c r="A6" t="s">
        <v>655</v>
      </c>
      <c r="B6" s="768">
        <v>41883</v>
      </c>
      <c r="C6" t="s">
        <v>680</v>
      </c>
      <c r="D6" s="769" t="s">
        <v>681</v>
      </c>
    </row>
    <row r="7" spans="1:4">
      <c r="A7" t="s">
        <v>655</v>
      </c>
      <c r="B7" s="768">
        <v>41885</v>
      </c>
      <c r="C7" t="s">
        <v>697</v>
      </c>
      <c r="D7" s="769" t="s">
        <v>696</v>
      </c>
    </row>
    <row r="8" spans="1:4">
      <c r="A8" t="s">
        <v>655</v>
      </c>
      <c r="B8" s="768">
        <v>41885</v>
      </c>
      <c r="C8" t="s">
        <v>697</v>
      </c>
      <c r="D8" s="769" t="s">
        <v>698</v>
      </c>
    </row>
    <row r="9" spans="1:4">
      <c r="A9" t="s">
        <v>655</v>
      </c>
      <c r="B9" s="768">
        <v>41892</v>
      </c>
      <c r="C9" t="s">
        <v>699</v>
      </c>
      <c r="D9" s="769" t="s">
        <v>700</v>
      </c>
    </row>
    <row r="10" spans="1:4">
      <c r="A10" t="s">
        <v>655</v>
      </c>
      <c r="B10" s="768">
        <v>41892</v>
      </c>
      <c r="C10" t="s">
        <v>701</v>
      </c>
      <c r="D10" s="769" t="s">
        <v>702</v>
      </c>
    </row>
    <row r="11" spans="1:4">
      <c r="A11" t="s">
        <v>655</v>
      </c>
      <c r="B11" s="768">
        <v>41892</v>
      </c>
      <c r="C11" t="s">
        <v>712</v>
      </c>
      <c r="D11" s="769" t="s">
        <v>711</v>
      </c>
    </row>
    <row r="12" spans="1:4">
      <c r="A12" t="s">
        <v>655</v>
      </c>
      <c r="B12" s="883">
        <v>41914</v>
      </c>
      <c r="C12" s="885" t="s">
        <v>719</v>
      </c>
      <c r="D12" s="884" t="s">
        <v>713</v>
      </c>
    </row>
    <row r="13" spans="1:4">
      <c r="A13" t="s">
        <v>655</v>
      </c>
      <c r="B13" s="883">
        <v>41914</v>
      </c>
      <c r="C13" s="885" t="s">
        <v>720</v>
      </c>
      <c r="D13" s="884" t="s">
        <v>714</v>
      </c>
    </row>
    <row r="14" spans="1:4">
      <c r="A14" t="s">
        <v>655</v>
      </c>
      <c r="B14" s="883">
        <v>41914</v>
      </c>
      <c r="C14" s="882" t="s">
        <v>715</v>
      </c>
      <c r="D14" s="884" t="s">
        <v>716</v>
      </c>
    </row>
    <row r="15" spans="1:4">
      <c r="A15" t="s">
        <v>655</v>
      </c>
      <c r="B15" s="883">
        <v>41914</v>
      </c>
      <c r="C15" s="882" t="s">
        <v>717</v>
      </c>
      <c r="D15" s="884" t="s">
        <v>718</v>
      </c>
    </row>
    <row r="16" spans="1:4">
      <c r="A16" t="s">
        <v>655</v>
      </c>
      <c r="B16" s="887">
        <v>41914</v>
      </c>
      <c r="C16" s="886" t="s">
        <v>721</v>
      </c>
      <c r="D16" s="783" t="s">
        <v>722</v>
      </c>
    </row>
    <row r="17" spans="1:4">
      <c r="A17" s="890" t="s">
        <v>655</v>
      </c>
      <c r="B17" s="887">
        <v>41914</v>
      </c>
      <c r="C17" t="s">
        <v>736</v>
      </c>
      <c r="D17" s="889" t="s">
        <v>723</v>
      </c>
    </row>
    <row r="18" spans="1:4">
      <c r="A18" s="890" t="s">
        <v>655</v>
      </c>
      <c r="B18" s="887">
        <v>41914</v>
      </c>
      <c r="C18" t="s">
        <v>724</v>
      </c>
      <c r="D18" s="896" t="s">
        <v>725</v>
      </c>
    </row>
    <row r="19" spans="1:4">
      <c r="A19" s="890" t="s">
        <v>655</v>
      </c>
      <c r="B19" s="887">
        <v>41914</v>
      </c>
      <c r="C19" t="s">
        <v>726</v>
      </c>
      <c r="D19" s="896" t="s">
        <v>727</v>
      </c>
    </row>
    <row r="20" spans="1:4">
      <c r="A20" s="890" t="s">
        <v>655</v>
      </c>
      <c r="B20" s="887">
        <v>41914</v>
      </c>
      <c r="C20" t="s">
        <v>737</v>
      </c>
      <c r="D20" s="896" t="s">
        <v>728</v>
      </c>
    </row>
    <row r="21" spans="1:4">
      <c r="A21" s="890" t="s">
        <v>655</v>
      </c>
      <c r="B21" s="887">
        <v>41914</v>
      </c>
      <c r="C21" t="s">
        <v>729</v>
      </c>
      <c r="D21" s="895" t="s">
        <v>734</v>
      </c>
    </row>
    <row r="22" spans="1:4">
      <c r="A22" s="890" t="s">
        <v>655</v>
      </c>
      <c r="B22" s="887">
        <v>41914</v>
      </c>
      <c r="C22" t="s">
        <v>730</v>
      </c>
      <c r="D22" s="896" t="s">
        <v>731</v>
      </c>
    </row>
    <row r="23" spans="1:4">
      <c r="A23" s="890" t="s">
        <v>655</v>
      </c>
      <c r="B23" s="887">
        <v>41914</v>
      </c>
      <c r="C23" t="s">
        <v>735</v>
      </c>
      <c r="D23" s="896" t="s">
        <v>732</v>
      </c>
    </row>
    <row r="24" spans="1:4">
      <c r="A24" s="890" t="s">
        <v>655</v>
      </c>
      <c r="B24" s="887">
        <v>41925</v>
      </c>
      <c r="C24" t="s">
        <v>738</v>
      </c>
      <c r="D24" s="896" t="s">
        <v>739</v>
      </c>
    </row>
    <row r="25" spans="1:4">
      <c r="A25" t="s">
        <v>655</v>
      </c>
      <c r="B25" s="887">
        <v>41967</v>
      </c>
      <c r="C25" t="s">
        <v>744</v>
      </c>
      <c r="D25" s="895" t="s">
        <v>743</v>
      </c>
    </row>
    <row r="26" spans="1:4">
      <c r="A26" t="s">
        <v>745</v>
      </c>
      <c r="B26" s="887">
        <v>42275</v>
      </c>
      <c r="C26" t="s">
        <v>746</v>
      </c>
      <c r="D26" s="895" t="s">
        <v>753</v>
      </c>
    </row>
    <row r="27" spans="1:4">
      <c r="A27" t="s">
        <v>745</v>
      </c>
      <c r="B27" s="887">
        <v>42275</v>
      </c>
      <c r="C27" t="s">
        <v>747</v>
      </c>
      <c r="D27" s="895" t="s">
        <v>754</v>
      </c>
    </row>
    <row r="28" spans="1:4">
      <c r="A28" t="s">
        <v>745</v>
      </c>
      <c r="B28" s="887">
        <v>42275</v>
      </c>
      <c r="C28" t="s">
        <v>748</v>
      </c>
      <c r="D28" s="895" t="s">
        <v>755</v>
      </c>
    </row>
    <row r="29" spans="1:4">
      <c r="A29" t="s">
        <v>745</v>
      </c>
      <c r="B29" s="887">
        <v>42283</v>
      </c>
      <c r="C29" t="s">
        <v>756</v>
      </c>
      <c r="D29" s="896" t="s">
        <v>757</v>
      </c>
    </row>
    <row r="30" spans="1:4">
      <c r="A30" s="890" t="s">
        <v>773</v>
      </c>
      <c r="B30" s="899">
        <v>42538</v>
      </c>
      <c r="C30" s="899" t="s">
        <v>758</v>
      </c>
      <c r="D30" s="899"/>
    </row>
    <row r="31" spans="1:4">
      <c r="A31" s="890" t="s">
        <v>773</v>
      </c>
      <c r="B31" s="899">
        <v>42538</v>
      </c>
      <c r="C31" s="899" t="s">
        <v>759</v>
      </c>
      <c r="D31" s="900" t="s">
        <v>760</v>
      </c>
    </row>
    <row r="32" spans="1:4">
      <c r="A32" s="890" t="s">
        <v>773</v>
      </c>
      <c r="B32" s="899">
        <v>42538</v>
      </c>
      <c r="C32" s="899" t="s">
        <v>761</v>
      </c>
      <c r="D32" s="901" t="s">
        <v>762</v>
      </c>
    </row>
    <row r="33" spans="1:4">
      <c r="A33" s="890" t="s">
        <v>773</v>
      </c>
      <c r="B33" s="899">
        <v>42538</v>
      </c>
      <c r="C33" s="899" t="s">
        <v>763</v>
      </c>
      <c r="D33" s="900" t="s">
        <v>722</v>
      </c>
    </row>
    <row r="34" spans="1:4">
      <c r="A34" t="s">
        <v>790</v>
      </c>
      <c r="B34" s="768">
        <v>42877</v>
      </c>
      <c r="C34" s="890" t="s">
        <v>846</v>
      </c>
      <c r="D34" s="895" t="s">
        <v>791</v>
      </c>
    </row>
    <row r="35" spans="1:4">
      <c r="A35" s="890" t="s">
        <v>790</v>
      </c>
      <c r="B35" s="768">
        <v>42877</v>
      </c>
      <c r="C35" s="890" t="s">
        <v>847</v>
      </c>
      <c r="D35" s="896" t="s">
        <v>792</v>
      </c>
    </row>
    <row r="36" spans="1:4">
      <c r="A36" s="890" t="s">
        <v>790</v>
      </c>
      <c r="B36" s="768">
        <v>42877</v>
      </c>
      <c r="C36" s="890" t="s">
        <v>848</v>
      </c>
      <c r="D36" s="896" t="s">
        <v>793</v>
      </c>
    </row>
    <row r="37" spans="1:4">
      <c r="A37" t="s">
        <v>830</v>
      </c>
      <c r="B37" s="768">
        <v>43166</v>
      </c>
      <c r="C37" s="899" t="s">
        <v>831</v>
      </c>
      <c r="D37" s="896" t="s">
        <v>832</v>
      </c>
    </row>
    <row r="38" spans="1:4">
      <c r="A38" t="s">
        <v>830</v>
      </c>
      <c r="B38" s="768">
        <v>43166</v>
      </c>
      <c r="C38" s="899" t="s">
        <v>833</v>
      </c>
      <c r="D38" s="895" t="s">
        <v>834</v>
      </c>
    </row>
    <row r="39" spans="1:4">
      <c r="A39" t="s">
        <v>830</v>
      </c>
      <c r="B39" s="768">
        <v>43166</v>
      </c>
      <c r="C39" s="899" t="s">
        <v>835</v>
      </c>
      <c r="D39" s="895" t="s">
        <v>836</v>
      </c>
    </row>
    <row r="40" spans="1:4">
      <c r="A40" t="s">
        <v>830</v>
      </c>
      <c r="B40" s="768">
        <v>43166</v>
      </c>
      <c r="C40" s="899" t="s">
        <v>837</v>
      </c>
      <c r="D40" s="895" t="s">
        <v>838</v>
      </c>
    </row>
    <row r="41" spans="1:4">
      <c r="A41" t="s">
        <v>830</v>
      </c>
      <c r="B41" s="768">
        <v>43278</v>
      </c>
      <c r="C41" s="899" t="s">
        <v>869</v>
      </c>
    </row>
    <row r="42" spans="1:4">
      <c r="A42" t="s">
        <v>871</v>
      </c>
      <c r="B42" s="768">
        <v>43424</v>
      </c>
      <c r="C42" s="899" t="s">
        <v>870</v>
      </c>
    </row>
    <row r="43" spans="1:4">
      <c r="A43" t="s">
        <v>916</v>
      </c>
      <c r="B43" s="768">
        <v>43573</v>
      </c>
      <c r="C43" s="899" t="s">
        <v>917</v>
      </c>
    </row>
  </sheetData>
  <hyperlinks>
    <hyperlink ref="D2" location="data!A1" display="data!A1"/>
    <hyperlink ref="D3" location="'EF N2O_CH4 landbouw'!A1" display="'EF N2O_CH4 landbouw'!A1"/>
    <hyperlink ref="D4" location="landbouw!A1" display="landbouw!A1"/>
    <hyperlink ref="D5" location="'ha_N2O bodem landbouw'!A1" display="'ha_N2O bodem landbouw'!A1"/>
    <hyperlink ref="D6" location="'SEAP template'!A1" display="'SEAP template'!A1"/>
    <hyperlink ref="D7" location="'Inventaris 2012'!A1" display="'Inventaris 2012'!A1"/>
    <hyperlink ref="D8" location="'SEAP template'!A1" display="'SEAP template'!A1"/>
    <hyperlink ref="D9" location="'E Balans VL '!A1" display="'E Balans VL '!A1"/>
    <hyperlink ref="D10" location="huishoudens!A1" display="huishoudens!A1"/>
    <hyperlink ref="D11" location="'Eigen gebouwen'!A1" display="'Eigen gebouwen'!A1"/>
    <hyperlink ref="D12" location="transport!C38" display=" transport!C38 "/>
    <hyperlink ref="D13" location="transport!C81" display=" transport!C81 "/>
    <hyperlink ref="D14" location="transport!D35" display=" transport!D35 "/>
    <hyperlink ref="D15" location="transport!D78" display=" transport!D78 "/>
    <hyperlink ref="D16" location="transport!A1" display="transport!A1"/>
    <hyperlink ref="D17" location="transport!K26" display=" transport!K26 "/>
    <hyperlink ref="D18" location="transport!A67" display=" transport!A67 "/>
    <hyperlink ref="D21" location="'ECF transport '!A70" display="'ECF transport '!A70"/>
    <hyperlink ref="D19" location="transport!H6" display=" transport!H6 "/>
    <hyperlink ref="D22" location="transport!H8" display=" transport!H8 "/>
    <hyperlink ref="D20" location="transport!B27" display=" transport!B27 "/>
    <hyperlink ref="D23" location="transport!A1" display=" ECF transport '!A1 "/>
    <hyperlink ref="D24" location="Conversiefactoren!E28" display="Conversiefactoren!E28"/>
    <hyperlink ref="D25" location="'EF ele_warmte'!E28" display="'EF ele_warmte'!E28"/>
    <hyperlink ref="D26" location="'EF N2O_CH4 landbouw'!E28" display="'EF N2O_CH4 landbouw'!E28"/>
    <hyperlink ref="D27" location="'ha_N2O bodem landbouw'!E28" display="'ha_N2O bodem landbouw'!E28"/>
    <hyperlink ref="D26:D28" location="'EF ele_warmte'!E28" display="'EF ele_warmte'!E28"/>
    <hyperlink ref="D28" location="'E Balans VL '!E28" display="'E Balans VL '!E28"/>
    <hyperlink ref="D29" location="transport!F64" display=" ECF transport '!F64"/>
    <hyperlink ref="D31" location="data!A73" display="data!A73"/>
    <hyperlink ref="D32" location="'ECF transport '!A2" display="'ECF transport '!A2"/>
    <hyperlink ref="D33" location="transport!A1" display="transport!A1"/>
    <hyperlink ref="D34" location="'ECF transport '!A1" display="'ECF transport '!A1"/>
    <hyperlink ref="D35" location="transport!A21" display="transport!A21"/>
    <hyperlink ref="D36" location="transport!A28" display="transport!A28"/>
    <hyperlink ref="D37" location="industrie!A1" display="industrie!C35"/>
    <hyperlink ref="D38" location="'SEAP template'!A1" display="'SEAP template'!M33"/>
    <hyperlink ref="D39" location="'openbare verlichting'!A1" display="'openbare verlichting'!B8"/>
    <hyperlink ref="D40" location="'EF ele_warmte'!A1" display="'EF ele_warmte'!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heet19">
    <tabColor theme="6"/>
  </sheetPr>
  <dimension ref="A1:Q33"/>
  <sheetViews>
    <sheetView workbookViewId="0">
      <selection activeCell="A32" sqref="A32"/>
    </sheetView>
  </sheetViews>
  <sheetFormatPr defaultColWidth="9.140625" defaultRowHeight="15"/>
  <cols>
    <col min="1" max="1" width="35.7109375" style="459" bestFit="1" customWidth="1"/>
    <col min="2" max="2" width="11.28515625" style="459" bestFit="1" customWidth="1"/>
    <col min="3" max="3" width="15.42578125" style="459" bestFit="1" customWidth="1"/>
    <col min="4" max="4" width="9.140625" style="459"/>
    <col min="5" max="5" width="16.28515625" style="459" customWidth="1"/>
    <col min="6" max="8" width="9.140625" style="459"/>
    <col min="9" max="9" width="14.28515625" style="459" customWidth="1"/>
    <col min="10" max="10" width="18.5703125" style="459" customWidth="1"/>
    <col min="11" max="11" width="15.140625" style="459" customWidth="1"/>
    <col min="12" max="12" width="15.42578125" style="459" customWidth="1"/>
    <col min="13" max="13" width="17" style="459" customWidth="1"/>
    <col min="14" max="14" width="16.42578125" style="459" customWidth="1"/>
    <col min="15" max="15" width="13.42578125" style="459" customWidth="1"/>
    <col min="16" max="16" width="18.28515625" style="459" customWidth="1"/>
    <col min="17" max="17" width="10.5703125" style="459" bestFit="1" customWidth="1"/>
    <col min="18" max="18" width="9.5703125" style="459" bestFit="1" customWidth="1"/>
    <col min="19" max="16384" width="9.140625" style="459"/>
  </cols>
  <sheetData>
    <row r="1" spans="1:17" ht="15.75">
      <c r="A1" s="1151" t="s">
        <v>568</v>
      </c>
      <c r="B1" s="1152" t="s">
        <v>564</v>
      </c>
      <c r="C1" s="1152"/>
      <c r="D1" s="1152"/>
      <c r="E1" s="1152"/>
      <c r="F1" s="1152"/>
      <c r="G1" s="1152"/>
      <c r="H1" s="1152"/>
      <c r="I1" s="1152"/>
      <c r="J1" s="1152"/>
      <c r="K1" s="1152"/>
      <c r="L1" s="1152"/>
      <c r="M1" s="1152"/>
      <c r="N1" s="1152"/>
      <c r="O1" s="1152"/>
      <c r="P1" s="1153"/>
      <c r="Q1" s="1024"/>
    </row>
    <row r="2" spans="1:17">
      <c r="A2" s="1151"/>
      <c r="B2" s="1154" t="s">
        <v>21</v>
      </c>
      <c r="C2" s="1156" t="s">
        <v>196</v>
      </c>
      <c r="D2" s="1158" t="s">
        <v>197</v>
      </c>
      <c r="E2" s="1159"/>
      <c r="F2" s="1159"/>
      <c r="G2" s="1159"/>
      <c r="H2" s="1159"/>
      <c r="I2" s="1159"/>
      <c r="J2" s="1159"/>
      <c r="K2" s="1155"/>
      <c r="L2" s="1158" t="s">
        <v>198</v>
      </c>
      <c r="M2" s="1159"/>
      <c r="N2" s="1159"/>
      <c r="O2" s="1159"/>
      <c r="P2" s="1155"/>
      <c r="Q2" s="1024"/>
    </row>
    <row r="3" spans="1:17" ht="45">
      <c r="A3" s="1151"/>
      <c r="B3" s="1155"/>
      <c r="C3" s="1157"/>
      <c r="D3" s="1024" t="s">
        <v>199</v>
      </c>
      <c r="E3" s="1024" t="s">
        <v>200</v>
      </c>
      <c r="F3" s="1024" t="s">
        <v>201</v>
      </c>
      <c r="G3" s="1024" t="s">
        <v>202</v>
      </c>
      <c r="H3" s="1024" t="s">
        <v>120</v>
      </c>
      <c r="I3" s="1024" t="s">
        <v>203</v>
      </c>
      <c r="J3" s="1024" t="s">
        <v>204</v>
      </c>
      <c r="K3" s="1024" t="s">
        <v>205</v>
      </c>
      <c r="L3" s="1024" t="s">
        <v>206</v>
      </c>
      <c r="M3" s="1024" t="s">
        <v>207</v>
      </c>
      <c r="N3" s="1024" t="s">
        <v>208</v>
      </c>
      <c r="O3" s="1024" t="s">
        <v>209</v>
      </c>
      <c r="P3" s="1024" t="s">
        <v>210</v>
      </c>
      <c r="Q3" s="1024" t="s">
        <v>116</v>
      </c>
    </row>
    <row r="4" spans="1:17">
      <c r="A4" s="460" t="s">
        <v>155</v>
      </c>
      <c r="B4" s="461">
        <f>huishoudens!B8</f>
        <v>63728.532314717653</v>
      </c>
      <c r="C4" s="461">
        <f>huishoudens!C8</f>
        <v>0</v>
      </c>
      <c r="D4" s="461">
        <f>huishoudens!D8</f>
        <v>134386.95699264199</v>
      </c>
      <c r="E4" s="461">
        <f>huishoudens!E8</f>
        <v>8059.0637505309951</v>
      </c>
      <c r="F4" s="461">
        <f>huishoudens!F8</f>
        <v>0</v>
      </c>
      <c r="G4" s="461">
        <f>huishoudens!G8</f>
        <v>0</v>
      </c>
      <c r="H4" s="461">
        <f>huishoudens!H8</f>
        <v>0</v>
      </c>
      <c r="I4" s="461">
        <f>huishoudens!I8</f>
        <v>0</v>
      </c>
      <c r="J4" s="461">
        <f>huishoudens!J8</f>
        <v>186.18641104690877</v>
      </c>
      <c r="K4" s="461">
        <f>huishoudens!K8</f>
        <v>0</v>
      </c>
      <c r="L4" s="461">
        <f>huishoudens!L8</f>
        <v>0</v>
      </c>
      <c r="M4" s="461">
        <f>huishoudens!M8</f>
        <v>0</v>
      </c>
      <c r="N4" s="461">
        <f>huishoudens!N8</f>
        <v>35865.54095676211</v>
      </c>
      <c r="O4" s="461">
        <f>huishoudens!O8</f>
        <v>154.77000000000001</v>
      </c>
      <c r="P4" s="462">
        <f>huishoudens!P8</f>
        <v>1086.8</v>
      </c>
      <c r="Q4" s="463">
        <f>SUM(B4:P4)</f>
        <v>243467.85042569964</v>
      </c>
    </row>
    <row r="5" spans="1:17">
      <c r="A5" s="460" t="s">
        <v>156</v>
      </c>
      <c r="B5" s="461">
        <f ca="1">tertiair!B16</f>
        <v>43754.984437582942</v>
      </c>
      <c r="C5" s="461">
        <f ca="1">tertiair!C16</f>
        <v>22.5</v>
      </c>
      <c r="D5" s="461">
        <f ca="1">tertiair!D16</f>
        <v>31105.769353326847</v>
      </c>
      <c r="E5" s="461">
        <f>tertiair!E16</f>
        <v>315.5133936626039</v>
      </c>
      <c r="F5" s="461">
        <f ca="1">tertiair!F16</f>
        <v>5371.2704825278433</v>
      </c>
      <c r="G5" s="461">
        <f>tertiair!G16</f>
        <v>0</v>
      </c>
      <c r="H5" s="461">
        <f>tertiair!H16</f>
        <v>0</v>
      </c>
      <c r="I5" s="461">
        <f>tertiair!I16</f>
        <v>0</v>
      </c>
      <c r="J5" s="461">
        <f>tertiair!J16</f>
        <v>0</v>
      </c>
      <c r="K5" s="461">
        <f>tertiair!K16</f>
        <v>0</v>
      </c>
      <c r="L5" s="461">
        <f ca="1">tertiair!L16</f>
        <v>0</v>
      </c>
      <c r="M5" s="461">
        <f>tertiair!M16</f>
        <v>0</v>
      </c>
      <c r="N5" s="461">
        <f ca="1">tertiair!N16</f>
        <v>0</v>
      </c>
      <c r="O5" s="461">
        <f>tertiair!O16</f>
        <v>0</v>
      </c>
      <c r="P5" s="462">
        <f>tertiair!P16</f>
        <v>0</v>
      </c>
      <c r="Q5" s="460">
        <f t="shared" ref="Q5:Q14" ca="1" si="0">SUM(B5:P5)</f>
        <v>80570.037667100245</v>
      </c>
    </row>
    <row r="6" spans="1:17">
      <c r="A6" s="460" t="s">
        <v>194</v>
      </c>
      <c r="B6" s="461">
        <f>'openbare verlichting'!B8</f>
        <v>1678.404</v>
      </c>
      <c r="C6" s="461"/>
      <c r="D6" s="461"/>
      <c r="E6" s="461"/>
      <c r="F6" s="461"/>
      <c r="G6" s="461"/>
      <c r="H6" s="461"/>
      <c r="I6" s="461"/>
      <c r="J6" s="461"/>
      <c r="K6" s="461"/>
      <c r="L6" s="461"/>
      <c r="M6" s="461"/>
      <c r="N6" s="461"/>
      <c r="O6" s="461"/>
      <c r="P6" s="462"/>
      <c r="Q6" s="460">
        <f t="shared" si="0"/>
        <v>1678.404</v>
      </c>
    </row>
    <row r="7" spans="1:17">
      <c r="A7" s="460" t="s">
        <v>112</v>
      </c>
      <c r="B7" s="461">
        <f>landbouw!B8</f>
        <v>4779.8766703658339</v>
      </c>
      <c r="C7" s="461">
        <f>landbouw!C8</f>
        <v>7525.8652597402597</v>
      </c>
      <c r="D7" s="461">
        <f>landbouw!D8</f>
        <v>0</v>
      </c>
      <c r="E7" s="461">
        <f>landbouw!E8</f>
        <v>45.029640857271225</v>
      </c>
      <c r="F7" s="461">
        <f>landbouw!F8</f>
        <v>15598.323877156412</v>
      </c>
      <c r="G7" s="461">
        <f>landbouw!G8</f>
        <v>0</v>
      </c>
      <c r="H7" s="461">
        <f>landbouw!H8</f>
        <v>0</v>
      </c>
      <c r="I7" s="461">
        <f>landbouw!I8</f>
        <v>0</v>
      </c>
      <c r="J7" s="461">
        <f>landbouw!J8</f>
        <v>591.29399343991224</v>
      </c>
      <c r="K7" s="461">
        <f>landbouw!K8</f>
        <v>0</v>
      </c>
      <c r="L7" s="461">
        <f>landbouw!L8</f>
        <v>0</v>
      </c>
      <c r="M7" s="461">
        <f>landbouw!M8</f>
        <v>0</v>
      </c>
      <c r="N7" s="461">
        <f>landbouw!N8</f>
        <v>0</v>
      </c>
      <c r="O7" s="461">
        <f>landbouw!O8</f>
        <v>0</v>
      </c>
      <c r="P7" s="462">
        <f>landbouw!P8</f>
        <v>0</v>
      </c>
      <c r="Q7" s="460">
        <f t="shared" si="0"/>
        <v>28540.389441559688</v>
      </c>
    </row>
    <row r="8" spans="1:17">
      <c r="A8" s="460" t="s">
        <v>685</v>
      </c>
      <c r="B8" s="461">
        <f>industrie!B18</f>
        <v>9363.3139116933835</v>
      </c>
      <c r="C8" s="461">
        <f>industrie!C18</f>
        <v>0</v>
      </c>
      <c r="D8" s="461">
        <f>industrie!D18</f>
        <v>23846.634232726465</v>
      </c>
      <c r="E8" s="461">
        <f>industrie!E18</f>
        <v>109.69251909117477</v>
      </c>
      <c r="F8" s="461">
        <f>industrie!F18</f>
        <v>3798.0763627999227</v>
      </c>
      <c r="G8" s="461">
        <f>industrie!G18</f>
        <v>0</v>
      </c>
      <c r="H8" s="461">
        <f>industrie!H18</f>
        <v>0</v>
      </c>
      <c r="I8" s="461">
        <f>industrie!I18</f>
        <v>0</v>
      </c>
      <c r="J8" s="461">
        <f>industrie!J18</f>
        <v>48.938552143039402</v>
      </c>
      <c r="K8" s="461">
        <f>industrie!K18</f>
        <v>0</v>
      </c>
      <c r="L8" s="461">
        <f>industrie!L18</f>
        <v>0</v>
      </c>
      <c r="M8" s="461">
        <f>industrie!M18</f>
        <v>0</v>
      </c>
      <c r="N8" s="461">
        <f>industrie!N18</f>
        <v>329.95610821667441</v>
      </c>
      <c r="O8" s="461">
        <f>industrie!O18</f>
        <v>0</v>
      </c>
      <c r="P8" s="462">
        <f>industrie!P18</f>
        <v>0</v>
      </c>
      <c r="Q8" s="460">
        <f t="shared" si="0"/>
        <v>37496.611686670658</v>
      </c>
    </row>
    <row r="9" spans="1:17" s="466" customFormat="1">
      <c r="A9" s="464" t="s">
        <v>579</v>
      </c>
      <c r="B9" s="465">
        <f>transport!B14</f>
        <v>6.3934762437067754</v>
      </c>
      <c r="C9" s="465">
        <f>transport!C14</f>
        <v>0</v>
      </c>
      <c r="D9" s="465">
        <f>transport!D14</f>
        <v>16.593514248478289</v>
      </c>
      <c r="E9" s="465">
        <f>transport!E14</f>
        <v>1110.9489775743152</v>
      </c>
      <c r="F9" s="465">
        <f>transport!F14</f>
        <v>0</v>
      </c>
      <c r="G9" s="465">
        <f>transport!G14</f>
        <v>302322.86081692344</v>
      </c>
      <c r="H9" s="465">
        <f>transport!H14</f>
        <v>38329.445353629715</v>
      </c>
      <c r="I9" s="465">
        <f>transport!I14</f>
        <v>0</v>
      </c>
      <c r="J9" s="465">
        <f>transport!J14</f>
        <v>0</v>
      </c>
      <c r="K9" s="465">
        <f>transport!K14</f>
        <v>0</v>
      </c>
      <c r="L9" s="465">
        <f>transport!L14</f>
        <v>0</v>
      </c>
      <c r="M9" s="465">
        <f>transport!M14</f>
        <v>15215.926507051938</v>
      </c>
      <c r="N9" s="465">
        <f>transport!N14</f>
        <v>0</v>
      </c>
      <c r="O9" s="465">
        <f>transport!O14</f>
        <v>0</v>
      </c>
      <c r="P9" s="465">
        <f>transport!P14</f>
        <v>0</v>
      </c>
      <c r="Q9" s="464">
        <f>SUM(B9:P9)</f>
        <v>357002.16864567157</v>
      </c>
    </row>
    <row r="10" spans="1:17">
      <c r="A10" s="460" t="s">
        <v>569</v>
      </c>
      <c r="B10" s="461">
        <f>transport!B54</f>
        <v>0</v>
      </c>
      <c r="C10" s="461">
        <f>transport!C54</f>
        <v>0</v>
      </c>
      <c r="D10" s="461">
        <f>transport!D54</f>
        <v>0</v>
      </c>
      <c r="E10" s="461">
        <f>transport!E54</f>
        <v>0</v>
      </c>
      <c r="F10" s="461">
        <f>transport!F54</f>
        <v>0</v>
      </c>
      <c r="G10" s="461">
        <f>transport!G54</f>
        <v>3663.1803783936462</v>
      </c>
      <c r="H10" s="461">
        <f>transport!H54</f>
        <v>0</v>
      </c>
      <c r="I10" s="461">
        <f>transport!I54</f>
        <v>0</v>
      </c>
      <c r="J10" s="461">
        <f>transport!J54</f>
        <v>0</v>
      </c>
      <c r="K10" s="461">
        <f>transport!K54</f>
        <v>0</v>
      </c>
      <c r="L10" s="461">
        <f>transport!L54</f>
        <v>0</v>
      </c>
      <c r="M10" s="461">
        <f>transport!M54</f>
        <v>160.85629320928251</v>
      </c>
      <c r="N10" s="461">
        <f>transport!N54</f>
        <v>0</v>
      </c>
      <c r="O10" s="461">
        <f>transport!O54</f>
        <v>0</v>
      </c>
      <c r="P10" s="462">
        <f>transport!P54</f>
        <v>0</v>
      </c>
      <c r="Q10" s="460">
        <f t="shared" si="0"/>
        <v>3824.0366716029284</v>
      </c>
    </row>
    <row r="11" spans="1:17">
      <c r="A11" s="460" t="s">
        <v>570</v>
      </c>
      <c r="B11" s="461">
        <f>'Eigen gebouwen'!B15</f>
        <v>0</v>
      </c>
      <c r="C11" s="461">
        <f>'Eigen gebouwen'!C15</f>
        <v>0</v>
      </c>
      <c r="D11" s="461">
        <f>'Eigen gebouwen'!D15</f>
        <v>0</v>
      </c>
      <c r="E11" s="461">
        <f>'Eigen gebouwen'!E15</f>
        <v>0</v>
      </c>
      <c r="F11" s="461">
        <f>'Eigen gebouwen'!F15</f>
        <v>0</v>
      </c>
      <c r="G11" s="461">
        <f>'Eigen gebouwen'!G15</f>
        <v>0</v>
      </c>
      <c r="H11" s="461">
        <f>'Eigen gebouwen'!H15</f>
        <v>0</v>
      </c>
      <c r="I11" s="461">
        <f>'Eigen gebouwen'!I15</f>
        <v>0</v>
      </c>
      <c r="J11" s="461">
        <f>'Eigen gebouwen'!J15</f>
        <v>0</v>
      </c>
      <c r="K11" s="461">
        <f>'Eigen gebouwen'!K15</f>
        <v>0</v>
      </c>
      <c r="L11" s="461">
        <f>'Eigen gebouwen'!L15</f>
        <v>0</v>
      </c>
      <c r="M11" s="461">
        <f>'Eigen gebouwen'!M15</f>
        <v>0</v>
      </c>
      <c r="N11" s="461">
        <f>'Eigen gebouwen'!N15</f>
        <v>0</v>
      </c>
      <c r="O11" s="461">
        <f>'Eigen gebouwen'!O15</f>
        <v>0</v>
      </c>
      <c r="P11" s="462">
        <f>'Eigen gebouwen'!P15</f>
        <v>0</v>
      </c>
      <c r="Q11" s="460">
        <f t="shared" si="0"/>
        <v>0</v>
      </c>
    </row>
    <row r="12" spans="1:17">
      <c r="A12" s="460" t="s">
        <v>571</v>
      </c>
      <c r="B12" s="461">
        <f>'Eigen openbare verlichting'!B15</f>
        <v>0</v>
      </c>
      <c r="C12" s="461"/>
      <c r="D12" s="461"/>
      <c r="E12" s="461"/>
      <c r="F12" s="461"/>
      <c r="G12" s="461"/>
      <c r="H12" s="461"/>
      <c r="I12" s="461"/>
      <c r="J12" s="461"/>
      <c r="K12" s="461"/>
      <c r="L12" s="461"/>
      <c r="M12" s="461"/>
      <c r="N12" s="461"/>
      <c r="O12" s="461"/>
      <c r="P12" s="462"/>
      <c r="Q12" s="460">
        <f t="shared" si="0"/>
        <v>0</v>
      </c>
    </row>
    <row r="13" spans="1:17">
      <c r="A13" s="460" t="s">
        <v>572</v>
      </c>
      <c r="B13" s="461">
        <f>'Eigen vloot'!B27</f>
        <v>0</v>
      </c>
      <c r="C13" s="461">
        <f>'Eigen vloot'!C27</f>
        <v>0</v>
      </c>
      <c r="D13" s="461">
        <f>'Eigen vloot'!D27</f>
        <v>0</v>
      </c>
      <c r="E13" s="461">
        <f>'Eigen vloot'!E27</f>
        <v>0</v>
      </c>
      <c r="F13" s="461">
        <f>'Eigen vloot'!F27</f>
        <v>0</v>
      </c>
      <c r="G13" s="461">
        <f>'Eigen vloot'!G27</f>
        <v>0</v>
      </c>
      <c r="H13" s="461">
        <f>'Eigen vloot'!H27</f>
        <v>0</v>
      </c>
      <c r="I13" s="461">
        <f>'Eigen vloot'!I27</f>
        <v>0</v>
      </c>
      <c r="J13" s="461">
        <f>'Eigen vloot'!J27</f>
        <v>0</v>
      </c>
      <c r="K13" s="461">
        <f>'Eigen vloot'!K27</f>
        <v>0</v>
      </c>
      <c r="L13" s="461">
        <f>'Eigen vloot'!L27</f>
        <v>0</v>
      </c>
      <c r="M13" s="461">
        <f>'Eigen vloot'!M27</f>
        <v>0</v>
      </c>
      <c r="N13" s="461">
        <f>'Eigen vloot'!N27</f>
        <v>0</v>
      </c>
      <c r="O13" s="461">
        <f>'Eigen vloot'!O27</f>
        <v>0</v>
      </c>
      <c r="P13" s="462">
        <f>'Eigen vloot'!P27</f>
        <v>0</v>
      </c>
      <c r="Q13" s="460">
        <f t="shared" si="0"/>
        <v>0</v>
      </c>
    </row>
    <row r="14" spans="1:17">
      <c r="A14" s="467" t="s">
        <v>915</v>
      </c>
      <c r="B14" s="468">
        <f>'SEAP template'!C25</f>
        <v>1526.00647855841</v>
      </c>
      <c r="C14" s="468"/>
      <c r="D14" s="468">
        <f>'SEAP template'!E25</f>
        <v>4229.6563459986701</v>
      </c>
      <c r="E14" s="468"/>
      <c r="F14" s="468"/>
      <c r="G14" s="468"/>
      <c r="H14" s="468"/>
      <c r="I14" s="468"/>
      <c r="J14" s="468"/>
      <c r="K14" s="468"/>
      <c r="L14" s="468"/>
      <c r="M14" s="468"/>
      <c r="N14" s="468"/>
      <c r="O14" s="468"/>
      <c r="P14" s="469"/>
      <c r="Q14" s="460">
        <f t="shared" si="0"/>
        <v>5755.6628245570801</v>
      </c>
    </row>
    <row r="15" spans="1:17" s="473" customFormat="1">
      <c r="A15" s="470" t="s">
        <v>573</v>
      </c>
      <c r="B15" s="471">
        <f ca="1">SUM(B4:B14)</f>
        <v>124837.51128916194</v>
      </c>
      <c r="C15" s="471">
        <f t="shared" ref="C15:Q15" ca="1" si="1">SUM(C4:C14)</f>
        <v>7548.3652597402597</v>
      </c>
      <c r="D15" s="471">
        <f t="shared" ca="1" si="1"/>
        <v>193585.61043894244</v>
      </c>
      <c r="E15" s="471">
        <f t="shared" si="1"/>
        <v>9640.24828171636</v>
      </c>
      <c r="F15" s="471">
        <f t="shared" ca="1" si="1"/>
        <v>24767.670722484178</v>
      </c>
      <c r="G15" s="471">
        <f t="shared" si="1"/>
        <v>305986.04119531706</v>
      </c>
      <c r="H15" s="471">
        <f t="shared" si="1"/>
        <v>38329.445353629715</v>
      </c>
      <c r="I15" s="471">
        <f t="shared" si="1"/>
        <v>0</v>
      </c>
      <c r="J15" s="471">
        <f t="shared" si="1"/>
        <v>826.41895662986042</v>
      </c>
      <c r="K15" s="471">
        <f t="shared" si="1"/>
        <v>0</v>
      </c>
      <c r="L15" s="471">
        <f t="shared" ca="1" si="1"/>
        <v>0</v>
      </c>
      <c r="M15" s="471">
        <f t="shared" si="1"/>
        <v>15376.78280026122</v>
      </c>
      <c r="N15" s="471">
        <f t="shared" ca="1" si="1"/>
        <v>36195.497064978787</v>
      </c>
      <c r="O15" s="471">
        <f t="shared" si="1"/>
        <v>154.77000000000001</v>
      </c>
      <c r="P15" s="471">
        <f t="shared" si="1"/>
        <v>1086.8</v>
      </c>
      <c r="Q15" s="471">
        <f t="shared" ca="1" si="1"/>
        <v>758335.16136286175</v>
      </c>
    </row>
    <row r="17" spans="1:17">
      <c r="A17" s="474" t="s">
        <v>574</v>
      </c>
      <c r="B17" s="778">
        <f ca="1">huishoudens!B10</f>
        <v>0.16752363209235635</v>
      </c>
      <c r="C17" s="778">
        <f ca="1">huishoudens!C10</f>
        <v>0.23727688128042965</v>
      </c>
      <c r="D17" s="778">
        <f>huishoudens!D10</f>
        <v>0.20200000000000001</v>
      </c>
      <c r="E17" s="778">
        <f>huishoudens!E10</f>
        <v>0.22700000000000001</v>
      </c>
      <c r="F17" s="778">
        <f>huishoudens!F10</f>
        <v>0.26700000000000002</v>
      </c>
      <c r="G17" s="778">
        <f>huishoudens!G10</f>
        <v>0.26700000000000002</v>
      </c>
      <c r="H17" s="778">
        <f>huishoudens!H10</f>
        <v>0.249</v>
      </c>
      <c r="I17" s="778">
        <f>huishoudens!I10</f>
        <v>0.35099999999999998</v>
      </c>
      <c r="J17" s="778">
        <f>huishoudens!J10</f>
        <v>0.35399999999999998</v>
      </c>
      <c r="K17" s="778">
        <f>huishoudens!K10</f>
        <v>0.26400000000000001</v>
      </c>
      <c r="L17" s="778">
        <f>huishoudens!L10</f>
        <v>0</v>
      </c>
      <c r="M17" s="778">
        <f>huishoudens!M10</f>
        <v>0</v>
      </c>
      <c r="N17" s="778">
        <f>huishoudens!N10</f>
        <v>0</v>
      </c>
      <c r="O17" s="778">
        <f>huishoudens!O10</f>
        <v>0</v>
      </c>
      <c r="P17" s="778">
        <f>huishoudens!P10</f>
        <v>0</v>
      </c>
    </row>
    <row r="18" spans="1:17" ht="15.75" customHeight="1"/>
    <row r="19" spans="1:17" ht="15" customHeight="1">
      <c r="A19" s="1151" t="s">
        <v>576</v>
      </c>
      <c r="B19" s="1152" t="s">
        <v>575</v>
      </c>
      <c r="C19" s="1152"/>
      <c r="D19" s="1152"/>
      <c r="E19" s="1152"/>
      <c r="F19" s="1152"/>
      <c r="G19" s="1152"/>
      <c r="H19" s="1152"/>
      <c r="I19" s="1152"/>
      <c r="J19" s="1152"/>
      <c r="K19" s="1152"/>
      <c r="L19" s="1152"/>
      <c r="M19" s="1152"/>
      <c r="N19" s="1152"/>
      <c r="O19" s="1152"/>
      <c r="P19" s="1153"/>
      <c r="Q19" s="1024"/>
    </row>
    <row r="20" spans="1:17" ht="15" customHeight="1">
      <c r="A20" s="1151"/>
      <c r="B20" s="1154" t="s">
        <v>21</v>
      </c>
      <c r="C20" s="1156" t="s">
        <v>196</v>
      </c>
      <c r="D20" s="1158" t="s">
        <v>197</v>
      </c>
      <c r="E20" s="1159"/>
      <c r="F20" s="1159"/>
      <c r="G20" s="1159"/>
      <c r="H20" s="1159"/>
      <c r="I20" s="1159"/>
      <c r="J20" s="1159"/>
      <c r="K20" s="1155"/>
      <c r="L20" s="1158" t="s">
        <v>198</v>
      </c>
      <c r="M20" s="1159"/>
      <c r="N20" s="1159"/>
      <c r="O20" s="1159"/>
      <c r="P20" s="1155"/>
      <c r="Q20" s="1024"/>
    </row>
    <row r="21" spans="1:17" ht="45">
      <c r="A21" s="1151"/>
      <c r="B21" s="1155"/>
      <c r="C21" s="1157"/>
      <c r="D21" s="1024" t="s">
        <v>199</v>
      </c>
      <c r="E21" s="1024" t="s">
        <v>200</v>
      </c>
      <c r="F21" s="1024" t="s">
        <v>201</v>
      </c>
      <c r="G21" s="1024" t="s">
        <v>202</v>
      </c>
      <c r="H21" s="1024" t="s">
        <v>120</v>
      </c>
      <c r="I21" s="1024" t="s">
        <v>203</v>
      </c>
      <c r="J21" s="1024" t="s">
        <v>204</v>
      </c>
      <c r="K21" s="1024" t="s">
        <v>205</v>
      </c>
      <c r="L21" s="1024" t="s">
        <v>206</v>
      </c>
      <c r="M21" s="1024" t="s">
        <v>207</v>
      </c>
      <c r="N21" s="1024" t="s">
        <v>208</v>
      </c>
      <c r="O21" s="1024" t="s">
        <v>209</v>
      </c>
      <c r="P21" s="1024" t="s">
        <v>210</v>
      </c>
      <c r="Q21" s="1024" t="s">
        <v>116</v>
      </c>
    </row>
    <row r="22" spans="1:17">
      <c r="A22" s="460" t="s">
        <v>155</v>
      </c>
      <c r="B22" s="461">
        <f t="shared" ref="B22:B32" ca="1" si="2">B4*$B$17</f>
        <v>10676.035201276603</v>
      </c>
      <c r="C22" s="461">
        <f t="shared" ref="C22:C32" ca="1" si="3">C4*$C$17</f>
        <v>0</v>
      </c>
      <c r="D22" s="461">
        <f t="shared" ref="D22:D32" si="4">D4*$D$17</f>
        <v>27146.165312513684</v>
      </c>
      <c r="E22" s="461">
        <f t="shared" ref="E22:E32" si="5">E4*$E$17</f>
        <v>1829.4074713705359</v>
      </c>
      <c r="F22" s="461">
        <f t="shared" ref="F22:F32" si="6">F4*$F$17</f>
        <v>0</v>
      </c>
      <c r="G22" s="461">
        <f t="shared" ref="G22:G32" si="7">G4*$G$17</f>
        <v>0</v>
      </c>
      <c r="H22" s="461">
        <f t="shared" ref="H22:H32" si="8">H4*$H$17</f>
        <v>0</v>
      </c>
      <c r="I22" s="461">
        <f t="shared" ref="I22:I32" si="9">I4*$I$17</f>
        <v>0</v>
      </c>
      <c r="J22" s="461">
        <f t="shared" ref="J22:J32" si="10">J4*$J$17</f>
        <v>65.909989510605698</v>
      </c>
      <c r="K22" s="461">
        <f t="shared" ref="K22:K32" si="11">K4*$K$17</f>
        <v>0</v>
      </c>
      <c r="L22" s="461">
        <f t="shared" ref="L22:L32" si="12">L4*$L$17</f>
        <v>0</v>
      </c>
      <c r="M22" s="461">
        <f t="shared" ref="M22:M32" si="13">M4*$M$17</f>
        <v>0</v>
      </c>
      <c r="N22" s="461">
        <f t="shared" ref="N22:N32" si="14">N4*$N$17</f>
        <v>0</v>
      </c>
      <c r="O22" s="461">
        <f t="shared" ref="O22:O32" si="15">O4*$O$17</f>
        <v>0</v>
      </c>
      <c r="P22" s="1025">
        <f t="shared" ref="P22:P32" si="16">P4*$P$17</f>
        <v>0</v>
      </c>
      <c r="Q22" s="463">
        <f ca="1">SUM(B22:P22)</f>
        <v>39717.517974671428</v>
      </c>
    </row>
    <row r="23" spans="1:17">
      <c r="A23" s="460" t="s">
        <v>156</v>
      </c>
      <c r="B23" s="461">
        <f t="shared" ca="1" si="2"/>
        <v>7329.9939151284225</v>
      </c>
      <c r="C23" s="461">
        <f t="shared" ca="1" si="3"/>
        <v>5.338729828809667</v>
      </c>
      <c r="D23" s="461">
        <f t="shared" ca="1" si="4"/>
        <v>6283.3654093720234</v>
      </c>
      <c r="E23" s="461">
        <f t="shared" si="5"/>
        <v>71.621540361411093</v>
      </c>
      <c r="F23" s="461">
        <f t="shared" ca="1" si="6"/>
        <v>1434.1292188349344</v>
      </c>
      <c r="G23" s="461">
        <f t="shared" si="7"/>
        <v>0</v>
      </c>
      <c r="H23" s="461">
        <f t="shared" si="8"/>
        <v>0</v>
      </c>
      <c r="I23" s="461">
        <f t="shared" si="9"/>
        <v>0</v>
      </c>
      <c r="J23" s="461">
        <f t="shared" si="10"/>
        <v>0</v>
      </c>
      <c r="K23" s="461">
        <f t="shared" si="11"/>
        <v>0</v>
      </c>
      <c r="L23" s="461">
        <f t="shared" ca="1" si="12"/>
        <v>0</v>
      </c>
      <c r="M23" s="461">
        <f t="shared" si="13"/>
        <v>0</v>
      </c>
      <c r="N23" s="461">
        <f t="shared" ca="1" si="14"/>
        <v>0</v>
      </c>
      <c r="O23" s="461">
        <f t="shared" si="15"/>
        <v>0</v>
      </c>
      <c r="P23" s="462">
        <f t="shared" si="16"/>
        <v>0</v>
      </c>
      <c r="Q23" s="460">
        <f t="shared" ref="Q23:Q32" ca="1" si="17">SUM(B23:P23)</f>
        <v>15124.448813525602</v>
      </c>
    </row>
    <row r="24" spans="1:17">
      <c r="A24" s="460" t="s">
        <v>194</v>
      </c>
      <c r="B24" s="461">
        <f t="shared" ca="1" si="2"/>
        <v>281.17233419833929</v>
      </c>
      <c r="C24" s="461">
        <f t="shared" ca="1" si="3"/>
        <v>0</v>
      </c>
      <c r="D24" s="461">
        <f t="shared" si="4"/>
        <v>0</v>
      </c>
      <c r="E24" s="461">
        <f t="shared" si="5"/>
        <v>0</v>
      </c>
      <c r="F24" s="461">
        <f t="shared" si="6"/>
        <v>0</v>
      </c>
      <c r="G24" s="461">
        <f t="shared" si="7"/>
        <v>0</v>
      </c>
      <c r="H24" s="461">
        <f t="shared" si="8"/>
        <v>0</v>
      </c>
      <c r="I24" s="461">
        <f t="shared" si="9"/>
        <v>0</v>
      </c>
      <c r="J24" s="461">
        <f t="shared" si="10"/>
        <v>0</v>
      </c>
      <c r="K24" s="461">
        <f t="shared" si="11"/>
        <v>0</v>
      </c>
      <c r="L24" s="461">
        <f t="shared" si="12"/>
        <v>0</v>
      </c>
      <c r="M24" s="461">
        <f t="shared" si="13"/>
        <v>0</v>
      </c>
      <c r="N24" s="461">
        <f t="shared" si="14"/>
        <v>0</v>
      </c>
      <c r="O24" s="461">
        <f t="shared" si="15"/>
        <v>0</v>
      </c>
      <c r="P24" s="462">
        <f t="shared" si="16"/>
        <v>0</v>
      </c>
      <c r="Q24" s="460">
        <f t="shared" ca="1" si="17"/>
        <v>281.17233419833929</v>
      </c>
    </row>
    <row r="25" spans="1:17">
      <c r="A25" s="460" t="s">
        <v>112</v>
      </c>
      <c r="B25" s="461">
        <f t="shared" ca="1" si="2"/>
        <v>800.74230077320328</v>
      </c>
      <c r="C25" s="461">
        <f t="shared" ca="1" si="3"/>
        <v>1785.7138377678993</v>
      </c>
      <c r="D25" s="461">
        <f t="shared" si="4"/>
        <v>0</v>
      </c>
      <c r="E25" s="461">
        <f t="shared" si="5"/>
        <v>10.221728474600569</v>
      </c>
      <c r="F25" s="461">
        <f t="shared" si="6"/>
        <v>4164.7524752007621</v>
      </c>
      <c r="G25" s="461">
        <f t="shared" si="7"/>
        <v>0</v>
      </c>
      <c r="H25" s="461">
        <f t="shared" si="8"/>
        <v>0</v>
      </c>
      <c r="I25" s="461">
        <f t="shared" si="9"/>
        <v>0</v>
      </c>
      <c r="J25" s="461">
        <f t="shared" si="10"/>
        <v>209.31807367772893</v>
      </c>
      <c r="K25" s="461">
        <f t="shared" si="11"/>
        <v>0</v>
      </c>
      <c r="L25" s="461">
        <f t="shared" si="12"/>
        <v>0</v>
      </c>
      <c r="M25" s="461">
        <f t="shared" si="13"/>
        <v>0</v>
      </c>
      <c r="N25" s="461">
        <f t="shared" si="14"/>
        <v>0</v>
      </c>
      <c r="O25" s="461">
        <f t="shared" si="15"/>
        <v>0</v>
      </c>
      <c r="P25" s="462">
        <f t="shared" si="16"/>
        <v>0</v>
      </c>
      <c r="Q25" s="460">
        <f t="shared" ca="1" si="17"/>
        <v>6970.7484158941934</v>
      </c>
    </row>
    <row r="26" spans="1:17">
      <c r="A26" s="460" t="s">
        <v>685</v>
      </c>
      <c r="B26" s="461">
        <f t="shared" ca="1" si="2"/>
        <v>1568.5763549077644</v>
      </c>
      <c r="C26" s="461">
        <f t="shared" ca="1" si="3"/>
        <v>0</v>
      </c>
      <c r="D26" s="461">
        <f t="shared" si="4"/>
        <v>4817.0201150107459</v>
      </c>
      <c r="E26" s="461">
        <f t="shared" si="5"/>
        <v>24.900201833696674</v>
      </c>
      <c r="F26" s="461">
        <f t="shared" si="6"/>
        <v>1014.0863888675794</v>
      </c>
      <c r="G26" s="461">
        <f t="shared" si="7"/>
        <v>0</v>
      </c>
      <c r="H26" s="461">
        <f t="shared" si="8"/>
        <v>0</v>
      </c>
      <c r="I26" s="461">
        <f t="shared" si="9"/>
        <v>0</v>
      </c>
      <c r="J26" s="461">
        <f t="shared" si="10"/>
        <v>17.324247458635949</v>
      </c>
      <c r="K26" s="461">
        <f t="shared" si="11"/>
        <v>0</v>
      </c>
      <c r="L26" s="461">
        <f t="shared" si="12"/>
        <v>0</v>
      </c>
      <c r="M26" s="461">
        <f t="shared" si="13"/>
        <v>0</v>
      </c>
      <c r="N26" s="461">
        <f t="shared" si="14"/>
        <v>0</v>
      </c>
      <c r="O26" s="461">
        <f t="shared" si="15"/>
        <v>0</v>
      </c>
      <c r="P26" s="462">
        <f t="shared" si="16"/>
        <v>0</v>
      </c>
      <c r="Q26" s="460">
        <f t="shared" ca="1" si="17"/>
        <v>7441.9073080784228</v>
      </c>
    </row>
    <row r="27" spans="1:17" s="466" customFormat="1">
      <c r="A27" s="464" t="s">
        <v>579</v>
      </c>
      <c r="B27" s="772">
        <f t="shared" ca="1" si="2"/>
        <v>1.0710583620419543</v>
      </c>
      <c r="C27" s="465">
        <f t="shared" ca="1" si="3"/>
        <v>0</v>
      </c>
      <c r="D27" s="465">
        <f t="shared" si="4"/>
        <v>3.3518898781926145</v>
      </c>
      <c r="E27" s="465">
        <f t="shared" si="5"/>
        <v>252.18541790936956</v>
      </c>
      <c r="F27" s="465">
        <f t="shared" si="6"/>
        <v>0</v>
      </c>
      <c r="G27" s="465">
        <f t="shared" si="7"/>
        <v>80720.203838118556</v>
      </c>
      <c r="H27" s="465">
        <f t="shared" si="8"/>
        <v>9544.0318930537996</v>
      </c>
      <c r="I27" s="465">
        <f t="shared" si="9"/>
        <v>0</v>
      </c>
      <c r="J27" s="465">
        <f t="shared" si="10"/>
        <v>0</v>
      </c>
      <c r="K27" s="465">
        <f t="shared" si="11"/>
        <v>0</v>
      </c>
      <c r="L27" s="465">
        <f t="shared" si="12"/>
        <v>0</v>
      </c>
      <c r="M27" s="465">
        <f t="shared" si="13"/>
        <v>0</v>
      </c>
      <c r="N27" s="465">
        <f t="shared" si="14"/>
        <v>0</v>
      </c>
      <c r="O27" s="465">
        <f t="shared" si="15"/>
        <v>0</v>
      </c>
      <c r="P27" s="475">
        <f t="shared" si="16"/>
        <v>0</v>
      </c>
      <c r="Q27" s="464">
        <f t="shared" ca="1" si="17"/>
        <v>90520.844097321969</v>
      </c>
    </row>
    <row r="28" spans="1:17">
      <c r="A28" s="460" t="s">
        <v>569</v>
      </c>
      <c r="B28" s="461">
        <f t="shared" ca="1" si="2"/>
        <v>0</v>
      </c>
      <c r="C28" s="461">
        <f t="shared" ca="1" si="3"/>
        <v>0</v>
      </c>
      <c r="D28" s="461">
        <f t="shared" si="4"/>
        <v>0</v>
      </c>
      <c r="E28" s="461">
        <f t="shared" si="5"/>
        <v>0</v>
      </c>
      <c r="F28" s="461">
        <f t="shared" si="6"/>
        <v>0</v>
      </c>
      <c r="G28" s="461">
        <f t="shared" si="7"/>
        <v>978.06916103110359</v>
      </c>
      <c r="H28" s="461">
        <f t="shared" si="8"/>
        <v>0</v>
      </c>
      <c r="I28" s="461">
        <f t="shared" si="9"/>
        <v>0</v>
      </c>
      <c r="J28" s="461">
        <f t="shared" si="10"/>
        <v>0</v>
      </c>
      <c r="K28" s="461">
        <f t="shared" si="11"/>
        <v>0</v>
      </c>
      <c r="L28" s="461">
        <f t="shared" si="12"/>
        <v>0</v>
      </c>
      <c r="M28" s="461">
        <f t="shared" si="13"/>
        <v>0</v>
      </c>
      <c r="N28" s="461">
        <f t="shared" si="14"/>
        <v>0</v>
      </c>
      <c r="O28" s="461">
        <f t="shared" si="15"/>
        <v>0</v>
      </c>
      <c r="P28" s="462">
        <f t="shared" si="16"/>
        <v>0</v>
      </c>
      <c r="Q28" s="460">
        <f t="shared" ca="1" si="17"/>
        <v>978.06916103110359</v>
      </c>
    </row>
    <row r="29" spans="1:17">
      <c r="A29" s="460" t="s">
        <v>570</v>
      </c>
      <c r="B29" s="461">
        <f t="shared" ca="1" si="2"/>
        <v>0</v>
      </c>
      <c r="C29" s="461">
        <f t="shared" ca="1" si="3"/>
        <v>0</v>
      </c>
      <c r="D29" s="461">
        <f t="shared" si="4"/>
        <v>0</v>
      </c>
      <c r="E29" s="461">
        <f t="shared" si="5"/>
        <v>0</v>
      </c>
      <c r="F29" s="461">
        <f t="shared" si="6"/>
        <v>0</v>
      </c>
      <c r="G29" s="461">
        <f t="shared" si="7"/>
        <v>0</v>
      </c>
      <c r="H29" s="461">
        <f t="shared" si="8"/>
        <v>0</v>
      </c>
      <c r="I29" s="461">
        <f t="shared" si="9"/>
        <v>0</v>
      </c>
      <c r="J29" s="461">
        <f t="shared" si="10"/>
        <v>0</v>
      </c>
      <c r="K29" s="461">
        <f t="shared" si="11"/>
        <v>0</v>
      </c>
      <c r="L29" s="461">
        <f t="shared" si="12"/>
        <v>0</v>
      </c>
      <c r="M29" s="461">
        <f t="shared" si="13"/>
        <v>0</v>
      </c>
      <c r="N29" s="461">
        <f t="shared" si="14"/>
        <v>0</v>
      </c>
      <c r="O29" s="461">
        <f t="shared" si="15"/>
        <v>0</v>
      </c>
      <c r="P29" s="462">
        <f t="shared" si="16"/>
        <v>0</v>
      </c>
      <c r="Q29" s="460">
        <f t="shared" ca="1" si="17"/>
        <v>0</v>
      </c>
    </row>
    <row r="30" spans="1:17">
      <c r="A30" s="460" t="s">
        <v>571</v>
      </c>
      <c r="B30" s="461">
        <f t="shared" ca="1" si="2"/>
        <v>0</v>
      </c>
      <c r="C30" s="461">
        <f t="shared" ca="1" si="3"/>
        <v>0</v>
      </c>
      <c r="D30" s="461">
        <f t="shared" si="4"/>
        <v>0</v>
      </c>
      <c r="E30" s="461">
        <f t="shared" si="5"/>
        <v>0</v>
      </c>
      <c r="F30" s="461">
        <f t="shared" si="6"/>
        <v>0</v>
      </c>
      <c r="G30" s="461">
        <f t="shared" si="7"/>
        <v>0</v>
      </c>
      <c r="H30" s="461">
        <f t="shared" si="8"/>
        <v>0</v>
      </c>
      <c r="I30" s="461">
        <f t="shared" si="9"/>
        <v>0</v>
      </c>
      <c r="J30" s="461">
        <f t="shared" si="10"/>
        <v>0</v>
      </c>
      <c r="K30" s="461">
        <f t="shared" si="11"/>
        <v>0</v>
      </c>
      <c r="L30" s="461">
        <f t="shared" si="12"/>
        <v>0</v>
      </c>
      <c r="M30" s="461">
        <f t="shared" si="13"/>
        <v>0</v>
      </c>
      <c r="N30" s="461">
        <f t="shared" si="14"/>
        <v>0</v>
      </c>
      <c r="O30" s="461">
        <f t="shared" si="15"/>
        <v>0</v>
      </c>
      <c r="P30" s="462">
        <f t="shared" si="16"/>
        <v>0</v>
      </c>
      <c r="Q30" s="460">
        <f t="shared" ca="1" si="17"/>
        <v>0</v>
      </c>
    </row>
    <row r="31" spans="1:17">
      <c r="A31" s="460" t="s">
        <v>572</v>
      </c>
      <c r="B31" s="461">
        <f t="shared" ca="1" si="2"/>
        <v>0</v>
      </c>
      <c r="C31" s="461">
        <f t="shared" ca="1" si="3"/>
        <v>0</v>
      </c>
      <c r="D31" s="461">
        <f t="shared" si="4"/>
        <v>0</v>
      </c>
      <c r="E31" s="461">
        <f t="shared" si="5"/>
        <v>0</v>
      </c>
      <c r="F31" s="461">
        <f t="shared" si="6"/>
        <v>0</v>
      </c>
      <c r="G31" s="461">
        <f t="shared" si="7"/>
        <v>0</v>
      </c>
      <c r="H31" s="461">
        <f t="shared" si="8"/>
        <v>0</v>
      </c>
      <c r="I31" s="461">
        <f t="shared" si="9"/>
        <v>0</v>
      </c>
      <c r="J31" s="461">
        <f t="shared" si="10"/>
        <v>0</v>
      </c>
      <c r="K31" s="461">
        <f t="shared" si="11"/>
        <v>0</v>
      </c>
      <c r="L31" s="461">
        <f t="shared" si="12"/>
        <v>0</v>
      </c>
      <c r="M31" s="461">
        <f t="shared" si="13"/>
        <v>0</v>
      </c>
      <c r="N31" s="461">
        <f t="shared" si="14"/>
        <v>0</v>
      </c>
      <c r="O31" s="461">
        <f t="shared" si="15"/>
        <v>0</v>
      </c>
      <c r="P31" s="462">
        <f t="shared" si="16"/>
        <v>0</v>
      </c>
      <c r="Q31" s="460">
        <f t="shared" ca="1" si="17"/>
        <v>0</v>
      </c>
    </row>
    <row r="32" spans="1:17">
      <c r="A32" s="460" t="s">
        <v>915</v>
      </c>
      <c r="B32" s="461">
        <f t="shared" ca="1" si="2"/>
        <v>255.64214788457136</v>
      </c>
      <c r="C32" s="461">
        <f t="shared" ca="1" si="3"/>
        <v>0</v>
      </c>
      <c r="D32" s="461">
        <f t="shared" si="4"/>
        <v>854.39058189173136</v>
      </c>
      <c r="E32" s="461">
        <f t="shared" si="5"/>
        <v>0</v>
      </c>
      <c r="F32" s="461">
        <f t="shared" si="6"/>
        <v>0</v>
      </c>
      <c r="G32" s="461">
        <f t="shared" si="7"/>
        <v>0</v>
      </c>
      <c r="H32" s="461">
        <f t="shared" si="8"/>
        <v>0</v>
      </c>
      <c r="I32" s="461">
        <f t="shared" si="9"/>
        <v>0</v>
      </c>
      <c r="J32" s="461">
        <f t="shared" si="10"/>
        <v>0</v>
      </c>
      <c r="K32" s="461">
        <f t="shared" si="11"/>
        <v>0</v>
      </c>
      <c r="L32" s="461">
        <f t="shared" si="12"/>
        <v>0</v>
      </c>
      <c r="M32" s="461">
        <f t="shared" si="13"/>
        <v>0</v>
      </c>
      <c r="N32" s="461">
        <f t="shared" si="14"/>
        <v>0</v>
      </c>
      <c r="O32" s="461">
        <f t="shared" si="15"/>
        <v>0</v>
      </c>
      <c r="P32" s="462">
        <f t="shared" si="16"/>
        <v>0</v>
      </c>
      <c r="Q32" s="460">
        <f t="shared" ca="1" si="17"/>
        <v>1110.0327297763026</v>
      </c>
    </row>
    <row r="33" spans="1:17" s="473" customFormat="1">
      <c r="A33" s="470" t="s">
        <v>573</v>
      </c>
      <c r="B33" s="471">
        <f ca="1">SUM(B22:B32)</f>
        <v>20913.233312530941</v>
      </c>
      <c r="C33" s="471">
        <f t="shared" ref="C33:Q33" ca="1" si="18">SUM(C22:C32)</f>
        <v>1791.052567596709</v>
      </c>
      <c r="D33" s="471">
        <f t="shared" ca="1" si="18"/>
        <v>39104.293308666376</v>
      </c>
      <c r="E33" s="471">
        <f t="shared" si="18"/>
        <v>2188.3363599496133</v>
      </c>
      <c r="F33" s="471">
        <f t="shared" ca="1" si="18"/>
        <v>6612.9680829032759</v>
      </c>
      <c r="G33" s="471">
        <f t="shared" si="18"/>
        <v>81698.27299914966</v>
      </c>
      <c r="H33" s="471">
        <f t="shared" si="18"/>
        <v>9544.0318930537996</v>
      </c>
      <c r="I33" s="471">
        <f t="shared" si="18"/>
        <v>0</v>
      </c>
      <c r="J33" s="471">
        <f t="shared" si="18"/>
        <v>292.55231064697062</v>
      </c>
      <c r="K33" s="471">
        <f t="shared" si="18"/>
        <v>0</v>
      </c>
      <c r="L33" s="471">
        <f t="shared" ca="1" si="18"/>
        <v>0</v>
      </c>
      <c r="M33" s="471">
        <f t="shared" si="18"/>
        <v>0</v>
      </c>
      <c r="N33" s="471">
        <f t="shared" ca="1" si="18"/>
        <v>0</v>
      </c>
      <c r="O33" s="471">
        <f t="shared" si="18"/>
        <v>0</v>
      </c>
      <c r="P33" s="471">
        <f t="shared" si="18"/>
        <v>0</v>
      </c>
      <c r="Q33" s="471">
        <f t="shared" ca="1" si="18"/>
        <v>162144.74083449738</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tabColor theme="6"/>
  </sheetPr>
  <dimension ref="A1:Q20"/>
  <sheetViews>
    <sheetView zoomScale="40" zoomScaleNormal="40" workbookViewId="0">
      <selection activeCell="H16" sqref="H16"/>
    </sheetView>
  </sheetViews>
  <sheetFormatPr defaultColWidth="9.140625" defaultRowHeight="15"/>
  <cols>
    <col min="1" max="1" width="51.42578125" style="459" customWidth="1"/>
    <col min="2" max="8" width="26.28515625" style="459" customWidth="1"/>
    <col min="9" max="9" width="32" style="459" customWidth="1"/>
    <col min="10" max="11" width="26.28515625" style="459" customWidth="1"/>
    <col min="12" max="12" width="23.7109375" style="459" customWidth="1"/>
    <col min="13" max="15" width="26.28515625" style="459" customWidth="1"/>
    <col min="16" max="16" width="42" style="459" customWidth="1"/>
    <col min="17" max="17" width="26.28515625" style="459" customWidth="1"/>
    <col min="18" max="18" width="9.5703125" style="459" bestFit="1" customWidth="1"/>
    <col min="19" max="16384" width="9.140625" style="459"/>
  </cols>
  <sheetData>
    <row r="1" spans="1:17" s="933" customFormat="1" ht="21">
      <c r="A1" s="1160" t="s">
        <v>568</v>
      </c>
      <c r="B1" s="1161" t="s">
        <v>872</v>
      </c>
      <c r="C1" s="1161"/>
      <c r="D1" s="1161"/>
      <c r="E1" s="1161"/>
      <c r="F1" s="1161"/>
      <c r="G1" s="1161"/>
      <c r="H1" s="1161"/>
      <c r="I1" s="1161"/>
      <c r="J1" s="1161"/>
      <c r="K1" s="1161"/>
      <c r="L1" s="1161"/>
      <c r="M1" s="1161"/>
      <c r="N1" s="1161"/>
      <c r="O1" s="1161"/>
      <c r="P1" s="1162"/>
      <c r="Q1" s="932"/>
    </row>
    <row r="2" spans="1:17" s="933" customFormat="1" ht="21">
      <c r="A2" s="1160"/>
      <c r="B2" s="1163" t="s">
        <v>21</v>
      </c>
      <c r="C2" s="1165" t="s">
        <v>196</v>
      </c>
      <c r="D2" s="1167" t="s">
        <v>197</v>
      </c>
      <c r="E2" s="1168"/>
      <c r="F2" s="1168"/>
      <c r="G2" s="1168"/>
      <c r="H2" s="1168"/>
      <c r="I2" s="1168"/>
      <c r="J2" s="1168"/>
      <c r="K2" s="1164"/>
      <c r="L2" s="1167" t="s">
        <v>198</v>
      </c>
      <c r="M2" s="1168"/>
      <c r="N2" s="1168"/>
      <c r="O2" s="1168"/>
      <c r="P2" s="1164"/>
      <c r="Q2" s="932"/>
    </row>
    <row r="3" spans="1:17" s="933" customFormat="1" ht="42">
      <c r="A3" s="1160"/>
      <c r="B3" s="1164"/>
      <c r="C3" s="1166"/>
      <c r="D3" s="934" t="s">
        <v>199</v>
      </c>
      <c r="E3" s="934" t="s">
        <v>200</v>
      </c>
      <c r="F3" s="934" t="s">
        <v>201</v>
      </c>
      <c r="G3" s="934" t="s">
        <v>202</v>
      </c>
      <c r="H3" s="934" t="s">
        <v>120</v>
      </c>
      <c r="I3" s="934" t="s">
        <v>203</v>
      </c>
      <c r="J3" s="934" t="s">
        <v>204</v>
      </c>
      <c r="K3" s="934" t="s">
        <v>205</v>
      </c>
      <c r="L3" s="934" t="s">
        <v>206</v>
      </c>
      <c r="M3" s="934" t="s">
        <v>207</v>
      </c>
      <c r="N3" s="934" t="s">
        <v>208</v>
      </c>
      <c r="O3" s="934" t="s">
        <v>209</v>
      </c>
      <c r="P3" s="934" t="s">
        <v>210</v>
      </c>
      <c r="Q3" s="932" t="s">
        <v>116</v>
      </c>
    </row>
    <row r="4" spans="1:17" ht="124.35" customHeight="1">
      <c r="A4" s="935" t="s">
        <v>155</v>
      </c>
      <c r="B4" s="936" t="s">
        <v>873</v>
      </c>
      <c r="C4" s="937" t="s">
        <v>874</v>
      </c>
      <c r="D4" s="938" t="s">
        <v>875</v>
      </c>
      <c r="E4" s="939" t="s">
        <v>876</v>
      </c>
      <c r="F4" s="939" t="s">
        <v>877</v>
      </c>
      <c r="G4" s="940" t="s">
        <v>880</v>
      </c>
      <c r="H4" s="940" t="s">
        <v>880</v>
      </c>
      <c r="I4" s="940" t="s">
        <v>880</v>
      </c>
      <c r="J4" s="939" t="s">
        <v>879</v>
      </c>
      <c r="K4" s="940" t="s">
        <v>880</v>
      </c>
      <c r="L4" s="940" t="s">
        <v>880</v>
      </c>
      <c r="M4" s="940" t="s">
        <v>880</v>
      </c>
      <c r="N4" s="939" t="s">
        <v>881</v>
      </c>
      <c r="O4" s="941" t="s">
        <v>882</v>
      </c>
      <c r="P4" s="942" t="s">
        <v>883</v>
      </c>
      <c r="Q4" s="943"/>
    </row>
    <row r="5" spans="1:17" ht="124.35" customHeight="1">
      <c r="A5" s="944" t="s">
        <v>156</v>
      </c>
      <c r="B5" s="945" t="s">
        <v>884</v>
      </c>
      <c r="C5" s="946" t="s">
        <v>885</v>
      </c>
      <c r="D5" s="946" t="s">
        <v>886</v>
      </c>
      <c r="E5" s="947" t="s">
        <v>887</v>
      </c>
      <c r="F5" s="947" t="s">
        <v>888</v>
      </c>
      <c r="G5" s="948" t="s">
        <v>880</v>
      </c>
      <c r="H5" s="948" t="s">
        <v>880</v>
      </c>
      <c r="I5" s="948" t="s">
        <v>880</v>
      </c>
      <c r="J5" s="947" t="s">
        <v>889</v>
      </c>
      <c r="K5" s="945" t="s">
        <v>890</v>
      </c>
      <c r="L5" s="948" t="s">
        <v>880</v>
      </c>
      <c r="M5" s="948" t="s">
        <v>880</v>
      </c>
      <c r="N5" s="947" t="s">
        <v>891</v>
      </c>
      <c r="O5" s="949" t="s">
        <v>882</v>
      </c>
      <c r="P5" s="950" t="s">
        <v>883</v>
      </c>
      <c r="Q5" s="951"/>
    </row>
    <row r="6" spans="1:17" ht="124.35" customHeight="1">
      <c r="A6" s="944" t="s">
        <v>194</v>
      </c>
      <c r="B6" s="952" t="s">
        <v>892</v>
      </c>
      <c r="C6" s="953" t="s">
        <v>878</v>
      </c>
      <c r="D6" s="948" t="s">
        <v>878</v>
      </c>
      <c r="E6" s="948" t="s">
        <v>878</v>
      </c>
      <c r="F6" s="948" t="s">
        <v>878</v>
      </c>
      <c r="G6" s="948" t="s">
        <v>878</v>
      </c>
      <c r="H6" s="948" t="s">
        <v>878</v>
      </c>
      <c r="I6" s="948" t="s">
        <v>878</v>
      </c>
      <c r="J6" s="948" t="s">
        <v>878</v>
      </c>
      <c r="K6" s="948" t="s">
        <v>878</v>
      </c>
      <c r="L6" s="948" t="s">
        <v>878</v>
      </c>
      <c r="M6" s="948" t="s">
        <v>878</v>
      </c>
      <c r="N6" s="948" t="s">
        <v>878</v>
      </c>
      <c r="O6" s="954" t="s">
        <v>878</v>
      </c>
      <c r="P6" s="955" t="s">
        <v>878</v>
      </c>
      <c r="Q6" s="956"/>
    </row>
    <row r="7" spans="1:17" ht="124.35" customHeight="1">
      <c r="A7" s="944" t="s">
        <v>112</v>
      </c>
      <c r="B7" s="952" t="s">
        <v>892</v>
      </c>
      <c r="C7" s="946" t="s">
        <v>885</v>
      </c>
      <c r="D7" s="946" t="s">
        <v>886</v>
      </c>
      <c r="E7" s="947" t="s">
        <v>887</v>
      </c>
      <c r="F7" s="947" t="s">
        <v>888</v>
      </c>
      <c r="G7" s="948" t="s">
        <v>880</v>
      </c>
      <c r="H7" s="948" t="s">
        <v>880</v>
      </c>
      <c r="I7" s="948" t="s">
        <v>880</v>
      </c>
      <c r="J7" s="947" t="s">
        <v>889</v>
      </c>
      <c r="K7" s="948" t="s">
        <v>880</v>
      </c>
      <c r="L7" s="948" t="s">
        <v>880</v>
      </c>
      <c r="M7" s="948" t="s">
        <v>880</v>
      </c>
      <c r="N7" s="957" t="s">
        <v>880</v>
      </c>
      <c r="O7" s="953" t="s">
        <v>880</v>
      </c>
      <c r="P7" s="958" t="s">
        <v>880</v>
      </c>
      <c r="Q7" s="951"/>
    </row>
    <row r="8" spans="1:17" ht="124.35" customHeight="1">
      <c r="A8" s="944" t="s">
        <v>685</v>
      </c>
      <c r="B8" s="945" t="s">
        <v>893</v>
      </c>
      <c r="C8" s="946" t="s">
        <v>885</v>
      </c>
      <c r="D8" s="946" t="s">
        <v>886</v>
      </c>
      <c r="E8" s="947" t="s">
        <v>887</v>
      </c>
      <c r="F8" s="947" t="s">
        <v>888</v>
      </c>
      <c r="G8" s="948" t="s">
        <v>880</v>
      </c>
      <c r="H8" s="948" t="s">
        <v>880</v>
      </c>
      <c r="I8" s="948" t="s">
        <v>880</v>
      </c>
      <c r="J8" s="947" t="s">
        <v>889</v>
      </c>
      <c r="K8" s="945" t="s">
        <v>890</v>
      </c>
      <c r="L8" s="948" t="s">
        <v>880</v>
      </c>
      <c r="M8" s="948" t="s">
        <v>880</v>
      </c>
      <c r="N8" s="947" t="s">
        <v>891</v>
      </c>
      <c r="O8" s="949" t="s">
        <v>882</v>
      </c>
      <c r="P8" s="950" t="s">
        <v>883</v>
      </c>
      <c r="Q8" s="951"/>
    </row>
    <row r="9" spans="1:17" s="466" customFormat="1" ht="124.35" customHeight="1">
      <c r="A9" s="959" t="s">
        <v>579</v>
      </c>
      <c r="B9" s="947" t="s">
        <v>894</v>
      </c>
      <c r="C9" s="954" t="s">
        <v>878</v>
      </c>
      <c r="D9" s="947" t="s">
        <v>895</v>
      </c>
      <c r="E9" s="947" t="s">
        <v>896</v>
      </c>
      <c r="F9" s="948" t="s">
        <v>878</v>
      </c>
      <c r="G9" s="947" t="s">
        <v>897</v>
      </c>
      <c r="H9" s="947" t="s">
        <v>898</v>
      </c>
      <c r="I9" s="948" t="s">
        <v>878</v>
      </c>
      <c r="J9" s="948" t="s">
        <v>878</v>
      </c>
      <c r="K9" s="948" t="s">
        <v>878</v>
      </c>
      <c r="L9" s="948" t="s">
        <v>878</v>
      </c>
      <c r="M9" s="947" t="s">
        <v>894</v>
      </c>
      <c r="N9" s="948" t="s">
        <v>878</v>
      </c>
      <c r="O9" s="948" t="s">
        <v>878</v>
      </c>
      <c r="P9" s="960" t="s">
        <v>878</v>
      </c>
      <c r="Q9" s="961"/>
    </row>
    <row r="10" spans="1:17" ht="124.35" customHeight="1">
      <c r="A10" s="944" t="s">
        <v>569</v>
      </c>
      <c r="B10" s="945" t="s">
        <v>906</v>
      </c>
      <c r="C10" s="954" t="s">
        <v>878</v>
      </c>
      <c r="D10" s="954" t="s">
        <v>878</v>
      </c>
      <c r="E10" s="954" t="s">
        <v>878</v>
      </c>
      <c r="F10" s="948" t="s">
        <v>878</v>
      </c>
      <c r="G10" s="945" t="s">
        <v>899</v>
      </c>
      <c r="H10" s="948" t="s">
        <v>878</v>
      </c>
      <c r="I10" s="948" t="s">
        <v>878</v>
      </c>
      <c r="J10" s="948" t="s">
        <v>878</v>
      </c>
      <c r="K10" s="948" t="s">
        <v>878</v>
      </c>
      <c r="L10" s="948" t="s">
        <v>878</v>
      </c>
      <c r="M10" s="945" t="s">
        <v>900</v>
      </c>
      <c r="N10" s="948" t="s">
        <v>878</v>
      </c>
      <c r="O10" s="948" t="s">
        <v>878</v>
      </c>
      <c r="P10" s="960" t="s">
        <v>878</v>
      </c>
      <c r="Q10" s="951"/>
    </row>
    <row r="11" spans="1:17" ht="21">
      <c r="A11" s="944" t="s">
        <v>570</v>
      </c>
      <c r="B11" s="962" t="s">
        <v>901</v>
      </c>
      <c r="C11" s="962" t="s">
        <v>901</v>
      </c>
      <c r="D11" s="962" t="s">
        <v>901</v>
      </c>
      <c r="E11" s="962" t="s">
        <v>901</v>
      </c>
      <c r="F11" s="962" t="s">
        <v>901</v>
      </c>
      <c r="G11" s="962" t="s">
        <v>901</v>
      </c>
      <c r="H11" s="962" t="s">
        <v>901</v>
      </c>
      <c r="I11" s="962" t="s">
        <v>901</v>
      </c>
      <c r="J11" s="962" t="s">
        <v>901</v>
      </c>
      <c r="K11" s="962" t="s">
        <v>901</v>
      </c>
      <c r="L11" s="962" t="s">
        <v>901</v>
      </c>
      <c r="M11" s="962" t="s">
        <v>901</v>
      </c>
      <c r="N11" s="962" t="s">
        <v>901</v>
      </c>
      <c r="O11" s="962" t="s">
        <v>901</v>
      </c>
      <c r="P11" s="1032" t="s">
        <v>901</v>
      </c>
      <c r="Q11" s="1033"/>
    </row>
    <row r="12" spans="1:17" ht="21">
      <c r="A12" s="944" t="s">
        <v>571</v>
      </c>
      <c r="B12" s="962" t="s">
        <v>901</v>
      </c>
      <c r="C12" s="962" t="s">
        <v>878</v>
      </c>
      <c r="D12" s="962" t="s">
        <v>878</v>
      </c>
      <c r="E12" s="962" t="s">
        <v>878</v>
      </c>
      <c r="F12" s="962" t="s">
        <v>878</v>
      </c>
      <c r="G12" s="962" t="s">
        <v>878</v>
      </c>
      <c r="H12" s="962" t="s">
        <v>878</v>
      </c>
      <c r="I12" s="962" t="s">
        <v>878</v>
      </c>
      <c r="J12" s="962" t="s">
        <v>878</v>
      </c>
      <c r="K12" s="962" t="s">
        <v>878</v>
      </c>
      <c r="L12" s="962" t="s">
        <v>878</v>
      </c>
      <c r="M12" s="962" t="s">
        <v>878</v>
      </c>
      <c r="N12" s="962" t="s">
        <v>878</v>
      </c>
      <c r="O12" s="962" t="s">
        <v>878</v>
      </c>
      <c r="P12" s="1032" t="s">
        <v>878</v>
      </c>
      <c r="Q12" s="460"/>
    </row>
    <row r="13" spans="1:17" ht="21">
      <c r="A13" s="944" t="s">
        <v>572</v>
      </c>
      <c r="B13" s="962" t="s">
        <v>901</v>
      </c>
      <c r="C13" s="962" t="s">
        <v>878</v>
      </c>
      <c r="D13" s="962" t="s">
        <v>901</v>
      </c>
      <c r="E13" s="962" t="s">
        <v>901</v>
      </c>
      <c r="F13" s="962" t="s">
        <v>878</v>
      </c>
      <c r="G13" s="962" t="s">
        <v>901</v>
      </c>
      <c r="H13" s="962" t="s">
        <v>901</v>
      </c>
      <c r="I13" s="962" t="s">
        <v>878</v>
      </c>
      <c r="J13" s="962" t="s">
        <v>878</v>
      </c>
      <c r="K13" s="962" t="s">
        <v>878</v>
      </c>
      <c r="L13" s="962" t="s">
        <v>878</v>
      </c>
      <c r="M13" s="962" t="s">
        <v>901</v>
      </c>
      <c r="N13" s="962" t="s">
        <v>878</v>
      </c>
      <c r="O13" s="962" t="s">
        <v>878</v>
      </c>
      <c r="P13" s="1032" t="s">
        <v>878</v>
      </c>
      <c r="Q13" s="460"/>
    </row>
    <row r="14" spans="1:17" ht="30">
      <c r="A14" s="963" t="s">
        <v>915</v>
      </c>
      <c r="B14" s="952" t="s">
        <v>892</v>
      </c>
      <c r="C14" s="962" t="s">
        <v>878</v>
      </c>
      <c r="D14" s="952" t="s">
        <v>892</v>
      </c>
      <c r="E14" s="962" t="s">
        <v>878</v>
      </c>
      <c r="F14" s="962" t="s">
        <v>878</v>
      </c>
      <c r="G14" s="962" t="s">
        <v>878</v>
      </c>
      <c r="H14" s="962" t="s">
        <v>878</v>
      </c>
      <c r="I14" s="962" t="s">
        <v>878</v>
      </c>
      <c r="J14" s="962" t="s">
        <v>878</v>
      </c>
      <c r="K14" s="962" t="s">
        <v>878</v>
      </c>
      <c r="L14" s="962" t="s">
        <v>878</v>
      </c>
      <c r="M14" s="962" t="s">
        <v>878</v>
      </c>
      <c r="N14" s="962" t="s">
        <v>878</v>
      </c>
      <c r="O14" s="962" t="s">
        <v>878</v>
      </c>
      <c r="P14" s="962" t="s">
        <v>878</v>
      </c>
      <c r="Q14" s="1034"/>
    </row>
    <row r="15" spans="1:17" s="473" customFormat="1" ht="21">
      <c r="A15" s="964" t="s">
        <v>573</v>
      </c>
      <c r="B15" s="471"/>
      <c r="C15" s="471"/>
      <c r="D15" s="471"/>
      <c r="E15" s="471"/>
      <c r="F15" s="471"/>
      <c r="G15" s="471"/>
      <c r="H15" s="471"/>
      <c r="I15" s="471"/>
      <c r="J15" s="471"/>
      <c r="K15" s="471"/>
      <c r="L15" s="471"/>
      <c r="M15" s="965"/>
      <c r="N15" s="471"/>
      <c r="O15" s="471"/>
      <c r="P15" s="472"/>
      <c r="Q15" s="966"/>
    </row>
    <row r="16" spans="1:17">
      <c r="M16" s="967"/>
    </row>
    <row r="17" spans="1:4">
      <c r="B17" s="968">
        <v>1</v>
      </c>
      <c r="C17" s="969">
        <v>2</v>
      </c>
      <c r="D17" s="970">
        <v>3</v>
      </c>
    </row>
    <row r="18" spans="1:4" ht="252">
      <c r="A18" s="971" t="s">
        <v>902</v>
      </c>
      <c r="B18" s="972" t="s">
        <v>903</v>
      </c>
      <c r="C18" s="973" t="s">
        <v>904</v>
      </c>
      <c r="D18" s="974" t="s">
        <v>905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tabColor theme="6"/>
  </sheetPr>
  <dimension ref="A1:P22"/>
  <sheetViews>
    <sheetView workbookViewId="0">
      <selection activeCell="C32" sqref="C32"/>
    </sheetView>
  </sheetViews>
  <sheetFormatPr defaultRowHeight="15"/>
  <cols>
    <col min="1" max="1" width="51" style="890" bestFit="1" customWidth="1"/>
    <col min="2" max="2" width="27" style="890" customWidth="1"/>
    <col min="3" max="3" width="30.42578125" style="890" customWidth="1"/>
    <col min="4" max="4" width="9.140625" style="890"/>
    <col min="5" max="5" width="15" style="890" customWidth="1"/>
    <col min="6" max="6" width="17" style="890" customWidth="1"/>
    <col min="7" max="7" width="18.140625" style="890" customWidth="1"/>
    <col min="8" max="8" width="16.140625" style="890" customWidth="1"/>
    <col min="9" max="15" width="9.140625" style="890"/>
    <col min="16" max="16" width="26.4257812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60">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c r="A4" s="1036" t="s">
        <v>249</v>
      </c>
      <c r="B4" s="1037">
        <f>'SEAP template'!B72</f>
        <v>9932.805633004109</v>
      </c>
      <c r="C4" s="1037"/>
      <c r="D4" s="1037"/>
      <c r="E4" s="1037"/>
      <c r="F4" s="1037"/>
      <c r="G4" s="1037"/>
      <c r="H4" s="1037"/>
      <c r="I4" s="1037"/>
      <c r="J4" s="1037"/>
      <c r="K4" s="1037"/>
      <c r="L4" s="1037"/>
      <c r="M4" s="1037"/>
      <c r="N4" s="1037"/>
      <c r="O4" s="1037"/>
      <c r="P4" s="1038">
        <f>'SEAP template'!Q72</f>
        <v>0</v>
      </c>
    </row>
    <row r="5" spans="1:16">
      <c r="A5" s="1039" t="s">
        <v>250</v>
      </c>
      <c r="B5" s="1037">
        <f>'SEAP template'!B73</f>
        <v>0</v>
      </c>
      <c r="C5" s="1037"/>
      <c r="D5" s="1037"/>
      <c r="E5" s="1037"/>
      <c r="F5" s="1037"/>
      <c r="G5" s="1037"/>
      <c r="H5" s="1037"/>
      <c r="I5" s="1037"/>
      <c r="J5" s="1037"/>
      <c r="K5" s="1037"/>
      <c r="L5" s="1037"/>
      <c r="M5" s="1037"/>
      <c r="N5" s="1037"/>
      <c r="O5" s="1037"/>
      <c r="P5" s="1038">
        <f>'SEAP template'!Q73</f>
        <v>0</v>
      </c>
    </row>
    <row r="6" spans="1:16">
      <c r="A6" s="1039" t="s">
        <v>251</v>
      </c>
      <c r="B6" s="1037">
        <f>'SEAP template'!B74</f>
        <v>9008.0322387747256</v>
      </c>
      <c r="C6" s="1037"/>
      <c r="D6" s="1037"/>
      <c r="E6" s="1037"/>
      <c r="F6" s="1037"/>
      <c r="G6" s="1037"/>
      <c r="H6" s="1037"/>
      <c r="I6" s="1037"/>
      <c r="J6" s="1037"/>
      <c r="K6" s="1037"/>
      <c r="L6" s="1037"/>
      <c r="M6" s="1037"/>
      <c r="N6" s="1037"/>
      <c r="O6" s="1037"/>
      <c r="P6" s="1038">
        <f>'SEAP template'!Q74</f>
        <v>0</v>
      </c>
    </row>
    <row r="7" spans="1:16">
      <c r="A7" s="1039" t="s">
        <v>909</v>
      </c>
      <c r="B7" s="1037">
        <f>'SEAP template'!B75</f>
        <v>0</v>
      </c>
      <c r="C7" s="1037"/>
      <c r="D7" s="1037"/>
      <c r="E7" s="1037"/>
      <c r="F7" s="1037"/>
      <c r="G7" s="1037"/>
      <c r="H7" s="1037"/>
      <c r="I7" s="1037"/>
      <c r="J7" s="1037"/>
      <c r="K7" s="1037"/>
      <c r="L7" s="1037"/>
      <c r="M7" s="1037"/>
      <c r="N7" s="1037"/>
      <c r="O7" s="1037"/>
      <c r="P7" s="1038">
        <f>'SEAP template'!Q75</f>
        <v>0</v>
      </c>
    </row>
    <row r="8" spans="1:16">
      <c r="A8" s="1036" t="s">
        <v>252</v>
      </c>
      <c r="B8" s="1037">
        <f>'SEAP template'!B76</f>
        <v>7.5970367149746822</v>
      </c>
      <c r="C8" s="1037">
        <f>'SEAP template'!C76</f>
        <v>5265.0086451032066</v>
      </c>
      <c r="D8" s="1037">
        <f>'SEAP template'!D76</f>
        <v>6193.4031307093637</v>
      </c>
      <c r="E8" s="1037">
        <f>'SEAP template'!E76</f>
        <v>0</v>
      </c>
      <c r="F8" s="1037">
        <f>'SEAP template'!F76</f>
        <v>0</v>
      </c>
      <c r="G8" s="1037">
        <f>'SEAP template'!G76</f>
        <v>0</v>
      </c>
      <c r="H8" s="1037">
        <f>'SEAP template'!H76</f>
        <v>0</v>
      </c>
      <c r="I8" s="1037">
        <f>'SEAP template'!I76</f>
        <v>0</v>
      </c>
      <c r="J8" s="1037">
        <f>'SEAP template'!J76</f>
        <v>8.9366445805172745</v>
      </c>
      <c r="K8" s="1037">
        <f>'SEAP template'!K76</f>
        <v>0</v>
      </c>
      <c r="L8" s="1037">
        <f>'SEAP template'!L76</f>
        <v>0</v>
      </c>
      <c r="M8" s="1037">
        <f>'SEAP template'!M76</f>
        <v>0</v>
      </c>
      <c r="N8" s="1037">
        <f>'SEAP template'!N76</f>
        <v>0</v>
      </c>
      <c r="O8" s="1037">
        <f>'SEAP template'!O76</f>
        <v>0</v>
      </c>
      <c r="P8" s="1038">
        <f>'SEAP template'!Q76</f>
        <v>1251.0674324032916</v>
      </c>
    </row>
    <row r="9" spans="1:16">
      <c r="A9" s="1040" t="s">
        <v>925</v>
      </c>
      <c r="B9" s="1037">
        <f>'SEAP template'!B77</f>
        <v>16920</v>
      </c>
      <c r="C9" s="1037">
        <f>'SEAP template'!C77</f>
        <v>0</v>
      </c>
      <c r="D9" s="1037">
        <f>'SEAP template'!D77</f>
        <v>0</v>
      </c>
      <c r="E9" s="1037">
        <f>'SEAP template'!E77</f>
        <v>0</v>
      </c>
      <c r="F9" s="1037">
        <f>'SEAP template'!F77</f>
        <v>0</v>
      </c>
      <c r="G9" s="1037">
        <f>'SEAP template'!G77</f>
        <v>0</v>
      </c>
      <c r="H9" s="1037">
        <f>'SEAP template'!H77</f>
        <v>0</v>
      </c>
      <c r="I9" s="1037">
        <f>'SEAP template'!I77</f>
        <v>0</v>
      </c>
      <c r="J9" s="1037">
        <f>'SEAP template'!J77</f>
        <v>48342.857142857152</v>
      </c>
      <c r="K9" s="1037">
        <f>'SEAP template'!K77</f>
        <v>0</v>
      </c>
      <c r="L9" s="1037">
        <f>'SEAP template'!L77</f>
        <v>0</v>
      </c>
      <c r="M9" s="1037">
        <f>'SEAP template'!M77</f>
        <v>0</v>
      </c>
      <c r="N9" s="1037">
        <f>'SEAP template'!N77</f>
        <v>0</v>
      </c>
      <c r="O9" s="1037">
        <f>'SEAP template'!O77</f>
        <v>0</v>
      </c>
      <c r="P9" s="1038">
        <f>'SEAP template'!Q77</f>
        <v>0</v>
      </c>
    </row>
    <row r="10" spans="1:16">
      <c r="A10" s="1039" t="s">
        <v>116</v>
      </c>
      <c r="B10" s="1041">
        <f>SUM(B4:B9)</f>
        <v>35868.434908493815</v>
      </c>
      <c r="C10" s="1041">
        <f>SUM(C4:C9)</f>
        <v>5265.0086451032066</v>
      </c>
      <c r="D10" s="1041">
        <f t="shared" ref="D10:H10" si="0">SUM(D8:D9)</f>
        <v>6193.4031307093637</v>
      </c>
      <c r="E10" s="1041">
        <f t="shared" si="0"/>
        <v>0</v>
      </c>
      <c r="F10" s="1041">
        <f t="shared" si="0"/>
        <v>0</v>
      </c>
      <c r="G10" s="1041">
        <f t="shared" si="0"/>
        <v>0</v>
      </c>
      <c r="H10" s="1041">
        <f t="shared" si="0"/>
        <v>0</v>
      </c>
      <c r="I10" s="1041">
        <f>SUM(I8:I9)</f>
        <v>0</v>
      </c>
      <c r="J10" s="1041">
        <f>SUM(J8:J9)</f>
        <v>48351.793787437673</v>
      </c>
      <c r="K10" s="1041">
        <f t="shared" ref="K10:L10" si="1">SUM(K8:K9)</f>
        <v>0</v>
      </c>
      <c r="L10" s="1041">
        <f t="shared" si="1"/>
        <v>0</v>
      </c>
      <c r="M10" s="1041">
        <f>SUM(M8:M9)</f>
        <v>0</v>
      </c>
      <c r="N10" s="1041">
        <f>SUM(N8:N9)</f>
        <v>0</v>
      </c>
      <c r="O10" s="1041">
        <f>SUM(O8:O9)</f>
        <v>0</v>
      </c>
      <c r="P10" s="1041">
        <f>SUM(P8:P9)</f>
        <v>1251.0674324032916</v>
      </c>
    </row>
    <row r="11" spans="1:16">
      <c r="A11" s="1042"/>
      <c r="B11" s="1042"/>
      <c r="C11" s="1042"/>
      <c r="D11" s="1042"/>
      <c r="E11" s="1042"/>
      <c r="F11" s="1042"/>
      <c r="G11" s="1042"/>
      <c r="H11" s="1042"/>
      <c r="I11" s="1042"/>
      <c r="J11" s="1042"/>
      <c r="K11" s="1042"/>
      <c r="L11" s="1042"/>
      <c r="M11" s="1042"/>
      <c r="N11" s="1042"/>
      <c r="O11" s="1042"/>
      <c r="P11" s="1042"/>
    </row>
    <row r="12" spans="1:16">
      <c r="A12" s="474" t="s">
        <v>926</v>
      </c>
      <c r="B12" s="778" t="s">
        <v>927</v>
      </c>
      <c r="C12" s="778">
        <f ca="1">'EF ele_warmte'!B12</f>
        <v>0.16752363209235635</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c r="A17" s="1043" t="s">
        <v>252</v>
      </c>
      <c r="B17" s="1044">
        <f>'SEAP template'!B87</f>
        <v>10.876066119268661</v>
      </c>
      <c r="C17" s="1044">
        <f>'SEAP template'!C87</f>
        <v>7537.4891936209915</v>
      </c>
      <c r="D17" s="1038">
        <f>'SEAP template'!D87</f>
        <v>8866.596869290639</v>
      </c>
      <c r="E17" s="1038">
        <f>'SEAP template'!E87</f>
        <v>0</v>
      </c>
      <c r="F17" s="1038">
        <f>'SEAP template'!F87</f>
        <v>0</v>
      </c>
      <c r="G17" s="1038">
        <f>'SEAP template'!G87</f>
        <v>0</v>
      </c>
      <c r="H17" s="1038">
        <f>'SEAP template'!H87</f>
        <v>0</v>
      </c>
      <c r="I17" s="1038">
        <f>'SEAP template'!I87</f>
        <v>0</v>
      </c>
      <c r="J17" s="1038">
        <f>'SEAP template'!J87</f>
        <v>12.793874900002209</v>
      </c>
      <c r="K17" s="1038">
        <f>'SEAP template'!K87</f>
        <v>0</v>
      </c>
      <c r="L17" s="1038">
        <f>'SEAP template'!L87</f>
        <v>0</v>
      </c>
      <c r="M17" s="1038">
        <f>'SEAP template'!M87</f>
        <v>0</v>
      </c>
      <c r="N17" s="1038">
        <f>'SEAP template'!N87</f>
        <v>0</v>
      </c>
      <c r="O17" s="1038">
        <f>'SEAP template'!O87</f>
        <v>0</v>
      </c>
      <c r="P17" s="1038">
        <f>'SEAP template'!Q87</f>
        <v>1791.0525675967092</v>
      </c>
    </row>
    <row r="18" spans="1:16">
      <c r="A18" s="1045" t="s">
        <v>258</v>
      </c>
      <c r="B18" s="1044">
        <f>'SEAP template'!B88</f>
        <v>0</v>
      </c>
      <c r="C18" s="1044">
        <f>'SEAP template'!C88</f>
        <v>0</v>
      </c>
      <c r="D18" s="1038">
        <f>'SEAP template'!D88</f>
        <v>0</v>
      </c>
      <c r="E18" s="1038">
        <f>'SEAP template'!E88</f>
        <v>0</v>
      </c>
      <c r="F18" s="1038">
        <f>'SEAP template'!F88</f>
        <v>0</v>
      </c>
      <c r="G18" s="1038">
        <f>'SEAP template'!G88</f>
        <v>0</v>
      </c>
      <c r="H18" s="1038">
        <f>'SEAP template'!H88</f>
        <v>0</v>
      </c>
      <c r="I18" s="1038">
        <f>'SEAP template'!I88</f>
        <v>0</v>
      </c>
      <c r="J18" s="1038">
        <f>'SEAP template'!J88</f>
        <v>0</v>
      </c>
      <c r="K18" s="1038">
        <f>'SEAP template'!K88</f>
        <v>0</v>
      </c>
      <c r="L18" s="1038">
        <f>'SEAP template'!L88</f>
        <v>0</v>
      </c>
      <c r="M18" s="1038">
        <f>'SEAP template'!M88</f>
        <v>0</v>
      </c>
      <c r="N18" s="1038">
        <f>'SEAP template'!N88</f>
        <v>0</v>
      </c>
      <c r="O18" s="1038">
        <f>'SEAP template'!O88</f>
        <v>0</v>
      </c>
      <c r="P18" s="1038">
        <f>'SEAP template'!Q88</f>
        <v>0</v>
      </c>
    </row>
    <row r="19" spans="1:16">
      <c r="A19" s="1040" t="s">
        <v>932</v>
      </c>
      <c r="B19" s="1044">
        <f>'SEAP template'!B89</f>
        <v>0</v>
      </c>
      <c r="C19" s="1044">
        <f>'SEAP template'!C89</f>
        <v>0</v>
      </c>
      <c r="D19" s="1038">
        <f>'SEAP template'!D89</f>
        <v>0</v>
      </c>
      <c r="E19" s="1038">
        <f>'SEAP template'!E89</f>
        <v>0</v>
      </c>
      <c r="F19" s="1038">
        <f>'SEAP template'!F89</f>
        <v>0</v>
      </c>
      <c r="G19" s="1038">
        <f>'SEAP template'!G89</f>
        <v>0</v>
      </c>
      <c r="H19" s="1038">
        <f>'SEAP template'!H89</f>
        <v>0</v>
      </c>
      <c r="I19" s="1038">
        <f>'SEAP template'!I89</f>
        <v>0</v>
      </c>
      <c r="J19" s="1038">
        <f>'SEAP template'!J89</f>
        <v>0</v>
      </c>
      <c r="K19" s="1038">
        <f>'SEAP template'!K89</f>
        <v>0</v>
      </c>
      <c r="L19" s="1038">
        <f>'SEAP template'!L89</f>
        <v>0</v>
      </c>
      <c r="M19" s="1038">
        <f>'SEAP template'!M89</f>
        <v>0</v>
      </c>
      <c r="N19" s="1038">
        <f>'SEAP template'!N89</f>
        <v>0</v>
      </c>
      <c r="O19" s="1038">
        <f>'SEAP template'!O89</f>
        <v>0</v>
      </c>
      <c r="P19" s="1038">
        <f>'SEAP template'!Q89</f>
        <v>0</v>
      </c>
    </row>
    <row r="20" spans="1:16">
      <c r="A20" s="1046" t="s">
        <v>116</v>
      </c>
      <c r="B20" s="1041">
        <f>SUM(B17:B19)</f>
        <v>10.876066119268661</v>
      </c>
      <c r="C20" s="1041">
        <f>SUM(C17:C19)</f>
        <v>7537.4891936209915</v>
      </c>
      <c r="D20" s="1041">
        <f t="shared" ref="D20:H20" si="2">SUM(D17:D19)</f>
        <v>8866.596869290639</v>
      </c>
      <c r="E20" s="1041">
        <f t="shared" si="2"/>
        <v>0</v>
      </c>
      <c r="F20" s="1041">
        <f t="shared" si="2"/>
        <v>0</v>
      </c>
      <c r="G20" s="1041">
        <f t="shared" si="2"/>
        <v>0</v>
      </c>
      <c r="H20" s="1041">
        <f t="shared" si="2"/>
        <v>0</v>
      </c>
      <c r="I20" s="1041">
        <f>SUM(I17:I19)</f>
        <v>0</v>
      </c>
      <c r="J20" s="1041">
        <f>SUM(J17:J19)</f>
        <v>12.793874900002209</v>
      </c>
      <c r="K20" s="1041">
        <f t="shared" ref="K20:L20" si="3">SUM(K17:K19)</f>
        <v>0</v>
      </c>
      <c r="L20" s="1041">
        <f t="shared" si="3"/>
        <v>0</v>
      </c>
      <c r="M20" s="1041">
        <f>SUM(M17:M19)</f>
        <v>0</v>
      </c>
      <c r="N20" s="1041">
        <f>SUM(N17:N19)</f>
        <v>0</v>
      </c>
      <c r="O20" s="1041">
        <f>SUM(O17:O19)</f>
        <v>0</v>
      </c>
      <c r="P20" s="1041">
        <f>SUM(P17:P19)</f>
        <v>1791.0525675967092</v>
      </c>
    </row>
    <row r="22" spans="1:16">
      <c r="A22" s="474" t="s">
        <v>933</v>
      </c>
      <c r="B22" s="778" t="s">
        <v>927</v>
      </c>
      <c r="C22" s="778">
        <f ca="1">'EF ele_warmte'!B22</f>
        <v>0.23727688128042965</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tabColor theme="6"/>
  </sheetPr>
  <dimension ref="A1:P22"/>
  <sheetViews>
    <sheetView workbookViewId="0">
      <selection activeCell="F6" sqref="F6"/>
    </sheetView>
  </sheetViews>
  <sheetFormatPr defaultRowHeight="15"/>
  <cols>
    <col min="1" max="1" width="49.5703125" style="890" customWidth="1"/>
    <col min="2" max="2" width="23.5703125" style="890" customWidth="1"/>
    <col min="3" max="3" width="25.28515625" style="890" customWidth="1"/>
    <col min="4" max="10" width="18.42578125" style="890" bestFit="1" customWidth="1"/>
    <col min="11" max="11" width="24.28515625" style="890" bestFit="1" customWidth="1"/>
    <col min="12" max="12" width="22.42578125" style="890" bestFit="1" customWidth="1"/>
    <col min="13" max="13" width="18.42578125" style="890" bestFit="1" customWidth="1"/>
    <col min="14" max="14" width="28.42578125" style="890" bestFit="1" customWidth="1"/>
    <col min="15" max="15" width="18.42578125" style="890" bestFit="1" customWidth="1"/>
    <col min="16" max="16" width="16.7109375" style="890" customWidth="1"/>
    <col min="17" max="16384" width="9.140625" style="890"/>
  </cols>
  <sheetData>
    <row r="1" spans="1:16" ht="15.75">
      <c r="A1" s="1171" t="s">
        <v>241</v>
      </c>
      <c r="B1" s="1169" t="s">
        <v>351</v>
      </c>
      <c r="C1" s="1169"/>
      <c r="D1" s="1172" t="s">
        <v>352</v>
      </c>
      <c r="E1" s="1172"/>
      <c r="F1" s="1172"/>
      <c r="G1" s="1172"/>
      <c r="H1" s="1172"/>
      <c r="I1" s="1172"/>
      <c r="J1" s="1172"/>
      <c r="K1" s="1172"/>
      <c r="L1" s="1172"/>
      <c r="M1" s="1172"/>
      <c r="N1" s="1172"/>
      <c r="O1" s="1172"/>
      <c r="P1" s="1169" t="s">
        <v>919</v>
      </c>
    </row>
    <row r="2" spans="1:16" ht="15.75">
      <c r="A2" s="1171"/>
      <c r="B2" s="1169"/>
      <c r="C2" s="1169"/>
      <c r="D2" s="1172" t="s">
        <v>197</v>
      </c>
      <c r="E2" s="1172"/>
      <c r="F2" s="1172"/>
      <c r="G2" s="1172"/>
      <c r="H2" s="1172"/>
      <c r="I2" s="1035" t="s">
        <v>920</v>
      </c>
      <c r="J2" s="1035" t="s">
        <v>234</v>
      </c>
      <c r="K2" s="1035" t="s">
        <v>921</v>
      </c>
      <c r="L2" s="1035" t="s">
        <v>909</v>
      </c>
      <c r="M2" s="1035" t="s">
        <v>245</v>
      </c>
      <c r="N2" s="1035" t="s">
        <v>922</v>
      </c>
      <c r="O2" s="1035" t="s">
        <v>127</v>
      </c>
      <c r="P2" s="1169"/>
    </row>
    <row r="3" spans="1:16" ht="30">
      <c r="A3" s="1171"/>
      <c r="B3" s="1035" t="s">
        <v>923</v>
      </c>
      <c r="C3" s="1035" t="s">
        <v>924</v>
      </c>
      <c r="D3" s="1035" t="s">
        <v>199</v>
      </c>
      <c r="E3" s="1035" t="s">
        <v>200</v>
      </c>
      <c r="F3" s="1035" t="s">
        <v>201</v>
      </c>
      <c r="G3" s="1035" t="s">
        <v>203</v>
      </c>
      <c r="H3" s="1035" t="s">
        <v>204</v>
      </c>
      <c r="I3" s="1035"/>
      <c r="J3" s="1035"/>
      <c r="K3" s="1035"/>
      <c r="L3" s="1035"/>
      <c r="M3" s="1035"/>
      <c r="N3" s="1035"/>
      <c r="O3" s="1035"/>
      <c r="P3" s="1169"/>
    </row>
    <row r="4" spans="1:16" ht="135">
      <c r="A4" s="1047" t="s">
        <v>249</v>
      </c>
      <c r="B4" s="1048" t="s">
        <v>934</v>
      </c>
      <c r="C4" s="1049" t="s">
        <v>878</v>
      </c>
      <c r="D4" s="1049" t="s">
        <v>878</v>
      </c>
      <c r="E4" s="1049" t="s">
        <v>878</v>
      </c>
      <c r="F4" s="1049" t="s">
        <v>878</v>
      </c>
      <c r="G4" s="1049" t="s">
        <v>878</v>
      </c>
      <c r="H4" s="1049" t="s">
        <v>878</v>
      </c>
      <c r="I4" s="1049" t="s">
        <v>878</v>
      </c>
      <c r="J4" s="1049" t="s">
        <v>878</v>
      </c>
      <c r="K4" s="1049" t="s">
        <v>878</v>
      </c>
      <c r="L4" s="1049" t="s">
        <v>878</v>
      </c>
      <c r="M4" s="1049" t="s">
        <v>878</v>
      </c>
      <c r="N4" s="1049" t="s">
        <v>878</v>
      </c>
      <c r="O4" s="1049" t="s">
        <v>878</v>
      </c>
      <c r="P4" s="1050" t="s">
        <v>935</v>
      </c>
    </row>
    <row r="5" spans="1:16" ht="135">
      <c r="A5" s="1051" t="s">
        <v>250</v>
      </c>
      <c r="B5" s="1048" t="s">
        <v>934</v>
      </c>
      <c r="C5" s="1049" t="s">
        <v>878</v>
      </c>
      <c r="D5" s="1049" t="s">
        <v>878</v>
      </c>
      <c r="E5" s="1049" t="s">
        <v>878</v>
      </c>
      <c r="F5" s="1049" t="s">
        <v>878</v>
      </c>
      <c r="G5" s="1049" t="s">
        <v>878</v>
      </c>
      <c r="H5" s="1049" t="s">
        <v>878</v>
      </c>
      <c r="I5" s="1049" t="s">
        <v>878</v>
      </c>
      <c r="J5" s="1049" t="s">
        <v>878</v>
      </c>
      <c r="K5" s="1049" t="s">
        <v>878</v>
      </c>
      <c r="L5" s="1049" t="s">
        <v>878</v>
      </c>
      <c r="M5" s="1049" t="s">
        <v>878</v>
      </c>
      <c r="N5" s="1049" t="s">
        <v>878</v>
      </c>
      <c r="O5" s="1049" t="s">
        <v>878</v>
      </c>
      <c r="P5" s="1050" t="s">
        <v>935</v>
      </c>
    </row>
    <row r="6" spans="1:16" ht="135">
      <c r="A6" s="1051" t="s">
        <v>251</v>
      </c>
      <c r="B6" s="1048" t="s">
        <v>934</v>
      </c>
      <c r="C6" s="1049" t="s">
        <v>878</v>
      </c>
      <c r="D6" s="1049" t="s">
        <v>878</v>
      </c>
      <c r="E6" s="1049" t="s">
        <v>878</v>
      </c>
      <c r="F6" s="1049" t="s">
        <v>878</v>
      </c>
      <c r="G6" s="1049" t="s">
        <v>878</v>
      </c>
      <c r="H6" s="1049" t="s">
        <v>878</v>
      </c>
      <c r="I6" s="1049" t="s">
        <v>878</v>
      </c>
      <c r="J6" s="1049" t="s">
        <v>878</v>
      </c>
      <c r="K6" s="1049" t="s">
        <v>878</v>
      </c>
      <c r="L6" s="1049" t="s">
        <v>878</v>
      </c>
      <c r="M6" s="1049" t="s">
        <v>878</v>
      </c>
      <c r="N6" s="1049" t="s">
        <v>878</v>
      </c>
      <c r="O6" s="1049" t="s">
        <v>878</v>
      </c>
      <c r="P6" s="1050" t="s">
        <v>935</v>
      </c>
    </row>
    <row r="7" spans="1:16" ht="135">
      <c r="A7" s="1051" t="s">
        <v>909</v>
      </c>
      <c r="B7" s="1049" t="s">
        <v>878</v>
      </c>
      <c r="C7" s="1049" t="s">
        <v>878</v>
      </c>
      <c r="D7" s="1049" t="s">
        <v>878</v>
      </c>
      <c r="E7" s="1049" t="s">
        <v>878</v>
      </c>
      <c r="F7" s="1049" t="s">
        <v>878</v>
      </c>
      <c r="G7" s="1049" t="s">
        <v>878</v>
      </c>
      <c r="H7" s="1049" t="s">
        <v>878</v>
      </c>
      <c r="I7" s="1049" t="s">
        <v>878</v>
      </c>
      <c r="J7" s="1049" t="s">
        <v>878</v>
      </c>
      <c r="K7" s="1049" t="s">
        <v>878</v>
      </c>
      <c r="L7" s="1049" t="s">
        <v>878</v>
      </c>
      <c r="M7" s="1049" t="s">
        <v>878</v>
      </c>
      <c r="N7" s="1049" t="s">
        <v>878</v>
      </c>
      <c r="O7" s="1049" t="s">
        <v>878</v>
      </c>
      <c r="P7" s="1050" t="s">
        <v>935</v>
      </c>
    </row>
    <row r="8" spans="1:16" ht="210">
      <c r="A8" s="1047" t="s">
        <v>252</v>
      </c>
      <c r="B8" s="1048" t="s">
        <v>936</v>
      </c>
      <c r="C8" s="1048" t="s">
        <v>936</v>
      </c>
      <c r="D8" s="1048" t="s">
        <v>936</v>
      </c>
      <c r="E8" s="1048" t="s">
        <v>936</v>
      </c>
      <c r="F8" s="1048" t="s">
        <v>936</v>
      </c>
      <c r="G8" s="1048" t="s">
        <v>936</v>
      </c>
      <c r="H8" s="1048" t="s">
        <v>936</v>
      </c>
      <c r="I8" s="1048" t="s">
        <v>936</v>
      </c>
      <c r="J8" s="1048" t="s">
        <v>936</v>
      </c>
      <c r="K8" s="1049" t="s">
        <v>878</v>
      </c>
      <c r="L8" s="1049" t="s">
        <v>878</v>
      </c>
      <c r="M8" s="1049" t="s">
        <v>878</v>
      </c>
      <c r="N8" s="1048" t="s">
        <v>937</v>
      </c>
      <c r="O8" s="1048" t="s">
        <v>937</v>
      </c>
      <c r="P8" s="1052"/>
    </row>
    <row r="9" spans="1:16" ht="210">
      <c r="A9" s="1053" t="s">
        <v>925</v>
      </c>
      <c r="B9" s="1048" t="s">
        <v>937</v>
      </c>
      <c r="C9" s="1048" t="s">
        <v>937</v>
      </c>
      <c r="D9" s="1048" t="s">
        <v>937</v>
      </c>
      <c r="E9" s="1048" t="s">
        <v>937</v>
      </c>
      <c r="F9" s="1048" t="s">
        <v>937</v>
      </c>
      <c r="G9" s="1048" t="s">
        <v>937</v>
      </c>
      <c r="H9" s="1048" t="s">
        <v>937</v>
      </c>
      <c r="I9" s="1048" t="s">
        <v>937</v>
      </c>
      <c r="J9" s="1048" t="s">
        <v>937</v>
      </c>
      <c r="K9" s="1049" t="s">
        <v>878</v>
      </c>
      <c r="L9" s="1048" t="s">
        <v>937</v>
      </c>
      <c r="M9" s="1048" t="s">
        <v>937</v>
      </c>
      <c r="N9" s="1048" t="s">
        <v>937</v>
      </c>
      <c r="O9" s="1048" t="s">
        <v>937</v>
      </c>
      <c r="P9" s="1052"/>
    </row>
    <row r="10" spans="1:16">
      <c r="A10" s="1051" t="s">
        <v>116</v>
      </c>
      <c r="B10" s="1054"/>
      <c r="C10" s="1054"/>
      <c r="D10" s="1054"/>
      <c r="E10" s="1054"/>
      <c r="F10" s="1054"/>
      <c r="G10" s="1054"/>
      <c r="H10" s="1054"/>
      <c r="I10" s="1054"/>
      <c r="J10" s="1054"/>
      <c r="K10" s="1054"/>
      <c r="L10" s="1054"/>
      <c r="M10" s="1054"/>
      <c r="N10" s="1054"/>
      <c r="O10" s="1054"/>
      <c r="P10" s="1054"/>
    </row>
    <row r="11" spans="1:16">
      <c r="A11" s="1042"/>
      <c r="B11" s="1042"/>
      <c r="C11" s="1042"/>
      <c r="D11" s="1042"/>
      <c r="E11" s="1042"/>
      <c r="F11" s="1042"/>
      <c r="G11" s="1042"/>
      <c r="H11" s="1042"/>
      <c r="I11" s="1042"/>
      <c r="J11" s="1042"/>
      <c r="K11" s="1042"/>
      <c r="L11" s="1042"/>
      <c r="M11" s="1042"/>
      <c r="N11" s="1042"/>
      <c r="O11" s="1042"/>
      <c r="P11" s="1042"/>
    </row>
    <row r="12" spans="1:16" ht="150">
      <c r="A12" s="474" t="s">
        <v>926</v>
      </c>
      <c r="B12" s="778" t="s">
        <v>927</v>
      </c>
      <c r="C12" s="1055" t="s">
        <v>938</v>
      </c>
      <c r="D12" s="1042"/>
      <c r="E12" s="1042"/>
      <c r="F12" s="1042"/>
      <c r="G12" s="1042"/>
      <c r="H12" s="1042"/>
      <c r="I12" s="1042"/>
      <c r="J12" s="1042"/>
      <c r="K12" s="1042"/>
      <c r="L12" s="1042"/>
      <c r="M12" s="1042"/>
      <c r="N12" s="1042"/>
      <c r="O12" s="1042"/>
      <c r="P12" s="1042"/>
    </row>
    <row r="13" spans="1:16">
      <c r="A13" s="1042"/>
      <c r="B13" s="1042"/>
      <c r="C13" s="1042"/>
      <c r="D13" s="1042"/>
      <c r="E13" s="1042"/>
      <c r="F13" s="1042"/>
      <c r="G13" s="1042"/>
      <c r="H13" s="1042"/>
      <c r="I13" s="1042"/>
      <c r="J13" s="1042"/>
      <c r="K13" s="1042"/>
      <c r="L13" s="1042"/>
      <c r="M13" s="1042"/>
      <c r="N13" s="1042"/>
      <c r="O13" s="1042"/>
      <c r="P13" s="1042"/>
    </row>
    <row r="14" spans="1:16" ht="15.75">
      <c r="A14" s="1171" t="s">
        <v>253</v>
      </c>
      <c r="B14" s="1169" t="s">
        <v>355</v>
      </c>
      <c r="C14" s="1169"/>
      <c r="D14" s="1172" t="s">
        <v>356</v>
      </c>
      <c r="E14" s="1172"/>
      <c r="F14" s="1172"/>
      <c r="G14" s="1172"/>
      <c r="H14" s="1172"/>
      <c r="I14" s="1172"/>
      <c r="J14" s="1172"/>
      <c r="K14" s="1172"/>
      <c r="L14" s="1172"/>
      <c r="M14" s="1172"/>
      <c r="N14" s="1172"/>
      <c r="O14" s="1172"/>
      <c r="P14" s="1169" t="s">
        <v>928</v>
      </c>
    </row>
    <row r="15" spans="1:16">
      <c r="A15" s="1171"/>
      <c r="B15" s="1169"/>
      <c r="C15" s="1169"/>
      <c r="D15" s="1173" t="s">
        <v>197</v>
      </c>
      <c r="E15" s="1173"/>
      <c r="F15" s="1173"/>
      <c r="G15" s="1173"/>
      <c r="H15" s="1173"/>
      <c r="I15" s="1169" t="s">
        <v>920</v>
      </c>
      <c r="J15" s="1169" t="s">
        <v>234</v>
      </c>
      <c r="K15" s="1169" t="s">
        <v>921</v>
      </c>
      <c r="L15" s="1169" t="s">
        <v>909</v>
      </c>
      <c r="M15" s="1169" t="s">
        <v>245</v>
      </c>
      <c r="N15" s="1169" t="s">
        <v>929</v>
      </c>
      <c r="O15" s="1169" t="s">
        <v>127</v>
      </c>
      <c r="P15" s="1169"/>
    </row>
    <row r="16" spans="1:16" ht="30">
      <c r="A16" s="1171"/>
      <c r="B16" s="1035" t="s">
        <v>930</v>
      </c>
      <c r="C16" s="1035" t="s">
        <v>931</v>
      </c>
      <c r="D16" s="1035" t="s">
        <v>199</v>
      </c>
      <c r="E16" s="1035" t="s">
        <v>200</v>
      </c>
      <c r="F16" s="1035" t="s">
        <v>201</v>
      </c>
      <c r="G16" s="1035" t="s">
        <v>203</v>
      </c>
      <c r="H16" s="1035" t="s">
        <v>204</v>
      </c>
      <c r="I16" s="1169"/>
      <c r="J16" s="1169"/>
      <c r="K16" s="1169"/>
      <c r="L16" s="1169"/>
      <c r="M16" s="1169"/>
      <c r="N16" s="1169"/>
      <c r="O16" s="1170"/>
      <c r="P16" s="1169"/>
    </row>
    <row r="17" spans="1:16" ht="210">
      <c r="A17" s="1043" t="s">
        <v>252</v>
      </c>
      <c r="B17" s="1048" t="s">
        <v>937</v>
      </c>
      <c r="C17" s="1048" t="s">
        <v>937</v>
      </c>
      <c r="D17" s="1048" t="s">
        <v>937</v>
      </c>
      <c r="E17" s="1048" t="s">
        <v>937</v>
      </c>
      <c r="F17" s="1048" t="s">
        <v>937</v>
      </c>
      <c r="G17" s="1048" t="s">
        <v>937</v>
      </c>
      <c r="H17" s="1048" t="s">
        <v>937</v>
      </c>
      <c r="I17" s="1048" t="s">
        <v>937</v>
      </c>
      <c r="J17" s="1048" t="s">
        <v>937</v>
      </c>
      <c r="K17" s="1049" t="s">
        <v>878</v>
      </c>
      <c r="L17" s="1049" t="s">
        <v>878</v>
      </c>
      <c r="M17" s="1049" t="s">
        <v>878</v>
      </c>
      <c r="N17" s="1048" t="s">
        <v>937</v>
      </c>
      <c r="O17" s="1048" t="s">
        <v>937</v>
      </c>
      <c r="P17" s="1056"/>
    </row>
    <row r="18" spans="1:16" ht="45">
      <c r="A18" s="1045" t="s">
        <v>258</v>
      </c>
      <c r="B18" s="1050" t="s">
        <v>901</v>
      </c>
      <c r="C18" s="1050" t="s">
        <v>901</v>
      </c>
      <c r="D18" s="1050" t="s">
        <v>901</v>
      </c>
      <c r="E18" s="1050" t="s">
        <v>901</v>
      </c>
      <c r="F18" s="1050" t="s">
        <v>901</v>
      </c>
      <c r="G18" s="1050" t="s">
        <v>901</v>
      </c>
      <c r="H18" s="1050" t="s">
        <v>901</v>
      </c>
      <c r="I18" s="1050" t="s">
        <v>901</v>
      </c>
      <c r="J18" s="1050" t="s">
        <v>901</v>
      </c>
      <c r="K18" s="1050" t="s">
        <v>901</v>
      </c>
      <c r="L18" s="1050" t="s">
        <v>901</v>
      </c>
      <c r="M18" s="1050" t="s">
        <v>901</v>
      </c>
      <c r="N18" s="1050" t="s">
        <v>901</v>
      </c>
      <c r="O18" s="1050" t="s">
        <v>901</v>
      </c>
      <c r="P18" s="1050" t="s">
        <v>901</v>
      </c>
    </row>
    <row r="19" spans="1:16" ht="45">
      <c r="A19" s="1040" t="s">
        <v>932</v>
      </c>
      <c r="B19" s="1050" t="s">
        <v>901</v>
      </c>
      <c r="C19" s="1050" t="s">
        <v>901</v>
      </c>
      <c r="D19" s="1050" t="s">
        <v>901</v>
      </c>
      <c r="E19" s="1050" t="s">
        <v>901</v>
      </c>
      <c r="F19" s="1050" t="s">
        <v>901</v>
      </c>
      <c r="G19" s="1050" t="s">
        <v>901</v>
      </c>
      <c r="H19" s="1050" t="s">
        <v>901</v>
      </c>
      <c r="I19" s="1050" t="s">
        <v>901</v>
      </c>
      <c r="J19" s="1050" t="s">
        <v>901</v>
      </c>
      <c r="K19" s="1050" t="s">
        <v>901</v>
      </c>
      <c r="L19" s="1050" t="s">
        <v>901</v>
      </c>
      <c r="M19" s="1050" t="s">
        <v>901</v>
      </c>
      <c r="N19" s="1050" t="s">
        <v>901</v>
      </c>
      <c r="O19" s="1050" t="s">
        <v>901</v>
      </c>
      <c r="P19" s="1050" t="s">
        <v>901</v>
      </c>
    </row>
    <row r="20" spans="1:16">
      <c r="A20" s="1046" t="s">
        <v>116</v>
      </c>
      <c r="B20" s="1041"/>
      <c r="C20" s="1041"/>
      <c r="D20" s="1041"/>
      <c r="E20" s="1041"/>
      <c r="F20" s="1041"/>
      <c r="G20" s="1041"/>
      <c r="H20" s="1041"/>
      <c r="I20" s="1041"/>
      <c r="J20" s="1041"/>
      <c r="K20" s="1041"/>
      <c r="L20" s="1041"/>
      <c r="M20" s="1041"/>
      <c r="N20" s="1041"/>
      <c r="O20" s="1041"/>
      <c r="P20" s="1041"/>
    </row>
    <row r="22" spans="1:16" ht="90">
      <c r="A22" s="474" t="s">
        <v>933</v>
      </c>
      <c r="B22" s="778" t="s">
        <v>927</v>
      </c>
      <c r="C22" s="1055" t="s">
        <v>939</v>
      </c>
    </row>
  </sheetData>
  <mergeCells count="17">
    <mergeCell ref="A14:A16"/>
    <mergeCell ref="B14:C15"/>
    <mergeCell ref="D14:O14"/>
    <mergeCell ref="P14:P16"/>
    <mergeCell ref="D15:H15"/>
    <mergeCell ref="A1:A3"/>
    <mergeCell ref="B1:C2"/>
    <mergeCell ref="D1:O1"/>
    <mergeCell ref="P1:P3"/>
    <mergeCell ref="D2:H2"/>
    <mergeCell ref="O15:O16"/>
    <mergeCell ref="I15:I16"/>
    <mergeCell ref="J15:J16"/>
    <mergeCell ref="K15:K16"/>
    <mergeCell ref="L15:L16"/>
    <mergeCell ref="M15:M16"/>
    <mergeCell ref="N15:N16"/>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20">
    <tabColor theme="8"/>
  </sheetPr>
  <dimension ref="A1:C16"/>
  <sheetViews>
    <sheetView showGridLines="0" workbookViewId="0">
      <selection activeCell="B32" sqref="B32"/>
    </sheetView>
  </sheetViews>
  <sheetFormatPr defaultRowHeight="15"/>
  <cols>
    <col min="1" max="1" width="39.140625" bestFit="1" customWidth="1"/>
    <col min="2" max="2" width="86.7109375" customWidth="1"/>
    <col min="3" max="3" width="132.85546875" bestFit="1" customWidth="1"/>
  </cols>
  <sheetData>
    <row r="1" spans="1:3" ht="15.75" thickBot="1"/>
    <row r="2" spans="1:3" s="12" customFormat="1" ht="54.75" customHeight="1" thickBot="1">
      <c r="A2" s="136" t="s">
        <v>385</v>
      </c>
      <c r="B2" s="111"/>
      <c r="C2" s="112"/>
    </row>
    <row r="3" spans="1:3" s="16" customFormat="1" ht="15.75">
      <c r="A3" s="99"/>
      <c r="B3" s="71"/>
      <c r="C3" s="100"/>
    </row>
    <row r="4" spans="1:3">
      <c r="A4" s="96" t="s">
        <v>364</v>
      </c>
      <c r="B4" s="70" t="s">
        <v>376</v>
      </c>
      <c r="C4" s="101" t="s">
        <v>375</v>
      </c>
    </row>
    <row r="5" spans="1:3">
      <c r="A5" s="113"/>
      <c r="B5" s="44"/>
      <c r="C5" s="97"/>
    </row>
    <row r="6" spans="1:3" ht="30">
      <c r="A6" s="114" t="s">
        <v>596</v>
      </c>
      <c r="B6" s="76" t="s">
        <v>597</v>
      </c>
      <c r="C6" s="444" t="s">
        <v>580</v>
      </c>
    </row>
    <row r="7" spans="1:3">
      <c r="A7" s="126"/>
      <c r="B7" s="130"/>
      <c r="C7" s="123"/>
    </row>
    <row r="8" spans="1:3">
      <c r="A8" s="114" t="s">
        <v>599</v>
      </c>
      <c r="B8" s="76" t="s">
        <v>598</v>
      </c>
      <c r="C8" s="444" t="s">
        <v>389</v>
      </c>
    </row>
    <row r="9" spans="1:3">
      <c r="A9" s="126"/>
      <c r="B9" s="130"/>
      <c r="C9" s="123"/>
    </row>
    <row r="10" spans="1:3">
      <c r="A10" s="114" t="s">
        <v>328</v>
      </c>
      <c r="B10" s="76" t="s">
        <v>387</v>
      </c>
      <c r="C10" s="115" t="s">
        <v>389</v>
      </c>
    </row>
    <row r="11" spans="1:3">
      <c r="A11" s="126"/>
      <c r="B11" s="130"/>
      <c r="C11" s="123"/>
    </row>
    <row r="12" spans="1:3" ht="30">
      <c r="A12" s="114" t="s">
        <v>420</v>
      </c>
      <c r="B12" s="76" t="s">
        <v>539</v>
      </c>
      <c r="C12" s="316" t="s">
        <v>633</v>
      </c>
    </row>
    <row r="13" spans="1:3">
      <c r="A13" s="142"/>
      <c r="B13" s="125"/>
      <c r="C13" s="304"/>
    </row>
    <row r="14" spans="1:3" s="12" customFormat="1">
      <c r="A14" s="114" t="s">
        <v>616</v>
      </c>
      <c r="B14" s="131" t="s">
        <v>617</v>
      </c>
      <c r="C14" s="132" t="s">
        <v>618</v>
      </c>
    </row>
    <row r="15" spans="1:3" s="12" customFormat="1">
      <c r="A15" s="142"/>
      <c r="B15" s="161"/>
      <c r="C15" s="162"/>
    </row>
    <row r="16" spans="1:3" ht="21">
      <c r="A16" s="127" t="s">
        <v>484</v>
      </c>
      <c r="B16" s="126"/>
      <c r="C16" s="123"/>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sheetPr codeName="Sheet1">
    <tabColor theme="8"/>
  </sheetPr>
  <dimension ref="A1:P35"/>
  <sheetViews>
    <sheetView showGridLines="0" topLeftCell="B1" zoomScale="71" zoomScaleNormal="71" workbookViewId="0">
      <selection activeCell="O15" sqref="O15"/>
    </sheetView>
  </sheetViews>
  <sheetFormatPr defaultColWidth="9.140625" defaultRowHeight="15" outlineLevelRow="1"/>
  <cols>
    <col min="1" max="1" width="51.7109375" style="459" customWidth="1"/>
    <col min="2" max="2" width="15" style="459" customWidth="1"/>
    <col min="3" max="3" width="25.140625" style="459" customWidth="1"/>
    <col min="4" max="4" width="15" style="459" customWidth="1"/>
    <col min="5" max="5" width="40.5703125" style="459" customWidth="1"/>
    <col min="6" max="6" width="14.85546875" style="459" customWidth="1"/>
    <col min="7" max="7" width="8.5703125" style="459" bestFit="1" customWidth="1"/>
    <col min="8" max="8" width="10.85546875" style="459" bestFit="1" customWidth="1"/>
    <col min="9" max="9" width="15.7109375" style="459" customWidth="1"/>
    <col min="10" max="10" width="15.42578125" style="459" customWidth="1"/>
    <col min="11" max="11" width="17.42578125" style="459" customWidth="1"/>
    <col min="12" max="12" width="14.5703125" style="459" customWidth="1"/>
    <col min="13" max="13" width="15.5703125" style="459" customWidth="1"/>
    <col min="14" max="14" width="17.85546875" style="459" customWidth="1"/>
    <col min="15" max="15" width="35.7109375" style="459" customWidth="1"/>
    <col min="16" max="16" width="43.5703125" style="459" customWidth="1"/>
    <col min="17" max="17" width="9.140625" style="459"/>
    <col min="18" max="18" width="20.42578125" style="459" customWidth="1"/>
    <col min="19" max="16384" width="9.140625" style="459"/>
  </cols>
  <sheetData>
    <row r="1" spans="1:16" ht="15.75" customHeight="1" outlineLevel="1" thickTop="1" thickBot="1">
      <c r="A1" s="1174" t="s">
        <v>388</v>
      </c>
      <c r="B1" s="1175" t="s">
        <v>195</v>
      </c>
      <c r="C1" s="1176"/>
      <c r="D1" s="1176"/>
      <c r="E1" s="1176"/>
      <c r="F1" s="1176"/>
      <c r="G1" s="1176"/>
      <c r="H1" s="1176"/>
      <c r="I1" s="1176"/>
      <c r="J1" s="1176"/>
      <c r="K1" s="1176"/>
      <c r="L1" s="1176"/>
      <c r="M1" s="1176"/>
      <c r="N1" s="1176"/>
      <c r="O1" s="1176"/>
      <c r="P1" s="1176"/>
    </row>
    <row r="2" spans="1:16" ht="15" customHeight="1" outlineLevel="1" thickTop="1">
      <c r="A2" s="1174"/>
      <c r="B2" s="1177" t="s">
        <v>21</v>
      </c>
      <c r="C2" s="1177" t="s">
        <v>196</v>
      </c>
      <c r="D2" s="1178" t="s">
        <v>197</v>
      </c>
      <c r="E2" s="1179"/>
      <c r="F2" s="1179"/>
      <c r="G2" s="1179"/>
      <c r="H2" s="1179"/>
      <c r="I2" s="1179"/>
      <c r="J2" s="1179"/>
      <c r="K2" s="1180"/>
      <c r="L2" s="1178" t="s">
        <v>198</v>
      </c>
      <c r="M2" s="1179"/>
      <c r="N2" s="1179"/>
      <c r="O2" s="1179"/>
      <c r="P2" s="1180"/>
    </row>
    <row r="3" spans="1:16" ht="56.25" customHeight="1" outlineLevel="1">
      <c r="A3" s="1174"/>
      <c r="B3" s="1157"/>
      <c r="C3" s="1157"/>
      <c r="D3" s="458" t="s">
        <v>199</v>
      </c>
      <c r="E3" s="458" t="s">
        <v>200</v>
      </c>
      <c r="F3" s="458" t="s">
        <v>201</v>
      </c>
      <c r="G3" s="458" t="s">
        <v>202</v>
      </c>
      <c r="H3" s="458" t="s">
        <v>120</v>
      </c>
      <c r="I3" s="458" t="s">
        <v>203</v>
      </c>
      <c r="J3" s="458" t="s">
        <v>204</v>
      </c>
      <c r="K3" s="458" t="s">
        <v>205</v>
      </c>
      <c r="L3" s="458" t="s">
        <v>206</v>
      </c>
      <c r="M3" s="458" t="s">
        <v>207</v>
      </c>
      <c r="N3" s="458" t="s">
        <v>208</v>
      </c>
      <c r="O3" s="458" t="s">
        <v>209</v>
      </c>
      <c r="P3" s="458" t="s">
        <v>210</v>
      </c>
    </row>
    <row r="4" spans="1:16" outlineLevel="1">
      <c r="A4" s="683" t="s">
        <v>628</v>
      </c>
      <c r="B4" s="476"/>
      <c r="C4" s="476"/>
      <c r="D4" s="476"/>
      <c r="E4" s="476"/>
      <c r="F4" s="476"/>
      <c r="G4" s="508"/>
      <c r="H4" s="508"/>
      <c r="I4" s="476"/>
      <c r="J4" s="476"/>
      <c r="K4" s="476"/>
      <c r="L4" s="476"/>
      <c r="M4" s="476"/>
      <c r="N4" s="476"/>
      <c r="O4" s="476"/>
      <c r="P4" s="476"/>
    </row>
    <row r="5" spans="1:16" outlineLevel="1">
      <c r="A5" s="683" t="s">
        <v>629</v>
      </c>
      <c r="B5" s="476"/>
      <c r="C5" s="476"/>
      <c r="D5" s="476"/>
      <c r="E5" s="476"/>
      <c r="F5" s="476"/>
      <c r="G5" s="508"/>
      <c r="H5" s="508"/>
      <c r="I5" s="476"/>
      <c r="J5" s="476"/>
      <c r="K5" s="476"/>
      <c r="L5" s="476"/>
      <c r="M5" s="476"/>
      <c r="N5" s="476"/>
      <c r="O5" s="476"/>
      <c r="P5" s="476"/>
    </row>
    <row r="6" spans="1:16" outlineLevel="1">
      <c r="A6" s="683" t="s">
        <v>630</v>
      </c>
      <c r="B6" s="476"/>
      <c r="C6" s="476"/>
      <c r="D6" s="476"/>
      <c r="E6" s="476"/>
      <c r="F6" s="476"/>
      <c r="G6" s="508"/>
      <c r="H6" s="508"/>
      <c r="I6" s="476"/>
      <c r="J6" s="476"/>
      <c r="K6" s="476"/>
      <c r="L6" s="476"/>
      <c r="M6" s="476"/>
      <c r="N6" s="476"/>
      <c r="O6" s="476"/>
      <c r="P6" s="476"/>
    </row>
    <row r="7" spans="1:16" outlineLevel="1">
      <c r="A7" s="478"/>
      <c r="B7" s="476"/>
      <c r="C7" s="476"/>
      <c r="D7" s="476"/>
      <c r="E7" s="476"/>
      <c r="F7" s="476"/>
      <c r="G7" s="508"/>
      <c r="H7" s="508"/>
      <c r="I7" s="476"/>
      <c r="J7" s="476"/>
      <c r="K7" s="476"/>
      <c r="L7" s="476"/>
      <c r="M7" s="476"/>
      <c r="N7" s="476"/>
      <c r="O7" s="476"/>
      <c r="P7" s="476"/>
    </row>
    <row r="8" spans="1:16" outlineLevel="1">
      <c r="A8" s="684" t="s">
        <v>631</v>
      </c>
      <c r="B8" s="476"/>
      <c r="C8" s="476"/>
      <c r="D8" s="476"/>
      <c r="E8" s="476"/>
      <c r="F8" s="476"/>
      <c r="G8" s="508"/>
      <c r="H8" s="508"/>
      <c r="I8" s="476"/>
      <c r="J8" s="476"/>
      <c r="K8" s="476"/>
      <c r="L8" s="476"/>
      <c r="M8" s="476"/>
      <c r="N8" s="476"/>
      <c r="O8" s="476"/>
      <c r="P8" s="476"/>
    </row>
    <row r="9" spans="1:16" outlineLevel="1">
      <c r="A9" s="478"/>
      <c r="B9" s="476"/>
      <c r="C9" s="476"/>
      <c r="D9" s="476"/>
      <c r="E9" s="476"/>
      <c r="F9" s="476"/>
      <c r="G9" s="508"/>
      <c r="H9" s="508"/>
      <c r="I9" s="476"/>
      <c r="J9" s="476"/>
      <c r="K9" s="476"/>
      <c r="L9" s="476"/>
      <c r="M9" s="476"/>
      <c r="N9" s="476"/>
      <c r="O9" s="476"/>
      <c r="P9" s="476"/>
    </row>
    <row r="10" spans="1:16" outlineLevel="1">
      <c r="A10" s="478" t="s">
        <v>632</v>
      </c>
      <c r="B10" s="476"/>
      <c r="C10" s="476"/>
      <c r="D10" s="476"/>
      <c r="E10" s="476"/>
      <c r="F10" s="476"/>
      <c r="G10" s="508"/>
      <c r="H10" s="508"/>
      <c r="I10" s="476"/>
      <c r="J10" s="476"/>
      <c r="K10" s="476"/>
      <c r="L10" s="476"/>
      <c r="M10" s="476"/>
      <c r="N10" s="476"/>
      <c r="O10" s="476"/>
      <c r="P10" s="476"/>
    </row>
    <row r="11" spans="1:16" outlineLevel="1">
      <c r="A11" s="478"/>
      <c r="B11" s="476"/>
      <c r="C11" s="476"/>
      <c r="D11" s="476"/>
      <c r="E11" s="476"/>
      <c r="F11" s="476"/>
      <c r="G11" s="508"/>
      <c r="H11" s="508"/>
      <c r="I11" s="476"/>
      <c r="J11" s="476"/>
      <c r="K11" s="476"/>
      <c r="L11" s="476"/>
      <c r="M11" s="476"/>
      <c r="N11" s="476"/>
      <c r="O11" s="476"/>
      <c r="P11" s="476"/>
    </row>
    <row r="12" spans="1:16" ht="15.75" outlineLevel="1" thickBot="1">
      <c r="B12" s="476"/>
      <c r="C12" s="476"/>
      <c r="D12" s="476"/>
      <c r="E12" s="476"/>
      <c r="F12" s="476"/>
      <c r="G12" s="508"/>
      <c r="H12" s="508"/>
      <c r="I12" s="476"/>
      <c r="J12" s="476"/>
      <c r="K12" s="476"/>
      <c r="L12" s="476"/>
      <c r="M12" s="476"/>
      <c r="N12" s="476"/>
      <c r="O12" s="476"/>
      <c r="P12" s="476"/>
    </row>
    <row r="13" spans="1:16" ht="25.5" customHeight="1" outlineLevel="1" thickBot="1">
      <c r="A13" s="479" t="s">
        <v>594</v>
      </c>
      <c r="B13" s="461"/>
      <c r="C13" s="480"/>
      <c r="D13" s="480"/>
      <c r="E13" s="480"/>
      <c r="F13" s="480"/>
      <c r="G13" s="480"/>
      <c r="H13" s="480"/>
      <c r="I13" s="480"/>
      <c r="J13" s="480"/>
      <c r="K13" s="480"/>
      <c r="L13" s="480"/>
      <c r="M13" s="480"/>
      <c r="N13" s="480"/>
      <c r="O13" s="779" t="s">
        <v>654</v>
      </c>
      <c r="P13" s="779" t="s">
        <v>653</v>
      </c>
    </row>
    <row r="14" spans="1:16" outlineLevel="1"/>
    <row r="15" spans="1:16" s="473" customFormat="1" outlineLevel="1">
      <c r="A15" s="481" t="s">
        <v>305</v>
      </c>
      <c r="B15" s="482">
        <f>SUM(B4:B12)</f>
        <v>0</v>
      </c>
      <c r="C15" s="482">
        <f t="shared" ref="C15:P15" si="0">SUM(C4:C13)</f>
        <v>0</v>
      </c>
      <c r="D15" s="482">
        <f t="shared" si="0"/>
        <v>0</v>
      </c>
      <c r="E15" s="482">
        <f t="shared" si="0"/>
        <v>0</v>
      </c>
      <c r="F15" s="482">
        <f t="shared" si="0"/>
        <v>0</v>
      </c>
      <c r="G15" s="482"/>
      <c r="H15" s="482"/>
      <c r="I15" s="482">
        <f t="shared" si="0"/>
        <v>0</v>
      </c>
      <c r="J15" s="482">
        <f t="shared" si="0"/>
        <v>0</v>
      </c>
      <c r="K15" s="482">
        <f t="shared" si="0"/>
        <v>0</v>
      </c>
      <c r="L15" s="482">
        <f t="shared" si="0"/>
        <v>0</v>
      </c>
      <c r="M15" s="482">
        <f>SUM(M4:M13)</f>
        <v>0</v>
      </c>
      <c r="N15" s="482">
        <f t="shared" si="0"/>
        <v>0</v>
      </c>
      <c r="O15" s="482">
        <f>SUM(O4:O13)</f>
        <v>0</v>
      </c>
      <c r="P15" s="482">
        <f t="shared" si="0"/>
        <v>0</v>
      </c>
    </row>
    <row r="16" spans="1:16" outlineLevel="1">
      <c r="B16" s="485"/>
      <c r="C16" s="485"/>
      <c r="D16" s="485"/>
      <c r="E16" s="485"/>
      <c r="F16" s="485"/>
      <c r="G16" s="485"/>
      <c r="H16" s="485"/>
      <c r="I16" s="485"/>
      <c r="J16" s="485"/>
      <c r="K16" s="485"/>
      <c r="L16" s="485"/>
      <c r="M16" s="485"/>
      <c r="N16" s="485"/>
      <c r="O16" s="485"/>
      <c r="P16" s="485"/>
    </row>
    <row r="17" spans="1:16" outlineLevel="1">
      <c r="A17" s="486" t="s">
        <v>621</v>
      </c>
      <c r="B17" s="510">
        <f ca="1">'EF ele_warmte'!B12</f>
        <v>0.16752363209235635</v>
      </c>
      <c r="C17" s="510">
        <f ca="1">'EF ele_warmte'!B22</f>
        <v>0.23727688128042965</v>
      </c>
      <c r="D17" s="510">
        <f>EF_CO2_aardgas</f>
        <v>0.20200000000000001</v>
      </c>
      <c r="E17" s="510">
        <f>EF_VLgas_CO2</f>
        <v>0.22700000000000001</v>
      </c>
      <c r="F17" s="510">
        <f>EF_stookolie_CO2</f>
        <v>0.26700000000000002</v>
      </c>
      <c r="G17" s="510"/>
      <c r="H17" s="510"/>
      <c r="I17" s="510">
        <f>EF_bruinkool_CO2</f>
        <v>0.35099999999999998</v>
      </c>
      <c r="J17" s="510">
        <f>EF_steenkool_CO2</f>
        <v>0.35399999999999998</v>
      </c>
      <c r="K17" s="510">
        <f>EF_anderfossiel_CO2</f>
        <v>0.26400000000000001</v>
      </c>
      <c r="L17" s="510">
        <f>'EF brandstof'!J4</f>
        <v>0</v>
      </c>
      <c r="M17" s="510">
        <f>'EF brandstof'!K4</f>
        <v>0</v>
      </c>
      <c r="N17" s="510">
        <f>'EF brandstof'!L4</f>
        <v>0</v>
      </c>
      <c r="O17" s="510">
        <v>0</v>
      </c>
      <c r="P17" s="510">
        <v>0</v>
      </c>
    </row>
    <row r="18" spans="1:16" outlineLevel="1">
      <c r="B18" s="485"/>
      <c r="C18" s="485"/>
      <c r="D18" s="485"/>
      <c r="E18" s="485"/>
      <c r="F18" s="485"/>
      <c r="G18" s="485"/>
      <c r="H18" s="485"/>
      <c r="I18" s="485"/>
      <c r="J18" s="485"/>
      <c r="K18" s="485"/>
      <c r="L18" s="485"/>
      <c r="M18" s="485"/>
      <c r="N18" s="485"/>
      <c r="O18" s="485"/>
      <c r="P18" s="485"/>
    </row>
    <row r="19" spans="1:16" outlineLevel="1">
      <c r="A19" s="481" t="s">
        <v>213</v>
      </c>
      <c r="B19" s="487">
        <f ca="1">B15*B17</f>
        <v>0</v>
      </c>
      <c r="C19" s="487">
        <f ca="1">C15*C17</f>
        <v>0</v>
      </c>
      <c r="D19" s="487">
        <f>D15*D17</f>
        <v>0</v>
      </c>
      <c r="E19" s="487">
        <f>E15*E17</f>
        <v>0</v>
      </c>
      <c r="F19" s="487">
        <f>F15*F17</f>
        <v>0</v>
      </c>
      <c r="G19" s="487"/>
      <c r="H19" s="487"/>
      <c r="I19" s="487">
        <f t="shared" ref="I19:P19" si="1">I15*I17</f>
        <v>0</v>
      </c>
      <c r="J19" s="487">
        <f t="shared" si="1"/>
        <v>0</v>
      </c>
      <c r="K19" s="487">
        <f t="shared" si="1"/>
        <v>0</v>
      </c>
      <c r="L19" s="487">
        <f t="shared" si="1"/>
        <v>0</v>
      </c>
      <c r="M19" s="487">
        <f t="shared" si="1"/>
        <v>0</v>
      </c>
      <c r="N19" s="487">
        <f t="shared" si="1"/>
        <v>0</v>
      </c>
      <c r="O19" s="487">
        <f t="shared" si="1"/>
        <v>0</v>
      </c>
      <c r="P19" s="487">
        <f t="shared" si="1"/>
        <v>0</v>
      </c>
    </row>
    <row r="22" spans="1:16" s="461" customFormat="1" ht="15" customHeight="1" outlineLevel="1">
      <c r="A22" s="488" t="s">
        <v>497</v>
      </c>
      <c r="B22" s="489"/>
      <c r="C22" s="490"/>
      <c r="D22" s="491"/>
      <c r="E22" s="492"/>
    </row>
    <row r="23" spans="1:16" s="49" customFormat="1" ht="15" customHeight="1" outlineLevel="1">
      <c r="A23" s="493"/>
      <c r="B23" s="494"/>
      <c r="C23" s="495" t="s">
        <v>379</v>
      </c>
      <c r="D23" s="495" t="s">
        <v>182</v>
      </c>
      <c r="E23" s="496"/>
    </row>
    <row r="24" spans="1:16" s="461" customFormat="1" ht="15" customHeight="1" outlineLevel="1">
      <c r="A24" s="497" t="s">
        <v>266</v>
      </c>
      <c r="B24" s="48">
        <f>EigenZB</f>
        <v>0</v>
      </c>
      <c r="C24" s="498"/>
      <c r="D24" s="897" t="s">
        <v>742</v>
      </c>
      <c r="E24" s="462"/>
    </row>
    <row r="25" spans="1:16" s="461" customFormat="1" outlineLevel="1">
      <c r="A25" s="497" t="s">
        <v>464</v>
      </c>
      <c r="B25" s="49">
        <v>4.2</v>
      </c>
      <c r="C25" s="498"/>
      <c r="D25" s="499" t="s">
        <v>525</v>
      </c>
      <c r="E25" s="475"/>
    </row>
    <row r="26" spans="1:16" s="461" customFormat="1" outlineLevel="1">
      <c r="A26" s="784" t="s">
        <v>465</v>
      </c>
      <c r="B26" s="785">
        <f>1.34/3.6</f>
        <v>0.37222222222222223</v>
      </c>
      <c r="C26" s="498" t="s">
        <v>218</v>
      </c>
      <c r="D26" s="499" t="s">
        <v>525</v>
      </c>
      <c r="E26" s="475"/>
    </row>
    <row r="27" spans="1:16" s="461" customFormat="1" outlineLevel="1">
      <c r="A27" s="500" t="s">
        <v>640</v>
      </c>
      <c r="B27" s="787">
        <f>B24*B25*B26</f>
        <v>0</v>
      </c>
      <c r="C27" s="501" t="s">
        <v>641</v>
      </c>
      <c r="D27" s="502"/>
      <c r="E27" s="503"/>
    </row>
    <row r="28" spans="1:16" s="461" customFormat="1" outlineLevel="1">
      <c r="A28" s="49"/>
      <c r="B28" s="49"/>
      <c r="C28" s="504"/>
      <c r="D28" s="498"/>
    </row>
    <row r="29" spans="1:16" s="461" customFormat="1" outlineLevel="1">
      <c r="A29" s="505" t="s">
        <v>498</v>
      </c>
      <c r="B29" s="489"/>
      <c r="C29" s="490"/>
      <c r="D29" s="491"/>
      <c r="E29" s="492"/>
    </row>
    <row r="30" spans="1:16" s="49" customFormat="1" outlineLevel="1">
      <c r="A30" s="506"/>
      <c r="B30" s="494"/>
      <c r="C30" s="495" t="s">
        <v>379</v>
      </c>
      <c r="D30" s="495" t="s">
        <v>182</v>
      </c>
      <c r="E30" s="496"/>
    </row>
    <row r="31" spans="1:16" s="461" customFormat="1" outlineLevel="1">
      <c r="A31" s="497" t="s">
        <v>463</v>
      </c>
      <c r="B31" s="48">
        <f>EigenWP</f>
        <v>0</v>
      </c>
      <c r="C31" s="498"/>
      <c r="D31" s="897" t="s">
        <v>415</v>
      </c>
      <c r="E31" s="462"/>
    </row>
    <row r="32" spans="1:16" s="461" customFormat="1" outlineLevel="1">
      <c r="A32" s="497" t="s">
        <v>461</v>
      </c>
      <c r="B32" s="49">
        <v>13</v>
      </c>
      <c r="C32" s="504" t="s">
        <v>263</v>
      </c>
      <c r="D32" s="499" t="s">
        <v>525</v>
      </c>
      <c r="E32" s="462"/>
    </row>
    <row r="33" spans="1:5" s="461" customFormat="1" outlineLevel="1">
      <c r="A33" s="497" t="s">
        <v>462</v>
      </c>
      <c r="B33" s="49">
        <v>2000</v>
      </c>
      <c r="C33" s="504" t="s">
        <v>265</v>
      </c>
      <c r="D33" s="499" t="s">
        <v>525</v>
      </c>
      <c r="E33" s="462"/>
    </row>
    <row r="34" spans="1:5" s="461" customFormat="1" outlineLevel="1">
      <c r="A34" s="784" t="s">
        <v>384</v>
      </c>
      <c r="B34" s="49">
        <v>3.75</v>
      </c>
      <c r="C34" s="504"/>
      <c r="D34" s="499" t="s">
        <v>525</v>
      </c>
      <c r="E34" s="462"/>
    </row>
    <row r="35" spans="1:5" s="461" customFormat="1" outlineLevel="1">
      <c r="A35" s="500" t="s">
        <v>640</v>
      </c>
      <c r="B35" s="786">
        <f>B31*B32*B33/1000-B31*B32*B33/1000/B34</f>
        <v>0</v>
      </c>
      <c r="C35" s="507" t="s">
        <v>641</v>
      </c>
      <c r="D35" s="502"/>
      <c r="E35" s="469"/>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216</vt:i4>
      </vt:variant>
    </vt:vector>
  </HeadingPairs>
  <TitlesOfParts>
    <vt:vector size="248" baseType="lpstr">
      <vt:lpstr>LEGENDE</vt:lpstr>
      <vt:lpstr>OUTPUT--&gt;</vt:lpstr>
      <vt:lpstr>SEAP template</vt:lpstr>
      <vt:lpstr>Inventaris 2012</vt:lpstr>
      <vt:lpstr>betrouwbaarheid inventaris</vt:lpstr>
      <vt:lpstr>Lokale energieproductie 2012</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aantalHuishouden2020</vt:lpstr>
      <vt:lpstr>aantalHuishoudens2011</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vkm_2011_bus</vt:lpstr>
      <vt:lpstr>vkm_2011_GW_PW</vt:lpstr>
      <vt:lpstr>vkm_2011_GW_ZV</vt:lpstr>
      <vt:lpstr>vkm_2011_NGW_PW</vt:lpstr>
      <vt:lpstr>vkm_2011_NGW_ZV</vt:lpstr>
      <vt:lpstr>vkm_2011_SW_PW</vt:lpstr>
      <vt:lpstr>vkm_2011_SW_ZV</vt:lpstr>
      <vt:lpstr>vkm_2011_tram</vt:lpstr>
      <vt:lpstr>vkm_2020_bus</vt:lpstr>
      <vt:lpstr>vkm_2020_GW_PW</vt:lpstr>
      <vt:lpstr>vkm_2020_GW_ZV</vt:lpstr>
      <vt:lpstr>vkm_2020_NGW_PW</vt:lpstr>
      <vt:lpstr>vkm_2020_NGW_ZV</vt:lpstr>
      <vt:lpstr>vkm_2020_SW_PW</vt:lpstr>
      <vt:lpstr>vkm_2020_SW_ZV</vt:lpstr>
      <vt:lpstr>vkm_2020_tram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VHULSELM</cp:lastModifiedBy>
  <dcterms:created xsi:type="dcterms:W3CDTF">2013-05-17T14:24:21Z</dcterms:created>
  <dcterms:modified xsi:type="dcterms:W3CDTF">2019-06-29T16:10:46Z</dcterms:modified>
</cp:coreProperties>
</file>