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Q78"/>
  <c r="B9" i="6" s="1"/>
  <c r="P9" i="56"/>
  <c r="P10" s="1"/>
  <c r="B76" i="14"/>
  <c r="C76"/>
  <c r="J90"/>
  <c r="J17" i="56"/>
  <c r="J20" s="1"/>
  <c r="P20"/>
  <c r="Q90" i="14"/>
  <c r="B17" i="6" s="1"/>
  <c r="D20" i="56"/>
  <c r="I78" i="14"/>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P11"/>
  <c r="O4" i="48"/>
  <c r="I32"/>
  <c r="I22"/>
  <c r="I25"/>
  <c r="I29"/>
  <c r="I26"/>
  <c r="I24"/>
  <c r="I27"/>
  <c r="I28"/>
  <c r="I30"/>
  <c r="I31"/>
  <c r="K32"/>
  <c r="K27"/>
  <c r="K31"/>
  <c r="K25"/>
  <c r="K24"/>
  <c r="K22"/>
  <c r="K28"/>
  <c r="K26"/>
  <c r="K29"/>
  <c r="K30"/>
  <c r="P4"/>
  <c r="Q11" i="14"/>
  <c r="D11"/>
  <c r="C4" i="48"/>
  <c r="G32"/>
  <c r="G26"/>
  <c r="G24"/>
  <c r="G30"/>
  <c r="G22"/>
  <c r="G25"/>
  <c r="G29"/>
  <c r="G23"/>
  <c r="E11" i="14"/>
  <c r="D4" i="48"/>
  <c r="D22" s="1"/>
  <c r="C11" i="14"/>
  <c r="B4" i="48"/>
  <c r="F30"/>
  <c r="F24"/>
  <c r="F28"/>
  <c r="F27"/>
  <c r="F32"/>
  <c r="F29"/>
  <c r="F31"/>
  <c r="N32"/>
  <c r="N30"/>
  <c r="N31"/>
  <c r="N28"/>
  <c r="N24"/>
  <c r="N27"/>
  <c r="N29"/>
  <c r="C19" i="14"/>
  <c r="B10" i="48"/>
  <c r="J30"/>
  <c r="J31"/>
  <c r="J29"/>
  <c r="J24"/>
  <c r="J32"/>
  <c r="J28"/>
  <c r="J27"/>
  <c r="H32"/>
  <c r="H25"/>
  <c r="H26"/>
  <c r="H28"/>
  <c r="H30"/>
  <c r="H24"/>
  <c r="H29"/>
  <c r="H22"/>
  <c r="H23"/>
  <c r="E32"/>
  <c r="E28"/>
  <c r="E24"/>
  <c r="E31"/>
  <c r="E29"/>
  <c r="E30"/>
  <c r="M12" i="13"/>
  <c r="N41" i="14" s="1"/>
  <c r="M17" i="48"/>
  <c r="J10" i="14"/>
  <c r="J16" s="1"/>
  <c r="J27" s="1"/>
  <c r="I5" i="48"/>
  <c r="L10" i="14"/>
  <c r="L16" s="1"/>
  <c r="L27" s="1"/>
  <c r="K5" i="48"/>
  <c r="D28"/>
  <c r="D30"/>
  <c r="D24"/>
  <c r="D32"/>
  <c r="D29"/>
  <c r="D31"/>
  <c r="L28"/>
  <c r="L32"/>
  <c r="L27"/>
  <c r="L31"/>
  <c r="L22"/>
  <c r="L29"/>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M32"/>
  <c r="M22"/>
  <c r="M26"/>
  <c r="M30"/>
  <c r="M24"/>
  <c r="M29"/>
  <c r="M25"/>
  <c r="M23"/>
  <c r="G11" i="14"/>
  <c r="F4" i="48"/>
  <c r="F22" s="1"/>
  <c r="I18" i="14"/>
  <c r="H13" i="48"/>
  <c r="H31" s="1"/>
  <c r="Q13" i="14"/>
  <c r="P8" i="48"/>
  <c r="P26" s="1"/>
  <c r="O22"/>
  <c r="H18" i="14"/>
  <c r="G13" i="48"/>
  <c r="N18" i="14"/>
  <c r="M13" i="48"/>
  <c r="M31" s="1"/>
  <c r="J12" i="17"/>
  <c r="K54" i="14" s="1"/>
  <c r="K56" s="1"/>
  <c r="J7" i="48"/>
  <c r="J25" s="1"/>
  <c r="K24" i="14"/>
  <c r="K26" s="1"/>
  <c r="I23" i="48"/>
  <c r="I33" s="1"/>
  <c r="I15"/>
  <c r="P10" i="14"/>
  <c r="O5" i="48"/>
  <c r="O23" s="1"/>
  <c r="J46" i="14"/>
  <c r="J61" s="1"/>
  <c r="J63" s="1"/>
  <c r="L63"/>
  <c r="K23" i="48"/>
  <c r="K33" s="1"/>
  <c r="K15"/>
  <c r="Q16" i="14"/>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F11"/>
  <c r="R11" s="1"/>
  <c r="E4" i="48"/>
  <c r="P13" i="14"/>
  <c r="P16" s="1"/>
  <c r="P27" s="1"/>
  <c r="O8" i="48"/>
  <c r="O26" s="1"/>
  <c r="P15"/>
  <c r="O33"/>
  <c r="I22" i="14"/>
  <c r="I27" s="1"/>
  <c r="P33" i="48"/>
  <c r="E9"/>
  <c r="E27" s="1"/>
  <c r="F20" i="14"/>
  <c r="F22" s="1"/>
  <c r="I20"/>
  <c r="H9" i="48"/>
  <c r="D9"/>
  <c r="D27" s="1"/>
  <c r="E20" i="14"/>
  <c r="E22" s="1"/>
  <c r="R18"/>
  <c r="C20"/>
  <c r="B9" i="48"/>
  <c r="G31"/>
  <c r="Q13"/>
  <c r="M10"/>
  <c r="M28" s="1"/>
  <c r="N19" i="14"/>
  <c r="N22" s="1"/>
  <c r="N27" s="1"/>
  <c r="D18" i="22"/>
  <c r="E50" i="14" s="1"/>
  <c r="E52" s="1"/>
  <c r="Q46"/>
  <c r="Q61" s="1"/>
  <c r="Q63" s="1"/>
  <c r="O11"/>
  <c r="N4" i="48"/>
  <c r="N22" s="1"/>
  <c r="H19" i="14"/>
  <c r="R19" s="1"/>
  <c r="G10" i="48"/>
  <c r="K11" i="14"/>
  <c r="J4" i="48"/>
  <c r="M9"/>
  <c r="N20" i="14"/>
  <c r="E7" i="48"/>
  <c r="E25" s="1"/>
  <c r="F24" i="14"/>
  <c r="F26" s="1"/>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G28" i="48"/>
  <c r="Q10"/>
  <c r="E22"/>
  <c r="Q4"/>
  <c r="P63" i="14"/>
  <c r="H22"/>
  <c r="H27" s="1"/>
  <c r="H63" s="1"/>
  <c r="H20"/>
  <c r="R20" s="1"/>
  <c r="R22" s="1"/>
  <c r="G9" i="48"/>
  <c r="Q9" s="1"/>
  <c r="J22"/>
  <c r="C22" i="14"/>
  <c r="K10"/>
  <c r="J5" i="48"/>
  <c r="J23" s="1"/>
  <c r="M27"/>
  <c r="M33" s="1"/>
  <c r="M15"/>
  <c r="E5"/>
  <c r="E23" s="1"/>
  <c r="F10" i="14"/>
  <c r="H27" i="48"/>
  <c r="H33" s="1"/>
  <c r="H15"/>
  <c r="E46" i="14"/>
  <c r="E61" s="1"/>
  <c r="O15" i="48"/>
  <c r="D15"/>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R10" i="14"/>
  <c r="Q5" i="48"/>
  <c r="E63" i="14"/>
  <c r="J15" i="48"/>
  <c r="G27"/>
  <c r="G33" s="1"/>
  <c r="G15"/>
  <c r="F13" i="14"/>
  <c r="F16" s="1"/>
  <c r="F27" s="1"/>
  <c r="F63" s="1"/>
  <c r="E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<sst xmlns="http://schemas.openxmlformats.org/spreadsheetml/2006/main" count="2555" uniqueCount="975">
  <si>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</si>
  <si>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</si>
  <si>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</si>
  <si>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</si>
  <si>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</si>
  <si>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</si>
  <si>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</si>
  <si>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</si>
  <si>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</si>
  <si>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</si>
  <si>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</si>
  <si>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</si>
  <si>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</si>
  <si>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</si>
  <si>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</si>
  <si>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</si>
  <si>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</si>
  <si>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</si>
  <si>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</si>
  <si>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</si>
  <si>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</si>
  <si>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</si>
  <si>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</si>
  <si>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</si>
  <si>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</si>
  <si>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</si>
  <si>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</si>
  <si>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</si>
  <si>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</si>
  <si>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</si>
  <si>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</si>
  <si>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</si>
  <si>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</si>
  <si>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</si>
  <si>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</si>
  <si>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</si>
  <si>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</si>
  <si>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</si>
  <si>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</si>
  <si>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</si>
  <si>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</si>
  <si>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</si>
  <si>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</si>
  <si>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</si>
  <si>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</si>
  <si>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</si>
  <si>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</si>
  <si>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</si>
  <si>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</si>
  <si>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</si>
  <si>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</si>
  <si>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</si>
  <si>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</si>
  <si>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</si>
  <si>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</si>
  <si>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</si>
  <si>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</si>
  <si>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</si>
  <si>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</si>
  <si>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</si>
  <si>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</si>
  <si>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</si>
  <si>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</si>
  <si>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</si>
  <si>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</si>
  <si>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</si>
  <si>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</si>
  <si>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</si>
  <si>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</si>
  <si>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</si>
  <si>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</si>
  <si>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</si>
  <si>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</si>
  <si>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</si>
  <si>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</si>
  <si>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</si>
  <si>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</si>
  <si>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</si>
  <si>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</si>
  <si>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</si>
  <si>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</si>
  <si>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</si>
  <si>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</si>
  <si>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</si>
  <si>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</si>
  <si>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</si>
  <si>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</si>
  <si>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</si>
  <si>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</si>
  <si>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</si>
  <si>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</si>
  <si>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</si>
  <si>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</si>
  <si>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</si>
  <si>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</si>
  <si>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</si>
  <si>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</si>
  <si>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</si>
  <si>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</si>
  <si>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</si>
  <si>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</si>
  <si>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</si>
  <si>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</si>
  <si>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</si>
  <si>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</si>
  <si>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</si>
  <si>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</si>
  <si>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</si>
  <si>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</si>
  <si>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</si>
  <si>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</si>
  <si>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</si>
  <si>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</si>
  <si>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</si>
  <si>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</si>
  <si>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</si>
  <si>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</si>
  <si>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</si>
  <si>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</si>
  <si>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</si>
  <si>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</si>
  <si>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</si>
  <si>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</si>
  <si>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</si>
  <si>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</si>
  <si>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</si>
  <si>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</si>
  <si>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</si>
  <si>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</si>
  <si>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</si>
  <si>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</si>
  <si>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</si>
  <si>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</si>
  <si>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</si>
  <si>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</si>
  <si>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</si>
  <si>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</si>
  <si>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</si>
  <si>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</si>
  <si>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</si>
  <si>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</si>
  <si>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</si>
  <si>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</si>
  <si>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</si>
  <si>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</si>
  <si>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</si>
  <si>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</si>
  <si>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</si>
  <si>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</si>
  <si>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</si>
  <si>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</si>
  <si>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</si>
  <si>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</si>
  <si>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</si>
  <si>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</si>
  <si>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</si>
  <si>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</si>
  <si>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</si>
  <si>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</si>
  <si>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</si>
  <si>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</si>
  <si>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</si>
  <si>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</si>
  <si>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</si>
  <si>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</si>
  <si>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</si>
  <si>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</si>
  <si>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</si>
  <si>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</si>
  <si>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</si>
  <si>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</si>
  <si>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</si>
  <si>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</si>
  <si>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</si>
  <si>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</si>
  <si>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</si>
  <si>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</si>
  <si>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</si>
  <si>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</si>
  <si>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</si>
  <si>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</si>
  <si>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</si>
  <si>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</si>
  <si>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</si>
  <si>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</si>
  <si>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</si>
  <si>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</si>
  <si>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</si>
  <si>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</si>
  <si>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</si>
  <si>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</si>
  <si>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</si>
  <si>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</si>
  <si>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</si>
  <si>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</si>
  <si>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</si>
  <si>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</si>
  <si>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</si>
  <si>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</si>
  <si>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</si>
  <si>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</si>
  <si>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</si>
  <si>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</si>
  <si>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</si>
  <si>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</si>
  <si>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</si>
  <si>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</si>
  <si>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</si>
  <si>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</si>
  <si>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</si>
  <si>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</si>
  <si>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</si>
  <si>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</si>
  <si>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</si>
  <si>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</si>
  <si>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</si>
  <si>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</si>
  <si>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</si>
  <si>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</si>
  <si>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</si>
  <si>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</si>
  <si>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</si>
  <si>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</si>
  <si>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</si>
  <si>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</si>
  <si>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</si>
  <si>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</si>
  <si>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</si>
  <si>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</si>
  <si>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</si>
  <si>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</si>
  <si>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</si>
  <si>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</si>
  <si>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</si>
  <si>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</si>
  <si>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</si>
  <si>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</si>
  <si>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</si>
  <si>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</si>
  <si>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</si>
  <si>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</si>
  <si>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</si>
  <si>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</si>
  <si>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</si>
  <si>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</si>
  <si>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</si>
  <si>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</si>
  <si>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</si>
  <si>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</si>
  <si>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</si>
  <si>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</si>
  <si>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</si>
  <si>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</si>
  <si>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</si>
  <si>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</si>
  <si>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</si>
  <si>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</si>
  <si>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</si>
  <si>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</si>
  <si>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</si>
  <si>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</si>
  <si>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</si>
  <si>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</si>
  <si>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</si>
  <si>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</si>
  <si>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</si>
  <si>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</si>
  <si>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</si>
  <si>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</si>
  <si>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</si>
  <si>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</si>
  <si>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</si>
  <si>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</si>
  <si>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</si>
  <si>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</si>
  <si>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</si>
  <si>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</si>
  <si>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</si>
  <si>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</si>
  <si>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</si>
  <si>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</si>
  <si>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</si>
  <si>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</si>
  <si>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</si>
  <si>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</si>
  <si>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</si>
  <si>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</si>
  <si>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</si>
  <si>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</si>
  <si>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</si>
  <si>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</si>
  <si>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</si>
  <si>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</si>
  <si>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</si>
  <si>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</si>
  <si>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</si>
  <si>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</si>
  <si>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</si>
  <si>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</si>
  <si>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</si>
  <si>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</si>
  <si>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</si>
  <si>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</si>
  <si>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</si>
  <si>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</si>
  <si>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</si>
  <si>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</si>
  <si>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</si>
  <si>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</si>
  <si>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</si>
  <si>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</si>
  <si>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</si>
  <si>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</si>
  <si>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</si>
  <si>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</si>
  <si>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</si>
  <si>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</si>
  <si>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</si>
  <si>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</si>
  <si>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</si>
  <si>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</si>
  <si>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</si>
  <si>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</si>
  <si>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</si>
  <si>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</si>
  <si>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</si>
  <si>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</si>
  <si>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</si>
  <si>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</si>
  <si>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</si>
  <si>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</si>
  <si>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</si>
  <si>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</si>
  <si>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</si>
  <si>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</si>
  <si>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</si>
  <si>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</si>
  <si>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</si>
  <si>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</si>
  <si>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</si>
  <si>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</si>
  <si>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</si>
  <si>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</si>
  <si>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</si>
  <si>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</si>
  <si>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</si>
  <si>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</si>
  <si>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</si>
  <si>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</si>
  <si>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</si>
  <si>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</si>
  <si>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</si>
  <si>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</si>
  <si>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</si>
  <si>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</si>
  <si>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</si>
  <si>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</si>
  <si>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</si>
  <si>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</si>
  <si>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</si>
  <si>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</si>
  <si>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</si>
  <si>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</si>
  <si>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</si>
  <si>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</si>
  <si>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</si>
  <si>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</si>
  <si>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</si>
  <si>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</si>
  <si>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</si>
  <si>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</si>
  <si>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</si>
  <si>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</si>
  <si>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</si>
  <si>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</si>
  <si>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</si>
  <si>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</si>
  <si>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</si>
  <si>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</si>
  <si>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</si>
  <si>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</si>
  <si>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</si>
  <si>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</si>
  <si>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</si>
  <si>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</si>
  <si>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</si>
  <si>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</si>
  <si>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</si>
  <si>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</si>
  <si>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</si>
  <si>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</si>
  <si>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</si>
  <si>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</si>
  <si>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</si>
  <si>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</si>
  <si>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</si>
  <si>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</si>
  <si>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</si>
  <si>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</si>
  <si>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</si>
  <si>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</si>
  <si>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</si>
  <si>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</si>
  <si>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</si>
  <si>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</si>
  <si>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</si>
  <si>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</si>
  <si>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</si>
  <si>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</si>
  <si>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</si>
  <si>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</si>
  <si>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</si>
  <si>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</si>
  <si>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</si>
  <si>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</si>
  <si>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</si>
  <si>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</si>
  <si>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</si>
  <si>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</si>
  <si>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</si>
  <si>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</si>
  <si>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</si>
  <si>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</si>
  <si>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</si>
  <si>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</si>
  <si>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</si>
  <si>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</si>
  <si>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</si>
  <si>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</si>
  <si>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</si>
  <si>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</si>
  <si>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</si>
  <si>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</si>
  <si>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</si>
  <si>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</si>
  <si>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</si>
  <si>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</si>
  <si>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</si>
  <si>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</si>
  <si>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</si>
  <si>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</si>
  <si>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</si>
  <si>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</si>
  <si>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</si>
  <si>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</si>
  <si>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</si>
  <si>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</si>
  <si>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</si>
  <si>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</si>
  <si>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</si>
  <si>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</si>
  <si>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</si>
  <si>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</si>
  <si>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</si>
  <si>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</si>
  <si>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</si>
  <si>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</si>
  <si>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</si>
  <si>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</si>
  <si>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</si>
  <si>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</si>
  <si>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</si>
  <si>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</si>
  <si>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</si>
  <si>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</si>
  <si>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</si>
  <si>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</si>
  <si>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</si>
  <si>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</si>
  <si>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</si>
  <si>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</si>
  <si>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</si>
  <si>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</si>
  <si>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</si>
  <si>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</si>
  <si>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</si>
  <si>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</si>
  <si>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</si>
  <si>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</si>
  <si>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</si>
  <si>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</si>
  <si>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</si>
  <si>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</si>
  <si>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</si>
  <si>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</si>
  <si>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</si>
  <si>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</si>
  <si>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</si>
  <si>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</si>
  <si>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</si>
  <si>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</si>
  <si>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</si>
  <si>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</si>
  <si>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</si>
  <si>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</si>
  <si>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</si>
  <si>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</si>
  <si>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</si>
  <si>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</si>
  <si>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</si>
  <si>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</si>
  <si>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</si>
  <si>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</si>
  <si>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</si>
  <si>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</si>
  <si>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</si>
  <si>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</si>
  <si>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</si>
  <si>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</si>
  <si>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</si>
  <si>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</si>
  <si>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</si>
  <si>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</si>
  <si>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</si>
  <si>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</si>
  <si>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</si>
  <si>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</si>
  <si>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</si>
  <si>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</si>
  <si>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</si>
  <si>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</si>
  <si>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</si>
  <si>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</si>
  <si>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</si>
  <si>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</si>
  <si>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</si>
  <si>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</si>
  <si>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</si>
  <si>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</si>
  <si>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</si>
  <si>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</si>
  <si>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</si>
  <si>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</si>
  <si>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</si>
  <si>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</si>
  <si>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</si>
  <si>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</si>
  <si>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</si>
  <si>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</si>
  <si>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</si>
  <si>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</si>
  <si>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</si>
  <si>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</si>
  <si>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</si>
  <si>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</si>
  <si>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</si>
  <si>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</si>
  <si>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</si>
  <si>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</si>
  <si>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</si>
  <si>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</si>
  <si>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</si>
  <si>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</si>
  <si>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</si>
  <si>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</si>
  <si>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</si>
  <si>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</si>
  <si>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</si>
  <si>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</si>
  <si>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</si>
  <si>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</si>
  <si>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</si>
  <si>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</si>
  <si>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</si>
  <si>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</si>
  <si>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</si>
  <si>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</si>
  <si>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</si>
  <si>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</si>
  <si>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</si>
  <si>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</si>
  <si>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</si>
  <si>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</si>
  <si>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</si>
  <si>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</si>
  <si>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</si>
  <si>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</si>
  <si>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</si>
  <si>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</si>
  <si>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</si>
  <si>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</si>
  <si>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</si>
  <si>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</si>
  <si>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</si>
  <si>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</si>
  <si>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</si>
  <si>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</si>
  <si>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</si>
  <si>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</si>
  <si>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</si>
  <si>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</si>
  <si>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</si>
  <si>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</si>
  <si>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</si>
  <si>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</si>
  <si>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</si>
  <si>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</si>
  <si>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</si>
  <si>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</si>
  <si>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</si>
  <si>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</si>
  <si>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</si>
  <si>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</si>
  <si>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</si>
  <si>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</si>
  <si>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</si>
  <si>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</si>
  <si>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</si>
  <si>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</si>
  <si>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</si>
  <si>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</si>
  <si>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</si>
  <si>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</si>
  <si>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</si>
  <si>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</si>
  <si>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</si>
  <si>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</si>
  <si>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</si>
  <si>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</si>
  <si>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</si>
  <si>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</si>
  <si>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</si>
  <si>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</si>
  <si>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</si>
  <si>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</si>
  <si>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</si>
  <si>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</si>
  <si>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</si>
  <si>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</si>
  <si>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</si>
  <si>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</si>
  <si>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</si>
  <si>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</si>
  <si>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</si>
  <si>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</si>
  <si>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</si>
  <si>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</si>
  <si>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</si>
  <si>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</si>
  <si>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</si>
  <si>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</si>
  <si>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</si>
  <si>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</si>
  <si>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</si>
  <si>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</si>
  <si>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</si>
  <si>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</si>
  <si>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</si>
  <si>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</si>
  <si>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</si>
  <si>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</si>
  <si>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</si>
  <si>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</si>
  <si>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</si>
  <si>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</si>
  <si>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</si>
  <si>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</si>
  <si>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</si>
  <si>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</si>
  <si>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</si>
  <si>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</si>
  <si>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</si>
  <si>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</si>
  <si>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</si>
  <si>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</si>
  <si>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</si>
  <si>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</si>
  <si>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</si>
  <si>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</si>
  <si>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</si>
  <si>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</si>
  <si>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</si>
  <si>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</si>
  <si>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</si>
  <si>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</si>
  <si>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</si>
  <si>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</si>
  <si>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</si>
  <si>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</si>
  <si>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</si>
  <si>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</si>
  <si>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</si>
  <si>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</si>
  <si>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</si>
  <si>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</si>
  <si>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</si>
  <si>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</si>
  <si>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</si>
  <si>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</si>
  <si>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</si>
  <si>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</si>
  <si>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</si>
  <si>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</si>
  <si>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</si>
  <si>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</si>
  <si>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</si>
  <si>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</si>
  <si>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</si>
  <si>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</si>
  <si>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</si>
  <si>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</si>
  <si>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</si>
  <si>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</si>
  <si>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</si>
  <si>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</si>
  <si>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</si>
  <si>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</si>
  <si>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</si>
  <si>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</si>
  <si>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</si>
  <si>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</si>
  <si>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</si>
  <si>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</si>
  <si>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</si>
  <si>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</si>
  <si>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</si>
  <si>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</si>
  <si>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</si>
  <si>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</si>
  <si>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</si>
  <si>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</si>
  <si>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</si>
  <si>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</si>
  <si>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</si>
  <si>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</si>
  <si>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</si>
  <si>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</si>
  <si>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</si>
  <si>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</si>
  <si>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</si>
  <si>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</si>
  <si>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</si>
  <si>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</si>
  <si>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</si>
  <si>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</si>
  <si>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</si>
  <si>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</si>
  <si>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</si>
  <si>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</si>
  <si>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</si>
  <si>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</si>
  <si>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</si>
  <si>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</si>
  <si>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</si>
  <si>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</si>
  <si>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</si>
  <si>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</si>
  <si>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</si>
  <si>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</si>
  <si>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</si>
  <si>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</si>
  <si>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</si>
  <si>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</si>
  <si>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</si>
  <si>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</si>
  <si>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</si>
  <si>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</si>
  <si>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</si>
  <si>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</si>
  <si>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</si>
  <si>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</si>
  <si>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</si>
  <si>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</si>
  <si>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</si>
  <si>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</si>
  <si>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</si>
  <si>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</si>
  <si>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</si>
  <si>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</si>
  <si>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</si>
  <si>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</si>
  <si>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</si>
  <si>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</si>
  <si>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</si>
  <si>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</si>
  <si>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</si>
  <si>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</si>
  <si>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</si>
  <si>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</si>
  <si>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</si>
  <si>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</si>
  <si>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</si>
  <si>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</si>
  <si>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</si>
  <si>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</si>
  <si>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</si>
  <si>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</si>
  <si>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</si>
  <si>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</si>
  <si>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</si>
  <si>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</si>
  <si>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</si>
  <si>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</si>
  <si>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</si>
  <si>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</si>
  <si>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</si>
  <si>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</si>
  <si>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</si>
  <si>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</si>
  <si>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</si>
  <si>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</si>
  <si>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</si>
  <si>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</si>
  <si>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</si>
  <si>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</si>
  <si>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</si>
  <si>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</si>
  <si>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</si>
  <si>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</si>
  <si>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</si>
  <si>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</si>
  <si>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</si>
  <si>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</si>
  <si>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</si>
  <si>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</si>
  <si>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</si>
  <si>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</si>
  <si>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</si>
  <si>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</si>
  <si>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</si>
  <si>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</si>
  <si>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</si>
  <si>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</si>
  <si>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</si>
  <si>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</si>
  <si>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</si>
  <si>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</si>
  <si>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</si>
  <si>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</si>
  <si>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</si>
  <si>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</si>
  <si>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</si>
  <si>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</si>
  <si>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</si>
  <si>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</si>
  <si>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</si>
  <si>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</si>
  <si>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</si>
  <si>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</si>
  <si>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</si>
  <si>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</si>
  <si>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</si>
  <si>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</si>
  <si>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</si>
  <si>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</si>
  <si>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</si>
  <si>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</si>
  <si>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</si>
  <si>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</si>
  <si>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</si>
  <si>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</si>
  <si>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</si>
  <si>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</si>
  <si>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</si>
  <si>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</si>
  <si>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</si>
  <si>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</si>
  <si>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</si>
  <si>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</si>
  <si>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</si>
  <si>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</si>
  <si>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</si>
  <si>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</si>
  <si>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</si>
  <si>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</si>
  <si>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</si>
  <si>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</si>
  <si>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</si>
  <si>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</si>
  <si>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</si>
  <si>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</si>
  <si>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</si>
  <si>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</si>
  <si>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</si>
  <si>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</si>
  <si>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</si>
  <si>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</si>
  <si>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</si>
  <si>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</si>
  <si>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</si>
  <si>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</si>
  <si>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</si>
  <si>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</si>
  <si>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</si>
  <si>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</si>
  <si>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</si>
  <si>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</si>
  <si>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</si>
  <si>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</si>
  <si>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</si>
  <si>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</si>
  <si>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</si>
  <si>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</si>
  <si>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</si>
  <si>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</si>
  <si>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</si>
  <si>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</si>
  <si>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</si>
  <si>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</si>
  <si>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</si>
  <si>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</si>
  <si>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</si>
  <si>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</si>
  <si>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</si>
  <si>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</si>
  <si>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</si>
  <si>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</si>
  <si>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</si>
  <si>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</si>
  <si>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</si>
  <si>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</si>
  <si>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</si>
  <si>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</si>
  <si>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</si>
  <si>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</si>
  <si>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</si>
  <si>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</si>
  <si>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</si>
  <si>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</si>
  <si>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</si>
  <si>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</si>
  <si>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</si>
  <si>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</si>
  <si>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</si>
  <si>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</si>
  <si>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</si>
  <si>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</si>
  <si>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</si>
  <si>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</si>
  <si>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</si>
  <si>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</si>
  <si>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</si>
  <si>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</si>
  <si>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</si>
  <si>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</si>
  <si>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</si>
  <si>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</si>
  <si>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</si>
  <si>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</si>
  <si>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</si>
  <si>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11004</t>
  </si>
  <si>
    <t>BOECHOUT</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</si>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</sst>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11004</v>
      </c>
      <c r="B6" s="397"/>
      <c r="C6" s="398"/>
    </row>
    <row r="7" spans="1:7" s="395" customFormat="1" ht="15.75" customHeight="1">
      <c r="A7" s="399" t="str">
        <f>txtMunicipality</f>
        <v>BOECHOUT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33542.196000000004</v>
      </c>
      <c r="D10" s="688">
        <f ca="1">tertiair!C16</f>
        <v>26620.714285714286</v>
      </c>
      <c r="E10" s="688">
        <f ca="1">tertiair!D16</f>
        <v>0</v>
      </c>
      <c r="F10" s="688">
        <f>tertiair!E16</f>
        <v>165.05848477931164</v>
      </c>
      <c r="G10" s="688">
        <f ca="1">tertiair!F16</f>
        <v>2753.6605619237707</v>
      </c>
      <c r="H10" s="688">
        <f>tertiair!G16</f>
        <v>0</v>
      </c>
      <c r="I10" s="688">
        <f>tertiair!H16</f>
        <v>0</v>
      </c>
      <c r="J10" s="688">
        <f>tertiair!I16</f>
        <v>0</v>
      </c>
      <c r="K10" s="688">
        <f>tertiair!J16</f>
        <v>0</v>
      </c>
      <c r="L10" s="688">
        <f>tertiair!K16</f>
        <v>0</v>
      </c>
      <c r="M10" s="688">
        <f ca="1">tertiair!L16</f>
        <v>0</v>
      </c>
      <c r="N10" s="688">
        <f>tertiair!M16</f>
        <v>0</v>
      </c>
      <c r="O10" s="688">
        <f ca="1">tertiair!N16</f>
        <v>371.40277532764838</v>
      </c>
      <c r="P10" s="688">
        <f>tertiair!O16</f>
        <v>0</v>
      </c>
      <c r="Q10" s="689">
        <f>tertiair!P16</f>
        <v>0</v>
      </c>
      <c r="R10" s="691">
        <f ca="1">SUM(C10:Q10)</f>
        <v>63453.032107745021</v>
      </c>
      <c r="S10" s="68"/>
    </row>
    <row r="11" spans="1:19" s="457" customFormat="1">
      <c r="A11" s="803" t="s">
        <v>225</v>
      </c>
      <c r="B11" s="808"/>
      <c r="C11" s="688">
        <f>huishoudens!B8</f>
        <v>22557.455370619831</v>
      </c>
      <c r="D11" s="688">
        <f>huishoudens!C8</f>
        <v>0</v>
      </c>
      <c r="E11" s="688">
        <f>huishoudens!D8</f>
        <v>63871.950450000004</v>
      </c>
      <c r="F11" s="688">
        <f>huishoudens!E8</f>
        <v>1182.2351396232602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8376.7827993030805</v>
      </c>
      <c r="P11" s="688">
        <f>huishoudens!O8</f>
        <v>53.153333333333336</v>
      </c>
      <c r="Q11" s="689">
        <f>huishoudens!P8</f>
        <v>190.66666666666669</v>
      </c>
      <c r="R11" s="691">
        <f>SUM(C11:Q11)</f>
        <v>96232.243759546182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8401.2790000000005</v>
      </c>
      <c r="D13" s="688">
        <f>industrie!C18</f>
        <v>0</v>
      </c>
      <c r="E13" s="688">
        <f>industrie!D18</f>
        <v>5706.1737700000003</v>
      </c>
      <c r="F13" s="688">
        <f>industrie!E18</f>
        <v>215.41339099453137</v>
      </c>
      <c r="G13" s="688">
        <f>industrie!F18</f>
        <v>2757.0293637331129</v>
      </c>
      <c r="H13" s="688">
        <f>industrie!G18</f>
        <v>0</v>
      </c>
      <c r="I13" s="688">
        <f>industrie!H18</f>
        <v>0</v>
      </c>
      <c r="J13" s="688">
        <f>industrie!I18</f>
        <v>0</v>
      </c>
      <c r="K13" s="688">
        <f>industrie!J18</f>
        <v>1.1599400978130929</v>
      </c>
      <c r="L13" s="688">
        <f>industrie!K18</f>
        <v>0</v>
      </c>
      <c r="M13" s="688">
        <f>industrie!L18</f>
        <v>0</v>
      </c>
      <c r="N13" s="688">
        <f>industrie!M18</f>
        <v>0</v>
      </c>
      <c r="O13" s="688">
        <f>industrie!N18</f>
        <v>2324.6649699825052</v>
      </c>
      <c r="P13" s="688">
        <f>industrie!O18</f>
        <v>0</v>
      </c>
      <c r="Q13" s="689">
        <f>industrie!P18</f>
        <v>0</v>
      </c>
      <c r="R13" s="691">
        <f>SUM(C13:Q13)</f>
        <v>19405.720434807965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64500.930370619833</v>
      </c>
      <c r="D16" s="721">
        <f t="shared" ref="D16:R16" ca="1" si="0">SUM(D9:D15)</f>
        <v>26620.714285714286</v>
      </c>
      <c r="E16" s="721">
        <f t="shared" ca="1" si="0"/>
        <v>69578.124219999998</v>
      </c>
      <c r="F16" s="721">
        <f t="shared" si="0"/>
        <v>1562.7070153971031</v>
      </c>
      <c r="G16" s="721">
        <f t="shared" ca="1" si="0"/>
        <v>5510.6899256568831</v>
      </c>
      <c r="H16" s="721">
        <f t="shared" si="0"/>
        <v>0</v>
      </c>
      <c r="I16" s="721">
        <f t="shared" si="0"/>
        <v>0</v>
      </c>
      <c r="J16" s="721">
        <f t="shared" si="0"/>
        <v>0</v>
      </c>
      <c r="K16" s="721">
        <f t="shared" si="0"/>
        <v>1.1599400978130929</v>
      </c>
      <c r="L16" s="721">
        <f t="shared" si="0"/>
        <v>0</v>
      </c>
      <c r="M16" s="721">
        <f t="shared" ca="1" si="0"/>
        <v>0</v>
      </c>
      <c r="N16" s="721">
        <f t="shared" si="0"/>
        <v>0</v>
      </c>
      <c r="O16" s="721">
        <f t="shared" ca="1" si="0"/>
        <v>11072.850544613233</v>
      </c>
      <c r="P16" s="721">
        <f t="shared" si="0"/>
        <v>53.153333333333336</v>
      </c>
      <c r="Q16" s="721">
        <f t="shared" si="0"/>
        <v>190.66666666666669</v>
      </c>
      <c r="R16" s="721">
        <f t="shared" ca="1" si="0"/>
        <v>179090.99630209917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670.60146585967414</v>
      </c>
      <c r="D19" s="688">
        <f>transport!C54</f>
        <v>0</v>
      </c>
      <c r="E19" s="688">
        <f>transport!D54</f>
        <v>0</v>
      </c>
      <c r="F19" s="688">
        <f>transport!E54</f>
        <v>0</v>
      </c>
      <c r="G19" s="688">
        <f>transport!F54</f>
        <v>0</v>
      </c>
      <c r="H19" s="688">
        <f>transport!G54</f>
        <v>1479.107478579301</v>
      </c>
      <c r="I19" s="688">
        <f>transport!H54</f>
        <v>0</v>
      </c>
      <c r="J19" s="688">
        <f>transport!I54</f>
        <v>0</v>
      </c>
      <c r="K19" s="688">
        <f>transport!J54</f>
        <v>0</v>
      </c>
      <c r="L19" s="688">
        <f>transport!K54</f>
        <v>0</v>
      </c>
      <c r="M19" s="688">
        <f>transport!L54</f>
        <v>0</v>
      </c>
      <c r="N19" s="688">
        <f>transport!M54</f>
        <v>64.950049324823951</v>
      </c>
      <c r="O19" s="688">
        <f>transport!N54</f>
        <v>0</v>
      </c>
      <c r="P19" s="688">
        <f>transport!O54</f>
        <v>0</v>
      </c>
      <c r="Q19" s="689">
        <f>transport!P54</f>
        <v>0</v>
      </c>
      <c r="R19" s="691">
        <f>SUM(C19:Q19)</f>
        <v>2214.6589937637987</v>
      </c>
      <c r="S19" s="68"/>
    </row>
    <row r="20" spans="1:19" s="457" customFormat="1">
      <c r="A20" s="803" t="s">
        <v>307</v>
      </c>
      <c r="B20" s="808"/>
      <c r="C20" s="688">
        <f>transport!B14</f>
        <v>1.367546486078105</v>
      </c>
      <c r="D20" s="688">
        <f>transport!C14</f>
        <v>0</v>
      </c>
      <c r="E20" s="688">
        <f>transport!D14</f>
        <v>3.6328013080351682</v>
      </c>
      <c r="F20" s="688">
        <f>transport!E14</f>
        <v>212.09021515412849</v>
      </c>
      <c r="G20" s="688">
        <f>transport!F14</f>
        <v>0</v>
      </c>
      <c r="H20" s="688">
        <f>transport!G14</f>
        <v>44909.477134695953</v>
      </c>
      <c r="I20" s="688">
        <f>transport!H14</f>
        <v>8100.7317209877583</v>
      </c>
      <c r="J20" s="688">
        <f>transport!I14</f>
        <v>0</v>
      </c>
      <c r="K20" s="688">
        <f>transport!J14</f>
        <v>0</v>
      </c>
      <c r="L20" s="688">
        <f>transport!K14</f>
        <v>0</v>
      </c>
      <c r="M20" s="688">
        <f>transport!L14</f>
        <v>0</v>
      </c>
      <c r="N20" s="688">
        <f>transport!M14</f>
        <v>2370.3865482256592</v>
      </c>
      <c r="O20" s="688">
        <f>transport!N14</f>
        <v>0</v>
      </c>
      <c r="P20" s="688">
        <f>transport!O14</f>
        <v>0</v>
      </c>
      <c r="Q20" s="689">
        <f>transport!P14</f>
        <v>0</v>
      </c>
      <c r="R20" s="691">
        <f>SUM(C20:Q20)</f>
        <v>55597.685966857614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671.96901234575228</v>
      </c>
      <c r="D22" s="806">
        <f t="shared" ref="D22:R22" si="1">SUM(D18:D21)</f>
        <v>0</v>
      </c>
      <c r="E22" s="806">
        <f t="shared" si="1"/>
        <v>3.6328013080351682</v>
      </c>
      <c r="F22" s="806">
        <f t="shared" si="1"/>
        <v>212.09021515412849</v>
      </c>
      <c r="G22" s="806">
        <f t="shared" si="1"/>
        <v>0</v>
      </c>
      <c r="H22" s="806">
        <f t="shared" si="1"/>
        <v>46388.584613275256</v>
      </c>
      <c r="I22" s="806">
        <f t="shared" si="1"/>
        <v>8100.7317209877583</v>
      </c>
      <c r="J22" s="806">
        <f t="shared" si="1"/>
        <v>0</v>
      </c>
      <c r="K22" s="806">
        <f t="shared" si="1"/>
        <v>0</v>
      </c>
      <c r="L22" s="806">
        <f t="shared" si="1"/>
        <v>0</v>
      </c>
      <c r="M22" s="806">
        <f t="shared" si="1"/>
        <v>0</v>
      </c>
      <c r="N22" s="806">
        <f t="shared" si="1"/>
        <v>2435.336597550483</v>
      </c>
      <c r="O22" s="806">
        <f t="shared" si="1"/>
        <v>0</v>
      </c>
      <c r="P22" s="806">
        <f t="shared" si="1"/>
        <v>0</v>
      </c>
      <c r="Q22" s="806">
        <f t="shared" si="1"/>
        <v>0</v>
      </c>
      <c r="R22" s="806">
        <f t="shared" si="1"/>
        <v>57812.344960621413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1896.1669999999999</v>
      </c>
      <c r="D24" s="688">
        <f>+landbouw!C8</f>
        <v>99276.42857142858</v>
      </c>
      <c r="E24" s="688">
        <f>+landbouw!D8</f>
        <v>31226.088341142808</v>
      </c>
      <c r="F24" s="688">
        <f>+landbouw!E8</f>
        <v>17.863163613565465</v>
      </c>
      <c r="G24" s="688">
        <f>+landbouw!F8</f>
        <v>6187.8222035616518</v>
      </c>
      <c r="H24" s="688">
        <f>+landbouw!G8</f>
        <v>0</v>
      </c>
      <c r="I24" s="688">
        <f>+landbouw!H8</f>
        <v>0</v>
      </c>
      <c r="J24" s="688">
        <f>+landbouw!I8</f>
        <v>0</v>
      </c>
      <c r="K24" s="688">
        <f>+landbouw!J8</f>
        <v>234.56508085451634</v>
      </c>
      <c r="L24" s="688">
        <f>+landbouw!K8</f>
        <v>0</v>
      </c>
      <c r="M24" s="688">
        <f>+landbouw!L8</f>
        <v>0</v>
      </c>
      <c r="N24" s="688">
        <f>+landbouw!M8</f>
        <v>0</v>
      </c>
      <c r="O24" s="688">
        <f>+landbouw!N8</f>
        <v>0</v>
      </c>
      <c r="P24" s="688">
        <f>+landbouw!O8</f>
        <v>0</v>
      </c>
      <c r="Q24" s="689">
        <f>+landbouw!P8</f>
        <v>0</v>
      </c>
      <c r="R24" s="691">
        <f>SUM(C24:Q24)</f>
        <v>138838.93436060115</v>
      </c>
      <c r="S24" s="68"/>
    </row>
    <row r="25" spans="1:19" s="457" customFormat="1" ht="15" thickBot="1">
      <c r="A25" s="825" t="s">
        <v>912</v>
      </c>
      <c r="B25" s="1001"/>
      <c r="C25" s="1002">
        <f>IF(Onbekend_ele_kWh="---",0,Onbekend_ele_kWh)/1000+IF(REST_rest_ele_kWh="---",0,REST_rest_ele_kWh)/1000</f>
        <v>684.03700000000003</v>
      </c>
      <c r="D25" s="1002"/>
      <c r="E25" s="1002">
        <f>IF(onbekend_gas_kWh="---",0,onbekend_gas_kWh)/1000+IF(REST_rest_gas_kWh="---",0,REST_rest_gas_kWh)/1000</f>
        <v>3060.3069999999998</v>
      </c>
      <c r="F25" s="1002"/>
      <c r="G25" s="1002"/>
      <c r="H25" s="1002"/>
      <c r="I25" s="1002"/>
      <c r="J25" s="1002"/>
      <c r="K25" s="1002"/>
      <c r="L25" s="1002"/>
      <c r="M25" s="1002"/>
      <c r="N25" s="1002"/>
      <c r="O25" s="1002"/>
      <c r="P25" s="1002"/>
      <c r="Q25" s="1003"/>
      <c r="R25" s="691">
        <f>SUM(C25:Q25)</f>
        <v>3744.3440000000001</v>
      </c>
      <c r="S25" s="68"/>
    </row>
    <row r="26" spans="1:19" s="457" customFormat="1" ht="15.75" thickBot="1">
      <c r="A26" s="694" t="s">
        <v>913</v>
      </c>
      <c r="B26" s="811"/>
      <c r="C26" s="806">
        <f>SUM(C24:C25)</f>
        <v>2580.2039999999997</v>
      </c>
      <c r="D26" s="806">
        <f t="shared" ref="D26:R26" si="2">SUM(D24:D25)</f>
        <v>99276.42857142858</v>
      </c>
      <c r="E26" s="806">
        <f t="shared" si="2"/>
        <v>34286.395341142808</v>
      </c>
      <c r="F26" s="806">
        <f t="shared" si="2"/>
        <v>17.863163613565465</v>
      </c>
      <c r="G26" s="806">
        <f t="shared" si="2"/>
        <v>6187.8222035616518</v>
      </c>
      <c r="H26" s="806">
        <f t="shared" si="2"/>
        <v>0</v>
      </c>
      <c r="I26" s="806">
        <f t="shared" si="2"/>
        <v>0</v>
      </c>
      <c r="J26" s="806">
        <f t="shared" si="2"/>
        <v>0</v>
      </c>
      <c r="K26" s="806">
        <f t="shared" si="2"/>
        <v>234.56508085451634</v>
      </c>
      <c r="L26" s="806">
        <f t="shared" si="2"/>
        <v>0</v>
      </c>
      <c r="M26" s="806">
        <f t="shared" si="2"/>
        <v>0</v>
      </c>
      <c r="N26" s="806">
        <f t="shared" si="2"/>
        <v>0</v>
      </c>
      <c r="O26" s="806">
        <f t="shared" si="2"/>
        <v>0</v>
      </c>
      <c r="P26" s="806">
        <f t="shared" si="2"/>
        <v>0</v>
      </c>
      <c r="Q26" s="806">
        <f t="shared" si="2"/>
        <v>0</v>
      </c>
      <c r="R26" s="806">
        <f t="shared" si="2"/>
        <v>142583.27836060117</v>
      </c>
      <c r="S26" s="68"/>
    </row>
    <row r="27" spans="1:19" s="457" customFormat="1" ht="17.25" thickTop="1" thickBot="1">
      <c r="A27" s="695" t="s">
        <v>116</v>
      </c>
      <c r="B27" s="798"/>
      <c r="C27" s="696">
        <f ca="1">C22+C16+C26</f>
        <v>67753.103382965593</v>
      </c>
      <c r="D27" s="696">
        <f t="shared" ref="D27:R27" ca="1" si="3">D22+D16+D26</f>
        <v>125897.14285714287</v>
      </c>
      <c r="E27" s="696">
        <f t="shared" ca="1" si="3"/>
        <v>103868.15236245084</v>
      </c>
      <c r="F27" s="696">
        <f t="shared" si="3"/>
        <v>1792.6603941647973</v>
      </c>
      <c r="G27" s="696">
        <f t="shared" ca="1" si="3"/>
        <v>11698.512129218536</v>
      </c>
      <c r="H27" s="696">
        <f t="shared" si="3"/>
        <v>46388.584613275256</v>
      </c>
      <c r="I27" s="696">
        <f t="shared" si="3"/>
        <v>8100.7317209877583</v>
      </c>
      <c r="J27" s="696">
        <f t="shared" si="3"/>
        <v>0</v>
      </c>
      <c r="K27" s="696">
        <f t="shared" si="3"/>
        <v>235.72502095232943</v>
      </c>
      <c r="L27" s="696">
        <f t="shared" si="3"/>
        <v>0</v>
      </c>
      <c r="M27" s="696">
        <f t="shared" ca="1" si="3"/>
        <v>0</v>
      </c>
      <c r="N27" s="696">
        <f t="shared" si="3"/>
        <v>2435.336597550483</v>
      </c>
      <c r="O27" s="696">
        <f t="shared" ca="1" si="3"/>
        <v>11072.850544613233</v>
      </c>
      <c r="P27" s="696">
        <f t="shared" si="3"/>
        <v>53.153333333333336</v>
      </c>
      <c r="Q27" s="696">
        <f t="shared" si="3"/>
        <v>190.66666666666669</v>
      </c>
      <c r="R27" s="696">
        <f t="shared" ca="1" si="3"/>
        <v>379486.61962332175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17576.481753945263</v>
      </c>
      <c r="D40" s="688">
        <f ca="1">tertiair!C20</f>
        <v>6326.3344537815137</v>
      </c>
      <c r="E40" s="688">
        <f ca="1">tertiair!D20</f>
        <v>0</v>
      </c>
      <c r="F40" s="688">
        <f>tertiair!E20</f>
        <v>37.468276044903746</v>
      </c>
      <c r="G40" s="688">
        <f ca="1">tertiair!F20</f>
        <v>735.22737003364682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24675.511853805328</v>
      </c>
    </row>
    <row r="41" spans="1:18">
      <c r="A41" s="816" t="s">
        <v>225</v>
      </c>
      <c r="B41" s="823"/>
      <c r="C41" s="688">
        <f ca="1">huishoudens!B12</f>
        <v>11820.356148927578</v>
      </c>
      <c r="D41" s="688">
        <f ca="1">huishoudens!C12</f>
        <v>0</v>
      </c>
      <c r="E41" s="688">
        <f>huishoudens!D12</f>
        <v>12902.133990900002</v>
      </c>
      <c r="F41" s="688">
        <f>huishoudens!E12</f>
        <v>268.36737669448007</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24990.857516522061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4402.3631324944708</v>
      </c>
      <c r="D43" s="688">
        <f ca="1">industrie!C22</f>
        <v>0</v>
      </c>
      <c r="E43" s="688">
        <f>industrie!D22</f>
        <v>1152.6471015400002</v>
      </c>
      <c r="F43" s="688">
        <f>industrie!E22</f>
        <v>48.898839755758623</v>
      </c>
      <c r="G43" s="688">
        <f>industrie!F22</f>
        <v>736.12684011674116</v>
      </c>
      <c r="H43" s="688">
        <f>industrie!G22</f>
        <v>0</v>
      </c>
      <c r="I43" s="688">
        <f>industrie!H22</f>
        <v>0</v>
      </c>
      <c r="J43" s="688">
        <f>industrie!I22</f>
        <v>0</v>
      </c>
      <c r="K43" s="688">
        <f>industrie!J22</f>
        <v>0.41061879462583489</v>
      </c>
      <c r="L43" s="688">
        <f>industrie!K22</f>
        <v>0</v>
      </c>
      <c r="M43" s="688">
        <f>industrie!L22</f>
        <v>0</v>
      </c>
      <c r="N43" s="688">
        <f>industrie!M22</f>
        <v>0</v>
      </c>
      <c r="O43" s="688">
        <f>industrie!N22</f>
        <v>0</v>
      </c>
      <c r="P43" s="688">
        <f>industrie!O22</f>
        <v>0</v>
      </c>
      <c r="Q43" s="763">
        <f>industrie!P22</f>
        <v>0</v>
      </c>
      <c r="R43" s="843">
        <f t="shared" ca="1" si="4"/>
        <v>6340.446532701596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33799.20103536731</v>
      </c>
      <c r="D46" s="721">
        <f t="shared" ref="D46:Q46" ca="1" si="5">SUM(D39:D45)</f>
        <v>6326.3344537815137</v>
      </c>
      <c r="E46" s="721">
        <f t="shared" ca="1" si="5"/>
        <v>14054.781092440002</v>
      </c>
      <c r="F46" s="721">
        <f t="shared" si="5"/>
        <v>354.73449249514243</v>
      </c>
      <c r="G46" s="721">
        <f t="shared" ca="1" si="5"/>
        <v>1471.3542101503881</v>
      </c>
      <c r="H46" s="721">
        <f t="shared" si="5"/>
        <v>0</v>
      </c>
      <c r="I46" s="721">
        <f t="shared" si="5"/>
        <v>0</v>
      </c>
      <c r="J46" s="721">
        <f t="shared" si="5"/>
        <v>0</v>
      </c>
      <c r="K46" s="721">
        <f t="shared" si="5"/>
        <v>0.41061879462583489</v>
      </c>
      <c r="L46" s="721">
        <f t="shared" si="5"/>
        <v>0</v>
      </c>
      <c r="M46" s="721">
        <f t="shared" ca="1" si="5"/>
        <v>0</v>
      </c>
      <c r="N46" s="721">
        <f t="shared" si="5"/>
        <v>0</v>
      </c>
      <c r="O46" s="721">
        <f t="shared" ca="1" si="5"/>
        <v>0</v>
      </c>
      <c r="P46" s="721">
        <f t="shared" si="5"/>
        <v>0</v>
      </c>
      <c r="Q46" s="721">
        <f t="shared" si="5"/>
        <v>0</v>
      </c>
      <c r="R46" s="721">
        <f ca="1">SUM(R39:R45)</f>
        <v>56006.815903028983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351.4025864273022</v>
      </c>
      <c r="D49" s="688">
        <f ca="1">transport!C58</f>
        <v>0</v>
      </c>
      <c r="E49" s="688">
        <f>transport!D58</f>
        <v>0</v>
      </c>
      <c r="F49" s="688">
        <f>transport!E58</f>
        <v>0</v>
      </c>
      <c r="G49" s="688">
        <f>transport!F58</f>
        <v>0</v>
      </c>
      <c r="H49" s="688">
        <f>transport!G58</f>
        <v>394.92169678067336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746.32428320797555</v>
      </c>
    </row>
    <row r="50" spans="1:18">
      <c r="A50" s="819" t="s">
        <v>307</v>
      </c>
      <c r="B50" s="829"/>
      <c r="C50" s="1008">
        <f ca="1">transport!B18</f>
        <v>0.71660948675583946</v>
      </c>
      <c r="D50" s="1008">
        <f>transport!C18</f>
        <v>0</v>
      </c>
      <c r="E50" s="1008">
        <f>transport!D18</f>
        <v>0.73382586422310403</v>
      </c>
      <c r="F50" s="1008">
        <f>transport!E18</f>
        <v>48.144478839987165</v>
      </c>
      <c r="G50" s="1008">
        <f>transport!F18</f>
        <v>0</v>
      </c>
      <c r="H50" s="1008">
        <f>transport!G18</f>
        <v>11990.830394963819</v>
      </c>
      <c r="I50" s="1008">
        <f>transport!H18</f>
        <v>2017.0821985259518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14057.507507680737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352.11919591405803</v>
      </c>
      <c r="D52" s="721">
        <f t="shared" ref="D52:Q52" ca="1" si="6">SUM(D48:D51)</f>
        <v>0</v>
      </c>
      <c r="E52" s="721">
        <f t="shared" si="6"/>
        <v>0.73382586422310403</v>
      </c>
      <c r="F52" s="721">
        <f t="shared" si="6"/>
        <v>48.144478839987165</v>
      </c>
      <c r="G52" s="721">
        <f t="shared" si="6"/>
        <v>0</v>
      </c>
      <c r="H52" s="721">
        <f t="shared" si="6"/>
        <v>12385.752091744493</v>
      </c>
      <c r="I52" s="721">
        <f t="shared" si="6"/>
        <v>2017.0821985259518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14803.831790888713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993.61248374832485</v>
      </c>
      <c r="D54" s="1008">
        <f ca="1">+landbouw!C12</f>
        <v>23592.751260504207</v>
      </c>
      <c r="E54" s="1008">
        <f>+landbouw!D12</f>
        <v>6307.6698449108471</v>
      </c>
      <c r="F54" s="1008">
        <f>+landbouw!E12</f>
        <v>4.0549381402793605</v>
      </c>
      <c r="G54" s="1008">
        <f>+landbouw!F12</f>
        <v>1652.1485283509612</v>
      </c>
      <c r="H54" s="1008">
        <f>+landbouw!G12</f>
        <v>0</v>
      </c>
      <c r="I54" s="1008">
        <f>+landbouw!H12</f>
        <v>0</v>
      </c>
      <c r="J54" s="1008">
        <f>+landbouw!I12</f>
        <v>0</v>
      </c>
      <c r="K54" s="1008">
        <f>+landbouw!J12</f>
        <v>83.036038622498779</v>
      </c>
      <c r="L54" s="1008">
        <f>+landbouw!K12</f>
        <v>0</v>
      </c>
      <c r="M54" s="1008">
        <f>+landbouw!L12</f>
        <v>0</v>
      </c>
      <c r="N54" s="1008">
        <f>+landbouw!M12</f>
        <v>0</v>
      </c>
      <c r="O54" s="1008">
        <f>+landbouw!N12</f>
        <v>0</v>
      </c>
      <c r="P54" s="1008">
        <f>+landbouw!O12</f>
        <v>0</v>
      </c>
      <c r="Q54" s="1009">
        <f>+landbouw!P12</f>
        <v>0</v>
      </c>
      <c r="R54" s="720">
        <f ca="1">SUM(C54:Q54)</f>
        <v>32633.27309427712</v>
      </c>
    </row>
    <row r="55" spans="1:18" ht="15" thickBot="1">
      <c r="A55" s="819" t="s">
        <v>912</v>
      </c>
      <c r="B55" s="829"/>
      <c r="C55" s="1008">
        <f ca="1">C25*'EF ele_warmte'!B12</f>
        <v>358.4429549431843</v>
      </c>
      <c r="D55" s="1008"/>
      <c r="E55" s="1008">
        <f>E25*EF_CO2_aardgas</f>
        <v>618.18201399999998</v>
      </c>
      <c r="F55" s="1008"/>
      <c r="G55" s="1008"/>
      <c r="H55" s="1008"/>
      <c r="I55" s="1008"/>
      <c r="J55" s="1008"/>
      <c r="K55" s="1008"/>
      <c r="L55" s="1008"/>
      <c r="M55" s="1008"/>
      <c r="N55" s="1008"/>
      <c r="O55" s="1008"/>
      <c r="P55" s="1008"/>
      <c r="Q55" s="1009"/>
      <c r="R55" s="720">
        <f ca="1">SUM(C55:Q55)</f>
        <v>976.62496894318429</v>
      </c>
    </row>
    <row r="56" spans="1:18" ht="15.75" thickBot="1">
      <c r="A56" s="817" t="s">
        <v>913</v>
      </c>
      <c r="B56" s="830"/>
      <c r="C56" s="721">
        <f ca="1">SUM(C54:C55)</f>
        <v>1352.0554386915092</v>
      </c>
      <c r="D56" s="721">
        <f t="shared" ref="D56:Q56" ca="1" si="7">SUM(D54:D55)</f>
        <v>23592.751260504207</v>
      </c>
      <c r="E56" s="721">
        <f t="shared" si="7"/>
        <v>6925.8518589108471</v>
      </c>
      <c r="F56" s="721">
        <f t="shared" si="7"/>
        <v>4.0549381402793605</v>
      </c>
      <c r="G56" s="721">
        <f t="shared" si="7"/>
        <v>1652.1485283509612</v>
      </c>
      <c r="H56" s="721">
        <f t="shared" si="7"/>
        <v>0</v>
      </c>
      <c r="I56" s="721">
        <f t="shared" si="7"/>
        <v>0</v>
      </c>
      <c r="J56" s="721">
        <f t="shared" si="7"/>
        <v>0</v>
      </c>
      <c r="K56" s="721">
        <f t="shared" si="7"/>
        <v>83.036038622498779</v>
      </c>
      <c r="L56" s="721">
        <f t="shared" si="7"/>
        <v>0</v>
      </c>
      <c r="M56" s="721">
        <f t="shared" si="7"/>
        <v>0</v>
      </c>
      <c r="N56" s="721">
        <f t="shared" si="7"/>
        <v>0</v>
      </c>
      <c r="O56" s="721">
        <f t="shared" si="7"/>
        <v>0</v>
      </c>
      <c r="P56" s="721">
        <f t="shared" si="7"/>
        <v>0</v>
      </c>
      <c r="Q56" s="722">
        <f t="shared" si="7"/>
        <v>0</v>
      </c>
      <c r="R56" s="723">
        <f ca="1">SUM(R54:R55)</f>
        <v>33609.898063220302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35503.375669972876</v>
      </c>
      <c r="D61" s="729">
        <f t="shared" ref="D61:Q61" ca="1" si="8">D46+D52+D56</f>
        <v>29919.08571428572</v>
      </c>
      <c r="E61" s="729">
        <f t="shared" ca="1" si="8"/>
        <v>20981.366777215073</v>
      </c>
      <c r="F61" s="729">
        <f t="shared" si="8"/>
        <v>406.933909475409</v>
      </c>
      <c r="G61" s="729">
        <f t="shared" ca="1" si="8"/>
        <v>3123.5027385013491</v>
      </c>
      <c r="H61" s="729">
        <f t="shared" si="8"/>
        <v>12385.752091744493</v>
      </c>
      <c r="I61" s="729">
        <f t="shared" si="8"/>
        <v>2017.0821985259518</v>
      </c>
      <c r="J61" s="729">
        <f t="shared" si="8"/>
        <v>0</v>
      </c>
      <c r="K61" s="729">
        <f t="shared" si="8"/>
        <v>83.446657417124612</v>
      </c>
      <c r="L61" s="729">
        <f t="shared" si="8"/>
        <v>0</v>
      </c>
      <c r="M61" s="729">
        <f t="shared" ca="1" si="8"/>
        <v>0</v>
      </c>
      <c r="N61" s="729">
        <f t="shared" si="8"/>
        <v>0</v>
      </c>
      <c r="O61" s="729">
        <f t="shared" ca="1" si="8"/>
        <v>0</v>
      </c>
      <c r="P61" s="729">
        <f t="shared" si="8"/>
        <v>0</v>
      </c>
      <c r="Q61" s="729">
        <f t="shared" si="8"/>
        <v>0</v>
      </c>
      <c r="R61" s="729">
        <f ca="1">R46+R52+R56</f>
        <v>104420.545757138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0.52401106218404003</v>
      </c>
      <c r="D63" s="773">
        <f t="shared" ca="1" si="9"/>
        <v>0.23764705882352943</v>
      </c>
      <c r="E63" s="1010">
        <f t="shared" ca="1" si="9"/>
        <v>0.20200000000000004</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1870.67953693445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88128</v>
      </c>
      <c r="D76" s="1020">
        <f>'lokale energieproductie'!C8</f>
        <v>103680.00000000001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20943.360000000004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1870.67953693445</v>
      </c>
      <c r="C78" s="744">
        <f>SUM(C72:C77)</f>
        <v>88128</v>
      </c>
      <c r="D78" s="745">
        <f t="shared" ref="D78:H78" si="10">SUM(D76:D77)</f>
        <v>103680.00000000001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20943.360000000004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125897.14285714286</v>
      </c>
      <c r="D87" s="766">
        <f>'lokale energieproductie'!C17</f>
        <v>148114.28571428574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29919.08571428572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125897.14285714286</v>
      </c>
      <c r="D90" s="744">
        <f t="shared" ref="D90:H90" si="12">SUM(D87:D89)</f>
        <v>148114.28571428574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29919.08571428572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22557.455370619831</v>
      </c>
      <c r="C4" s="461">
        <f>huishoudens!C8</f>
        <v>0</v>
      </c>
      <c r="D4" s="461">
        <f>huishoudens!D8</f>
        <v>63871.950450000004</v>
      </c>
      <c r="E4" s="461">
        <f>huishoudens!E8</f>
        <v>1182.2351396232602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8376.7827993030805</v>
      </c>
      <c r="O4" s="461">
        <f>huishoudens!O8</f>
        <v>53.153333333333336</v>
      </c>
      <c r="P4" s="462">
        <f>huishoudens!P8</f>
        <v>190.66666666666669</v>
      </c>
      <c r="Q4" s="463">
        <f>SUM(B4:P4)</f>
        <v>96232.243759546182</v>
      </c>
    </row>
    <row r="5" spans="1:17">
      <c r="A5" s="460" t="s">
        <v>156</v>
      </c>
      <c r="B5" s="461">
        <f ca="1">tertiair!B16</f>
        <v>32822.936000000002</v>
      </c>
      <c r="C5" s="461">
        <f ca="1">tertiair!C16</f>
        <v>26620.714285714286</v>
      </c>
      <c r="D5" s="461">
        <f ca="1">tertiair!D16</f>
        <v>0</v>
      </c>
      <c r="E5" s="461">
        <f>tertiair!E16</f>
        <v>165.05848477931164</v>
      </c>
      <c r="F5" s="461">
        <f ca="1">tertiair!F16</f>
        <v>2753.6605619237707</v>
      </c>
      <c r="G5" s="461">
        <f>tertiair!G16</f>
        <v>0</v>
      </c>
      <c r="H5" s="461">
        <f>tertiair!H16</f>
        <v>0</v>
      </c>
      <c r="I5" s="461">
        <f>tertiair!I16</f>
        <v>0</v>
      </c>
      <c r="J5" s="461">
        <f>tertiair!J16</f>
        <v>0</v>
      </c>
      <c r="K5" s="461">
        <f>tertiair!K16</f>
        <v>0</v>
      </c>
      <c r="L5" s="461">
        <f ca="1">tertiair!L16</f>
        <v>0</v>
      </c>
      <c r="M5" s="461">
        <f>tertiair!M16</f>
        <v>0</v>
      </c>
      <c r="N5" s="461">
        <f ca="1">tertiair!N16</f>
        <v>371.40277532764838</v>
      </c>
      <c r="O5" s="461">
        <f>tertiair!O16</f>
        <v>0</v>
      </c>
      <c r="P5" s="462">
        <f>tertiair!P16</f>
        <v>0</v>
      </c>
      <c r="Q5" s="460">
        <f t="shared" ref="Q5:Q14" ca="1" si="0">SUM(B5:P5)</f>
        <v>62733.772107745026</v>
      </c>
    </row>
    <row r="6" spans="1:17">
      <c r="A6" s="460" t="s">
        <v>194</v>
      </c>
      <c r="B6" s="461">
        <f>'openbare verlichting'!B8</f>
        <v>719.26</v>
      </c>
      <c r="C6" s="461"/>
      <c r="D6" s="461"/>
      <c r="E6" s="461"/>
      <c r="F6" s="461"/>
      <c r="G6" s="461"/>
      <c r="H6" s="461"/>
      <c r="I6" s="461"/>
      <c r="J6" s="461"/>
      <c r="K6" s="461"/>
      <c r="L6" s="461"/>
      <c r="M6" s="461"/>
      <c r="N6" s="461"/>
      <c r="O6" s="461"/>
      <c r="P6" s="462"/>
      <c r="Q6" s="460">
        <f t="shared" si="0"/>
        <v>719.26</v>
      </c>
    </row>
    <row r="7" spans="1:17">
      <c r="A7" s="460" t="s">
        <v>112</v>
      </c>
      <c r="B7" s="461">
        <f>landbouw!B8</f>
        <v>1896.1669999999999</v>
      </c>
      <c r="C7" s="461">
        <f>landbouw!C8</f>
        <v>99276.42857142858</v>
      </c>
      <c r="D7" s="461">
        <f>landbouw!D8</f>
        <v>31226.088341142808</v>
      </c>
      <c r="E7" s="461">
        <f>landbouw!E8</f>
        <v>17.863163613565465</v>
      </c>
      <c r="F7" s="461">
        <f>landbouw!F8</f>
        <v>6187.8222035616518</v>
      </c>
      <c r="G7" s="461">
        <f>landbouw!G8</f>
        <v>0</v>
      </c>
      <c r="H7" s="461">
        <f>landbouw!H8</f>
        <v>0</v>
      </c>
      <c r="I7" s="461">
        <f>landbouw!I8</f>
        <v>0</v>
      </c>
      <c r="J7" s="461">
        <f>landbouw!J8</f>
        <v>234.56508085451634</v>
      </c>
      <c r="K7" s="461">
        <f>landbouw!K8</f>
        <v>0</v>
      </c>
      <c r="L7" s="461">
        <f>landbouw!L8</f>
        <v>0</v>
      </c>
      <c r="M7" s="461">
        <f>landbouw!M8</f>
        <v>0</v>
      </c>
      <c r="N7" s="461">
        <f>landbouw!N8</f>
        <v>0</v>
      </c>
      <c r="O7" s="461">
        <f>landbouw!O8</f>
        <v>0</v>
      </c>
      <c r="P7" s="462">
        <f>landbouw!P8</f>
        <v>0</v>
      </c>
      <c r="Q7" s="460">
        <f t="shared" si="0"/>
        <v>138838.93436060115</v>
      </c>
    </row>
    <row r="8" spans="1:17">
      <c r="A8" s="460" t="s">
        <v>685</v>
      </c>
      <c r="B8" s="461">
        <f>industrie!B18</f>
        <v>8401.2790000000005</v>
      </c>
      <c r="C8" s="461">
        <f>industrie!C18</f>
        <v>0</v>
      </c>
      <c r="D8" s="461">
        <f>industrie!D18</f>
        <v>5706.1737700000003</v>
      </c>
      <c r="E8" s="461">
        <f>industrie!E18</f>
        <v>215.41339099453137</v>
      </c>
      <c r="F8" s="461">
        <f>industrie!F18</f>
        <v>2757.0293637331129</v>
      </c>
      <c r="G8" s="461">
        <f>industrie!G18</f>
        <v>0</v>
      </c>
      <c r="H8" s="461">
        <f>industrie!H18</f>
        <v>0</v>
      </c>
      <c r="I8" s="461">
        <f>industrie!I18</f>
        <v>0</v>
      </c>
      <c r="J8" s="461">
        <f>industrie!J18</f>
        <v>1.1599400978130929</v>
      </c>
      <c r="K8" s="461">
        <f>industrie!K18</f>
        <v>0</v>
      </c>
      <c r="L8" s="461">
        <f>industrie!L18</f>
        <v>0</v>
      </c>
      <c r="M8" s="461">
        <f>industrie!M18</f>
        <v>0</v>
      </c>
      <c r="N8" s="461">
        <f>industrie!N18</f>
        <v>2324.6649699825052</v>
      </c>
      <c r="O8" s="461">
        <f>industrie!O18</f>
        <v>0</v>
      </c>
      <c r="P8" s="462">
        <f>industrie!P18</f>
        <v>0</v>
      </c>
      <c r="Q8" s="460">
        <f t="shared" si="0"/>
        <v>19405.720434807965</v>
      </c>
    </row>
    <row r="9" spans="1:17" s="466" customFormat="1">
      <c r="A9" s="464" t="s">
        <v>579</v>
      </c>
      <c r="B9" s="465">
        <f>transport!B14</f>
        <v>1.367546486078105</v>
      </c>
      <c r="C9" s="465">
        <f>transport!C14</f>
        <v>0</v>
      </c>
      <c r="D9" s="465">
        <f>transport!D14</f>
        <v>3.6328013080351682</v>
      </c>
      <c r="E9" s="465">
        <f>transport!E14</f>
        <v>212.09021515412849</v>
      </c>
      <c r="F9" s="465">
        <f>transport!F14</f>
        <v>0</v>
      </c>
      <c r="G9" s="465">
        <f>transport!G14</f>
        <v>44909.477134695953</v>
      </c>
      <c r="H9" s="465">
        <f>transport!H14</f>
        <v>8100.7317209877583</v>
      </c>
      <c r="I9" s="465">
        <f>transport!I14</f>
        <v>0</v>
      </c>
      <c r="J9" s="465">
        <f>transport!J14</f>
        <v>0</v>
      </c>
      <c r="K9" s="465">
        <f>transport!K14</f>
        <v>0</v>
      </c>
      <c r="L9" s="465">
        <f>transport!L14</f>
        <v>0</v>
      </c>
      <c r="M9" s="465">
        <f>transport!M14</f>
        <v>2370.3865482256592</v>
      </c>
      <c r="N9" s="465">
        <f>transport!N14</f>
        <v>0</v>
      </c>
      <c r="O9" s="465">
        <f>transport!O14</f>
        <v>0</v>
      </c>
      <c r="P9" s="465">
        <f>transport!P14</f>
        <v>0</v>
      </c>
      <c r="Q9" s="464">
        <f>SUM(B9:P9)</f>
        <v>55597.685966857614</v>
      </c>
    </row>
    <row r="10" spans="1:17">
      <c r="A10" s="460" t="s">
        <v>569</v>
      </c>
      <c r="B10" s="461">
        <f>transport!B54</f>
        <v>670.60146585967414</v>
      </c>
      <c r="C10" s="461">
        <f>transport!C54</f>
        <v>0</v>
      </c>
      <c r="D10" s="461">
        <f>transport!D54</f>
        <v>0</v>
      </c>
      <c r="E10" s="461">
        <f>transport!E54</f>
        <v>0</v>
      </c>
      <c r="F10" s="461">
        <f>transport!F54</f>
        <v>0</v>
      </c>
      <c r="G10" s="461">
        <f>transport!G54</f>
        <v>1479.107478579301</v>
      </c>
      <c r="H10" s="461">
        <f>transport!H54</f>
        <v>0</v>
      </c>
      <c r="I10" s="461">
        <f>transport!I54</f>
        <v>0</v>
      </c>
      <c r="J10" s="461">
        <f>transport!J54</f>
        <v>0</v>
      </c>
      <c r="K10" s="461">
        <f>transport!K54</f>
        <v>0</v>
      </c>
      <c r="L10" s="461">
        <f>transport!L54</f>
        <v>0</v>
      </c>
      <c r="M10" s="461">
        <f>transport!M54</f>
        <v>64.950049324823951</v>
      </c>
      <c r="N10" s="461">
        <f>transport!N54</f>
        <v>0</v>
      </c>
      <c r="O10" s="461">
        <f>transport!O54</f>
        <v>0</v>
      </c>
      <c r="P10" s="462">
        <f>transport!P54</f>
        <v>0</v>
      </c>
      <c r="Q10" s="460">
        <f t="shared" si="0"/>
        <v>2214.6589937637987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684.03700000000003</v>
      </c>
      <c r="C14" s="468"/>
      <c r="D14" s="468">
        <f>'SEAP template'!E25</f>
        <v>3060.3069999999998</v>
      </c>
      <c r="E14" s="468"/>
      <c r="F14" s="468"/>
      <c r="G14" s="468"/>
      <c r="H14" s="468"/>
      <c r="I14" s="468"/>
      <c r="J14" s="468"/>
      <c r="K14" s="468"/>
      <c r="L14" s="468"/>
      <c r="M14" s="468"/>
      <c r="N14" s="468"/>
      <c r="O14" s="468"/>
      <c r="P14" s="469"/>
      <c r="Q14" s="460">
        <f t="shared" si="0"/>
        <v>3744.3440000000001</v>
      </c>
    </row>
    <row r="15" spans="1:17" s="473" customFormat="1">
      <c r="A15" s="470" t="s">
        <v>573</v>
      </c>
      <c r="B15" s="471">
        <f ca="1">SUM(B4:B14)</f>
        <v>67753.103382965579</v>
      </c>
      <c r="C15" s="471">
        <f t="shared" ref="C15:Q15" ca="1" si="1">SUM(C4:C14)</f>
        <v>125897.14285714287</v>
      </c>
      <c r="D15" s="471">
        <f t="shared" ca="1" si="1"/>
        <v>103868.15236245084</v>
      </c>
      <c r="E15" s="471">
        <f t="shared" si="1"/>
        <v>1792.6603941647973</v>
      </c>
      <c r="F15" s="471">
        <f t="shared" ca="1" si="1"/>
        <v>11698.512129218536</v>
      </c>
      <c r="G15" s="471">
        <f t="shared" si="1"/>
        <v>46388.584613275256</v>
      </c>
      <c r="H15" s="471">
        <f t="shared" si="1"/>
        <v>8100.7317209877583</v>
      </c>
      <c r="I15" s="471">
        <f t="shared" si="1"/>
        <v>0</v>
      </c>
      <c r="J15" s="471">
        <f t="shared" si="1"/>
        <v>235.72502095232943</v>
      </c>
      <c r="K15" s="471">
        <f t="shared" si="1"/>
        <v>0</v>
      </c>
      <c r="L15" s="471">
        <f t="shared" ca="1" si="1"/>
        <v>0</v>
      </c>
      <c r="M15" s="471">
        <f t="shared" si="1"/>
        <v>2435.336597550483</v>
      </c>
      <c r="N15" s="471">
        <f t="shared" ca="1" si="1"/>
        <v>11072.850544613233</v>
      </c>
      <c r="O15" s="471">
        <f t="shared" si="1"/>
        <v>53.153333333333336</v>
      </c>
      <c r="P15" s="471">
        <f t="shared" si="1"/>
        <v>190.66666666666669</v>
      </c>
      <c r="Q15" s="471">
        <f t="shared" ca="1" si="1"/>
        <v>379486.61962332169</v>
      </c>
    </row>
    <row r="17" spans="1:17">
      <c r="A17" s="474" t="s">
        <v>574</v>
      </c>
      <c r="B17" s="778">
        <f ca="1">huishoudens!B10</f>
        <v>0.52401106218404014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11820.356148927578</v>
      </c>
      <c r="C22" s="461">
        <f t="shared" ref="C22:C32" ca="1" si="3">C4*$C$17</f>
        <v>0</v>
      </c>
      <c r="D22" s="461">
        <f t="shared" ref="D22:D32" si="4">D4*$D$17</f>
        <v>12902.133990900002</v>
      </c>
      <c r="E22" s="461">
        <f t="shared" ref="E22:E32" si="5">E4*$E$17</f>
        <v>268.36737669448007</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24990.857516522061</v>
      </c>
    </row>
    <row r="23" spans="1:17">
      <c r="A23" s="460" t="s">
        <v>156</v>
      </c>
      <c r="B23" s="461">
        <f t="shared" ca="1" si="2"/>
        <v>17199.581557358772</v>
      </c>
      <c r="C23" s="461">
        <f t="shared" ca="1" si="3"/>
        <v>6326.3344537815137</v>
      </c>
      <c r="D23" s="461">
        <f t="shared" ca="1" si="4"/>
        <v>0</v>
      </c>
      <c r="E23" s="461">
        <f t="shared" si="5"/>
        <v>37.468276044903746</v>
      </c>
      <c r="F23" s="461">
        <f t="shared" ca="1" si="6"/>
        <v>735.22737003364682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24298.611657218837</v>
      </c>
    </row>
    <row r="24" spans="1:17">
      <c r="A24" s="460" t="s">
        <v>194</v>
      </c>
      <c r="B24" s="461">
        <f t="shared" ca="1" si="2"/>
        <v>376.90019658649271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376.90019658649271</v>
      </c>
    </row>
    <row r="25" spans="1:17">
      <c r="A25" s="460" t="s">
        <v>112</v>
      </c>
      <c r="B25" s="461">
        <f t="shared" ca="1" si="2"/>
        <v>993.61248374832485</v>
      </c>
      <c r="C25" s="461">
        <f t="shared" ca="1" si="3"/>
        <v>23592.751260504207</v>
      </c>
      <c r="D25" s="461">
        <f t="shared" si="4"/>
        <v>6307.6698449108471</v>
      </c>
      <c r="E25" s="461">
        <f t="shared" si="5"/>
        <v>4.0549381402793605</v>
      </c>
      <c r="F25" s="461">
        <f t="shared" si="6"/>
        <v>1652.1485283509612</v>
      </c>
      <c r="G25" s="461">
        <f t="shared" si="7"/>
        <v>0</v>
      </c>
      <c r="H25" s="461">
        <f t="shared" si="8"/>
        <v>0</v>
      </c>
      <c r="I25" s="461">
        <f t="shared" si="9"/>
        <v>0</v>
      </c>
      <c r="J25" s="461">
        <f t="shared" si="10"/>
        <v>83.036038622498779</v>
      </c>
      <c r="K25" s="461">
        <f t="shared" si="11"/>
        <v>0</v>
      </c>
      <c r="L25" s="461">
        <f t="shared" si="12"/>
        <v>0</v>
      </c>
      <c r="M25" s="461">
        <f t="shared" si="13"/>
        <v>0</v>
      </c>
      <c r="N25" s="461">
        <f t="shared" si="14"/>
        <v>0</v>
      </c>
      <c r="O25" s="461">
        <f t="shared" si="15"/>
        <v>0</v>
      </c>
      <c r="P25" s="462">
        <f t="shared" si="16"/>
        <v>0</v>
      </c>
      <c r="Q25" s="460">
        <f t="shared" ca="1" si="17"/>
        <v>32633.27309427712</v>
      </c>
    </row>
    <row r="26" spans="1:17">
      <c r="A26" s="460" t="s">
        <v>685</v>
      </c>
      <c r="B26" s="461">
        <f t="shared" ca="1" si="2"/>
        <v>4402.3631324944708</v>
      </c>
      <c r="C26" s="461">
        <f t="shared" ca="1" si="3"/>
        <v>0</v>
      </c>
      <c r="D26" s="461">
        <f t="shared" si="4"/>
        <v>1152.6471015400002</v>
      </c>
      <c r="E26" s="461">
        <f t="shared" si="5"/>
        <v>48.898839755758623</v>
      </c>
      <c r="F26" s="461">
        <f t="shared" si="6"/>
        <v>736.12684011674116</v>
      </c>
      <c r="G26" s="461">
        <f t="shared" si="7"/>
        <v>0</v>
      </c>
      <c r="H26" s="461">
        <f t="shared" si="8"/>
        <v>0</v>
      </c>
      <c r="I26" s="461">
        <f t="shared" si="9"/>
        <v>0</v>
      </c>
      <c r="J26" s="461">
        <f t="shared" si="10"/>
        <v>0.41061879462583489</v>
      </c>
      <c r="K26" s="461">
        <f t="shared" si="11"/>
        <v>0</v>
      </c>
      <c r="L26" s="461">
        <f t="shared" si="12"/>
        <v>0</v>
      </c>
      <c r="M26" s="461">
        <f t="shared" si="13"/>
        <v>0</v>
      </c>
      <c r="N26" s="461">
        <f t="shared" si="14"/>
        <v>0</v>
      </c>
      <c r="O26" s="461">
        <f t="shared" si="15"/>
        <v>0</v>
      </c>
      <c r="P26" s="462">
        <f t="shared" si="16"/>
        <v>0</v>
      </c>
      <c r="Q26" s="460">
        <f t="shared" ca="1" si="17"/>
        <v>6340.446532701596</v>
      </c>
    </row>
    <row r="27" spans="1:17" s="466" customFormat="1">
      <c r="A27" s="464" t="s">
        <v>579</v>
      </c>
      <c r="B27" s="772">
        <f t="shared" ca="1" si="2"/>
        <v>0.71660948675583946</v>
      </c>
      <c r="C27" s="465">
        <f t="shared" ca="1" si="3"/>
        <v>0</v>
      </c>
      <c r="D27" s="465">
        <f t="shared" si="4"/>
        <v>0.73382586422310403</v>
      </c>
      <c r="E27" s="465">
        <f t="shared" si="5"/>
        <v>48.144478839987165</v>
      </c>
      <c r="F27" s="465">
        <f t="shared" si="6"/>
        <v>0</v>
      </c>
      <c r="G27" s="465">
        <f t="shared" si="7"/>
        <v>11990.830394963819</v>
      </c>
      <c r="H27" s="465">
        <f t="shared" si="8"/>
        <v>2017.0821985259518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14057.507507680737</v>
      </c>
    </row>
    <row r="28" spans="1:17">
      <c r="A28" s="460" t="s">
        <v>569</v>
      </c>
      <c r="B28" s="461">
        <f t="shared" ca="1" si="2"/>
        <v>351.4025864273022</v>
      </c>
      <c r="C28" s="461">
        <f t="shared" ca="1" si="3"/>
        <v>0</v>
      </c>
      <c r="D28" s="461">
        <f t="shared" si="4"/>
        <v>0</v>
      </c>
      <c r="E28" s="461">
        <f t="shared" si="5"/>
        <v>0</v>
      </c>
      <c r="F28" s="461">
        <f t="shared" si="6"/>
        <v>0</v>
      </c>
      <c r="G28" s="461">
        <f t="shared" si="7"/>
        <v>394.92169678067336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746.32428320797555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358.4429549431843</v>
      </c>
      <c r="C32" s="461">
        <f t="shared" ca="1" si="3"/>
        <v>0</v>
      </c>
      <c r="D32" s="461">
        <f t="shared" si="4"/>
        <v>618.18201399999998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976.62496894318429</v>
      </c>
    </row>
    <row r="33" spans="1:17" s="473" customFormat="1">
      <c r="A33" s="470" t="s">
        <v>573</v>
      </c>
      <c r="B33" s="471">
        <f ca="1">SUM(B22:B32)</f>
        <v>35503.375669972884</v>
      </c>
      <c r="C33" s="471">
        <f t="shared" ref="C33:Q33" ca="1" si="18">SUM(C22:C32)</f>
        <v>29919.08571428572</v>
      </c>
      <c r="D33" s="471">
        <f t="shared" ca="1" si="18"/>
        <v>20981.366777215073</v>
      </c>
      <c r="E33" s="471">
        <f t="shared" si="18"/>
        <v>406.933909475409</v>
      </c>
      <c r="F33" s="471">
        <f t="shared" ca="1" si="18"/>
        <v>3123.5027385013495</v>
      </c>
      <c r="G33" s="471">
        <f t="shared" si="18"/>
        <v>12385.752091744493</v>
      </c>
      <c r="H33" s="471">
        <f t="shared" si="18"/>
        <v>2017.0821985259518</v>
      </c>
      <c r="I33" s="471">
        <f t="shared" si="18"/>
        <v>0</v>
      </c>
      <c r="J33" s="471">
        <f t="shared" si="18"/>
        <v>83.446657417124612</v>
      </c>
      <c r="K33" s="471">
        <f t="shared" si="18"/>
        <v>0</v>
      </c>
      <c r="L33" s="471">
        <f t="shared" ca="1" si="18"/>
        <v>0</v>
      </c>
      <c r="M33" s="471">
        <f t="shared" si="18"/>
        <v>0</v>
      </c>
      <c r="N33" s="471">
        <f t="shared" ca="1" si="18"/>
        <v>0</v>
      </c>
      <c r="O33" s="471">
        <f t="shared" si="18"/>
        <v>0</v>
      </c>
      <c r="P33" s="471">
        <f t="shared" si="18"/>
        <v>0</v>
      </c>
      <c r="Q33" s="471">
        <f t="shared" ca="1" si="18"/>
        <v>104420.54575713801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1870.67953693445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88128</v>
      </c>
      <c r="D8" s="1037">
        <f>'SEAP template'!D76</f>
        <v>103680.00000000001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20943.360000000004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1870.67953693445</v>
      </c>
      <c r="C10" s="1041">
        <f>SUM(C4:C9)</f>
        <v>88128</v>
      </c>
      <c r="D10" s="1041">
        <f t="shared" ref="D10:H10" si="0">SUM(D8:D9)</f>
        <v>103680.00000000001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20943.360000000004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0.52401106218404014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125897.14285714286</v>
      </c>
      <c r="D17" s="1038">
        <f>'SEAP template'!D87</f>
        <v>148114.28571428574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29919.08571428572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125897.14285714286</v>
      </c>
      <c r="D20" s="1041">
        <f t="shared" ref="D20:H20" si="2">SUM(D17:D19)</f>
        <v>148114.28571428574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29919.08571428572</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0.52401106218404014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0.52401106218404014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0.52401106218404014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4977</v>
      </c>
      <c r="C9" s="338">
        <v>5289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919</v>
      </c>
    </row>
    <row r="15" spans="1:6">
      <c r="A15" s="1286" t="s">
        <v>184</v>
      </c>
      <c r="B15" s="335">
        <v>2</v>
      </c>
    </row>
    <row r="16" spans="1:6">
      <c r="A16" s="1286" t="s">
        <v>6</v>
      </c>
      <c r="B16" s="335">
        <v>29</v>
      </c>
    </row>
    <row r="17" spans="1:6">
      <c r="A17" s="1286" t="s">
        <v>7</v>
      </c>
      <c r="B17" s="335">
        <v>112</v>
      </c>
    </row>
    <row r="18" spans="1:6">
      <c r="A18" s="1286" t="s">
        <v>8</v>
      </c>
      <c r="B18" s="335">
        <v>104</v>
      </c>
    </row>
    <row r="19" spans="1:6">
      <c r="A19" s="1286" t="s">
        <v>9</v>
      </c>
      <c r="B19" s="335">
        <v>84</v>
      </c>
    </row>
    <row r="20" spans="1:6">
      <c r="A20" s="1286" t="s">
        <v>10</v>
      </c>
      <c r="B20" s="335">
        <v>97</v>
      </c>
    </row>
    <row r="21" spans="1:6">
      <c r="A21" s="1286" t="s">
        <v>11</v>
      </c>
      <c r="B21" s="335">
        <v>0</v>
      </c>
    </row>
    <row r="22" spans="1:6">
      <c r="A22" s="1286" t="s">
        <v>12</v>
      </c>
      <c r="B22" s="335">
        <v>0</v>
      </c>
    </row>
    <row r="23" spans="1:6">
      <c r="A23" s="1286" t="s">
        <v>13</v>
      </c>
      <c r="B23" s="335">
        <v>0</v>
      </c>
    </row>
    <row r="24" spans="1:6">
      <c r="A24" s="1286" t="s">
        <v>14</v>
      </c>
      <c r="B24" s="335">
        <v>1</v>
      </c>
    </row>
    <row r="25" spans="1:6">
      <c r="A25" s="1286" t="s">
        <v>15</v>
      </c>
      <c r="B25" s="335">
        <v>0</v>
      </c>
    </row>
    <row r="26" spans="1:6">
      <c r="A26" s="1286" t="s">
        <v>16</v>
      </c>
      <c r="B26" s="335">
        <v>27</v>
      </c>
    </row>
    <row r="27" spans="1:6">
      <c r="A27" s="1286" t="s">
        <v>17</v>
      </c>
      <c r="B27" s="335">
        <v>0</v>
      </c>
    </row>
    <row r="28" spans="1:6" s="341" customFormat="1">
      <c r="A28" s="1287" t="s">
        <v>18</v>
      </c>
      <c r="B28" s="1287">
        <v>3411</v>
      </c>
    </row>
    <row r="29" spans="1:6">
      <c r="A29" s="1287" t="s">
        <v>942</v>
      </c>
      <c r="B29" s="1287">
        <v>77</v>
      </c>
      <c r="C29" s="341"/>
      <c r="D29" s="341"/>
      <c r="E29" s="341"/>
      <c r="F29" s="341"/>
    </row>
    <row r="30" spans="1:6">
      <c r="A30" s="1282" t="s">
        <v>943</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16655829</v>
      </c>
      <c r="E38" s="335">
        <v>4</v>
      </c>
      <c r="F38" s="335">
        <v>312539</v>
      </c>
    </row>
    <row r="39" spans="1:6">
      <c r="A39" s="1286" t="s">
        <v>30</v>
      </c>
      <c r="B39" s="1286" t="s">
        <v>31</v>
      </c>
      <c r="C39" s="335">
        <v>3994</v>
      </c>
      <c r="D39" s="335">
        <v>70811475</v>
      </c>
      <c r="E39" s="335">
        <v>5113</v>
      </c>
      <c r="F39" s="335">
        <v>21001372</v>
      </c>
    </row>
    <row r="40" spans="1:6">
      <c r="A40" s="1286" t="s">
        <v>30</v>
      </c>
      <c r="B40" s="1286" t="s">
        <v>29</v>
      </c>
      <c r="C40" s="335">
        <v>0</v>
      </c>
      <c r="D40" s="335">
        <v>0</v>
      </c>
      <c r="E40" s="335">
        <v>0</v>
      </c>
      <c r="F40" s="335">
        <v>0</v>
      </c>
    </row>
    <row r="41" spans="1:6">
      <c r="A41" s="1286" t="s">
        <v>32</v>
      </c>
      <c r="B41" s="1286" t="s">
        <v>33</v>
      </c>
      <c r="C41" s="335">
        <v>21</v>
      </c>
      <c r="D41" s="335">
        <v>637834</v>
      </c>
      <c r="E41" s="335">
        <v>54</v>
      </c>
      <c r="F41" s="335">
        <v>2197343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50014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1327528</v>
      </c>
      <c r="E47" s="335">
        <v>6</v>
      </c>
      <c r="F47" s="335">
        <v>5851286</v>
      </c>
    </row>
    <row r="48" spans="1:6">
      <c r="A48" s="1286" t="s">
        <v>32</v>
      </c>
      <c r="B48" s="1286" t="s">
        <v>29</v>
      </c>
      <c r="C48" s="335">
        <v>4</v>
      </c>
      <c r="D48" s="335">
        <v>4360773</v>
      </c>
      <c r="E48" s="335">
        <v>3</v>
      </c>
      <c r="F48" s="335">
        <v>26020</v>
      </c>
    </row>
    <row r="49" spans="1:6">
      <c r="A49" s="1286" t="s">
        <v>32</v>
      </c>
      <c r="B49" s="1286" t="s">
        <v>40</v>
      </c>
      <c r="C49" s="335">
        <v>0</v>
      </c>
      <c r="D49" s="335">
        <v>0</v>
      </c>
      <c r="E49" s="335">
        <v>0</v>
      </c>
      <c r="F49" s="335">
        <v>0</v>
      </c>
    </row>
    <row r="50" spans="1:6">
      <c r="A50" s="1286" t="s">
        <v>32</v>
      </c>
      <c r="B50" s="1286" t="s">
        <v>41</v>
      </c>
      <c r="C50" s="335">
        <v>0</v>
      </c>
      <c r="D50" s="335">
        <v>0</v>
      </c>
      <c r="E50" s="335">
        <v>5</v>
      </c>
      <c r="F50" s="335">
        <v>276616</v>
      </c>
    </row>
    <row r="51" spans="1:6">
      <c r="A51" s="1286" t="s">
        <v>42</v>
      </c>
      <c r="B51" s="1286" t="s">
        <v>43</v>
      </c>
      <c r="C51" s="335">
        <v>21</v>
      </c>
      <c r="D51" s="335">
        <v>254743842</v>
      </c>
      <c r="E51" s="335">
        <v>71</v>
      </c>
      <c r="F51" s="335">
        <v>1896167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26</v>
      </c>
      <c r="F54" s="335">
        <v>719260</v>
      </c>
    </row>
    <row r="55" spans="1:6">
      <c r="A55" s="1286" t="s">
        <v>46</v>
      </c>
      <c r="B55" s="1286" t="s">
        <v>29</v>
      </c>
      <c r="C55" s="335">
        <v>0</v>
      </c>
      <c r="D55" s="335">
        <v>0</v>
      </c>
      <c r="E55" s="335">
        <v>0</v>
      </c>
      <c r="F55" s="335">
        <v>0</v>
      </c>
    </row>
    <row r="56" spans="1:6">
      <c r="A56" s="1286" t="s">
        <v>48</v>
      </c>
      <c r="B56" s="1286" t="s">
        <v>29</v>
      </c>
      <c r="C56" s="335">
        <v>58</v>
      </c>
      <c r="D56" s="335">
        <v>3060307</v>
      </c>
      <c r="E56" s="335">
        <v>93</v>
      </c>
      <c r="F56" s="335">
        <v>684037</v>
      </c>
    </row>
    <row r="57" spans="1:6">
      <c r="A57" s="1286" t="s">
        <v>49</v>
      </c>
      <c r="B57" s="1286" t="s">
        <v>50</v>
      </c>
      <c r="C57" s="335">
        <v>22</v>
      </c>
      <c r="D57" s="335">
        <v>1293824</v>
      </c>
      <c r="E57" s="335">
        <v>44</v>
      </c>
      <c r="F57" s="335">
        <v>589676</v>
      </c>
    </row>
    <row r="58" spans="1:6">
      <c r="A58" s="1286" t="s">
        <v>49</v>
      </c>
      <c r="B58" s="1286" t="s">
        <v>51</v>
      </c>
      <c r="C58" s="335">
        <v>18</v>
      </c>
      <c r="D58" s="335">
        <v>7843691</v>
      </c>
      <c r="E58" s="335">
        <v>24</v>
      </c>
      <c r="F58" s="335">
        <v>1512469</v>
      </c>
    </row>
    <row r="59" spans="1:6">
      <c r="A59" s="1286" t="s">
        <v>49</v>
      </c>
      <c r="B59" s="1286" t="s">
        <v>52</v>
      </c>
      <c r="C59" s="335">
        <v>58</v>
      </c>
      <c r="D59" s="335">
        <v>2986029</v>
      </c>
      <c r="E59" s="335">
        <v>113</v>
      </c>
      <c r="F59" s="335">
        <v>3165527</v>
      </c>
    </row>
    <row r="60" spans="1:6">
      <c r="A60" s="1286" t="s">
        <v>49</v>
      </c>
      <c r="B60" s="1286" t="s">
        <v>53</v>
      </c>
      <c r="C60" s="335">
        <v>30</v>
      </c>
      <c r="D60" s="335">
        <v>2580614</v>
      </c>
      <c r="E60" s="335">
        <v>40</v>
      </c>
      <c r="F60" s="335">
        <v>2534294</v>
      </c>
    </row>
    <row r="61" spans="1:6">
      <c r="A61" s="1286" t="s">
        <v>49</v>
      </c>
      <c r="B61" s="1286" t="s">
        <v>54</v>
      </c>
      <c r="C61" s="335">
        <v>120</v>
      </c>
      <c r="D61" s="335">
        <v>6078508</v>
      </c>
      <c r="E61" s="335">
        <v>310</v>
      </c>
      <c r="F61" s="335">
        <v>6089555</v>
      </c>
    </row>
    <row r="62" spans="1:6">
      <c r="A62" s="1286" t="s">
        <v>49</v>
      </c>
      <c r="B62" s="1286" t="s">
        <v>55</v>
      </c>
      <c r="C62" s="335">
        <v>6</v>
      </c>
      <c r="D62" s="335">
        <v>927379</v>
      </c>
      <c r="E62" s="335">
        <v>8</v>
      </c>
      <c r="F62" s="335">
        <v>296915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65343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134331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57811159</v>
      </c>
      <c r="E73" s="335">
        <v>39949840.50195118</v>
      </c>
    </row>
    <row r="74" spans="1:6">
      <c r="A74" s="1286" t="s">
        <v>64</v>
      </c>
      <c r="B74" s="1286" t="s">
        <v>772</v>
      </c>
      <c r="C74" s="1297" t="s">
        <v>766</v>
      </c>
      <c r="D74" s="335">
        <v>5079223.5587050719</v>
      </c>
      <c r="E74" s="335">
        <v>3887585.1978464327</v>
      </c>
    </row>
    <row r="75" spans="1:6">
      <c r="A75" s="1286" t="s">
        <v>65</v>
      </c>
      <c r="B75" s="1286" t="s">
        <v>771</v>
      </c>
      <c r="C75" s="1297" t="s">
        <v>767</v>
      </c>
      <c r="D75" s="335">
        <v>7186209</v>
      </c>
      <c r="E75" s="335">
        <v>4986047.8472429849</v>
      </c>
    </row>
    <row r="76" spans="1:6">
      <c r="A76" s="1286" t="s">
        <v>65</v>
      </c>
      <c r="B76" s="1286" t="s">
        <v>772</v>
      </c>
      <c r="C76" s="1297" t="s">
        <v>768</v>
      </c>
      <c r="D76" s="335">
        <v>396459.55870507198</v>
      </c>
      <c r="E76" s="335">
        <v>270670.19900573377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406246.88258985605</v>
      </c>
      <c r="C83" s="335">
        <v>382417.03528552386</v>
      </c>
    </row>
    <row r="84" spans="1:6">
      <c r="A84" s="1282" t="s">
        <v>337</v>
      </c>
      <c r="B84" s="338">
        <v>190241.55059848912</v>
      </c>
      <c r="C84" s="338">
        <v>209136.90490936241</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1556.0833706198309</v>
      </c>
    </row>
    <row r="92" spans="1:6">
      <c r="A92" s="1282" t="s">
        <v>69</v>
      </c>
      <c r="B92" s="338">
        <v>314.59616631461898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2831</v>
      </c>
    </row>
    <row r="98" spans="1:6">
      <c r="A98" s="1286" t="s">
        <v>72</v>
      </c>
      <c r="B98" s="335">
        <v>2</v>
      </c>
    </row>
    <row r="99" spans="1:6">
      <c r="A99" s="1286" t="s">
        <v>73</v>
      </c>
      <c r="B99" s="335">
        <v>22</v>
      </c>
    </row>
    <row r="100" spans="1:6">
      <c r="A100" s="1286" t="s">
        <v>74</v>
      </c>
      <c r="B100" s="335">
        <v>329</v>
      </c>
    </row>
    <row r="101" spans="1:6">
      <c r="A101" s="1286" t="s">
        <v>75</v>
      </c>
      <c r="B101" s="335">
        <v>48</v>
      </c>
    </row>
    <row r="102" spans="1:6">
      <c r="A102" s="1286" t="s">
        <v>76</v>
      </c>
      <c r="B102" s="335">
        <v>62</v>
      </c>
    </row>
    <row r="103" spans="1:6">
      <c r="A103" s="1286" t="s">
        <v>77</v>
      </c>
      <c r="B103" s="335">
        <v>79</v>
      </c>
    </row>
    <row r="104" spans="1:6">
      <c r="A104" s="1286" t="s">
        <v>78</v>
      </c>
      <c r="B104" s="335">
        <v>886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67753.103382965593</v>
      </c>
      <c r="C3" s="44" t="s">
        <v>170</v>
      </c>
      <c r="D3" s="44"/>
      <c r="E3" s="157"/>
      <c r="F3" s="44"/>
      <c r="G3" s="44"/>
      <c r="H3" s="44"/>
      <c r="I3" s="44"/>
      <c r="J3" s="44"/>
      <c r="K3" s="97"/>
    </row>
    <row r="4" spans="1:11">
      <c r="A4" s="365" t="s">
        <v>171</v>
      </c>
      <c r="B4" s="50">
        <f>IF(ISERROR('SEAP template'!B78),0,'SEAP template'!B78)</f>
        <v>1870.67953693445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20943.360000000004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0.52401106218404014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29919.08571428572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125897.14285714287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719.26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0.52401106218404014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376.90019658649271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B46*B57</f>
        <v>1182.2351396232602</v>
      </c>
      <c r="F5" s="18">
        <f>B51*B62</f>
        <v>0</v>
      </c>
      <c r="G5" s="19"/>
      <c r="H5" s="18"/>
      <c r="I5" s="18"/>
      <c r="J5" s="18">
        <f>B50*B61+C50*C61</f>
        <v>0</v>
      </c>
      <c r="K5" s="18"/>
      <c r="L5" s="18"/>
      <c r="M5" s="18"/>
      <c r="N5" s="18">
        <f>B48*B59+C48*C59</f>
        <v>8376.7827993030805</v>
      </c>
      <c r="O5" s="18">
        <f>B69*B70*B71</f>
        <v>53.153333333333336</v>
      </c>
      <c r="P5" s="18">
        <f>B77*B78*B79/1000-B77*B78*B79/1000/B80</f>
        <v>190.66666666666669</v>
      </c>
    </row>
    <row r="6" spans="1:16">
      <c r="A6" s="17" t="s">
        <v>639</v>
      </c>
      <c r="B6" s="780">
        <f>kWh_PV_kleiner_dan_10kW</f>
        <v>1556.0833706198309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22557.455370619831</v>
      </c>
      <c r="C8" s="22">
        <f>C5</f>
        <v>0</v>
      </c>
      <c r="D8" s="22">
        <f>D5</f>
        <v>63871.950450000004</v>
      </c>
      <c r="E8" s="22">
        <f>E5</f>
        <v>1182.2351396232602</v>
      </c>
      <c r="F8" s="22">
        <f>F5</f>
        <v>0</v>
      </c>
      <c r="G8" s="22"/>
      <c r="H8" s="22"/>
      <c r="I8" s="22"/>
      <c r="J8" s="22">
        <f>J5</f>
        <v>0</v>
      </c>
      <c r="K8" s="22"/>
      <c r="L8" s="22">
        <f>L5</f>
        <v>0</v>
      </c>
      <c r="M8" s="22">
        <f>M5</f>
        <v>0</v>
      </c>
      <c r="N8" s="22">
        <f>N5</f>
        <v>8376.7827993030805</v>
      </c>
      <c r="O8" s="22">
        <f>O5</f>
        <v>53.153333333333336</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0.52401106218404014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11820.356148927578</v>
      </c>
      <c r="C12" s="24">
        <f ca="1">C10*C8</f>
        <v>0</v>
      </c>
      <c r="D12" s="24">
        <f>D8*D10</f>
        <v>12902.133990900002</v>
      </c>
      <c r="E12" s="24">
        <f>E10*E8</f>
        <v>268.36737669448007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2831</v>
      </c>
      <c r="C18" s="169" t="s">
        <v>111</v>
      </c>
      <c r="D18" s="231"/>
      <c r="E18" s="16"/>
    </row>
    <row r="19" spans="1:7">
      <c r="A19" s="174" t="s">
        <v>72</v>
      </c>
      <c r="B19" s="38">
        <f>aantalw2001_ander</f>
        <v>2</v>
      </c>
      <c r="C19" s="169" t="s">
        <v>111</v>
      </c>
      <c r="D19" s="232"/>
      <c r="E19" s="16"/>
    </row>
    <row r="20" spans="1:7">
      <c r="A20" s="174" t="s">
        <v>73</v>
      </c>
      <c r="B20" s="38">
        <f>aantalw2001_propaan</f>
        <v>22</v>
      </c>
      <c r="C20" s="170">
        <f>IF(ISERROR(B20/SUM($B$20,$B$21,$B$22)*100),0,B20/SUM($B$20,$B$21,$B$22)*100)</f>
        <v>5.5137844611528823</v>
      </c>
      <c r="D20" s="232"/>
      <c r="E20" s="16"/>
    </row>
    <row r="21" spans="1:7">
      <c r="A21" s="174" t="s">
        <v>74</v>
      </c>
      <c r="B21" s="38">
        <f>aantalw2001_elektriciteit</f>
        <v>329</v>
      </c>
      <c r="C21" s="170">
        <f>IF(ISERROR(B21/SUM($B$20,$B$21,$B$22)*100),0,B21/SUM($B$20,$B$21,$B$22)*100)</f>
        <v>82.456140350877192</v>
      </c>
      <c r="D21" s="232"/>
      <c r="E21" s="16"/>
    </row>
    <row r="22" spans="1:7">
      <c r="A22" s="174" t="s">
        <v>75</v>
      </c>
      <c r="B22" s="38">
        <f>aantalw2001_hout</f>
        <v>48</v>
      </c>
      <c r="C22" s="170">
        <f>IF(ISERROR(B22/SUM($B$20,$B$21,$B$22)*100),0,B22/SUM($B$20,$B$21,$B$22)*100)</f>
        <v>12.030075187969924</v>
      </c>
      <c r="D22" s="232"/>
      <c r="E22" s="16"/>
    </row>
    <row r="23" spans="1:7">
      <c r="A23" s="174" t="s">
        <v>76</v>
      </c>
      <c r="B23" s="38">
        <f>aantalw2001_niet_gespec</f>
        <v>62</v>
      </c>
      <c r="C23" s="169" t="s">
        <v>111</v>
      </c>
      <c r="D23" s="231"/>
      <c r="E23" s="16"/>
    </row>
    <row r="24" spans="1:7">
      <c r="A24" s="174" t="s">
        <v>77</v>
      </c>
      <c r="B24" s="38">
        <f>aantalw2001_steenkool</f>
        <v>79</v>
      </c>
      <c r="C24" s="169" t="s">
        <v>111</v>
      </c>
      <c r="D24" s="232"/>
      <c r="E24" s="16"/>
    </row>
    <row r="25" spans="1:7">
      <c r="A25" s="174" t="s">
        <v>78</v>
      </c>
      <c r="B25" s="38">
        <f>aantalw2001_stookolie</f>
        <v>886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4977</v>
      </c>
      <c r="C28" s="37"/>
      <c r="D28" s="231"/>
    </row>
    <row r="29" spans="1:7" s="16" customFormat="1">
      <c r="A29" s="233" t="s">
        <v>666</v>
      </c>
      <c r="B29" s="38">
        <f>SUM(HH_hh_gas_aantal,HH_rest_gas_aantal)</f>
        <v>3994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3994</v>
      </c>
      <c r="C32" s="170">
        <f>IF(ISERROR(B32/SUM($B$32,$B$34,$B$35,$B$36,$B$38,$B$39)*100),0,B32/SUM($B$32,$B$34,$B$35,$B$36,$B$38,$B$39)*100)</f>
        <v>80.410710690557679</v>
      </c>
      <c r="D32" s="236"/>
      <c r="G32" s="16"/>
    </row>
    <row r="33" spans="1:7">
      <c r="A33" s="174" t="s">
        <v>72</v>
      </c>
      <c r="B33" s="35" t="s">
        <v>111</v>
      </c>
      <c r="C33" s="170"/>
      <c r="D33" s="236"/>
      <c r="G33" s="16"/>
    </row>
    <row r="34" spans="1:7">
      <c r="A34" s="174" t="s">
        <v>73</v>
      </c>
      <c r="B34" s="34">
        <f>IF((($B$28-$B$32-$B$39-$B$77-$B$38)*C20/100)&lt;0,0,($B$28-$B$32-$B$39-$B$77-$B$38)*C20/100)</f>
        <v>53.649122807017548</v>
      </c>
      <c r="C34" s="170">
        <f>IF(ISERROR(B34/SUM($B$32,$B$34,$B$35,$B$36,$B$38,$B$39)*100),0,B34/SUM($B$32,$B$34,$B$35,$B$36,$B$38,$B$39)*100)</f>
        <v>1.0801111899943134</v>
      </c>
      <c r="D34" s="236"/>
      <c r="G34" s="16"/>
    </row>
    <row r="35" spans="1:7">
      <c r="A35" s="174" t="s">
        <v>74</v>
      </c>
      <c r="B35" s="34">
        <f>IF((($B$28-$B$32-$B$39-$B$77-$B$38)*C21/100)&lt;0,0,($B$28-$B$32-$B$39-$B$77-$B$38)*C21/100)</f>
        <v>802.29824561403507</v>
      </c>
      <c r="C35" s="170">
        <f>IF(ISERROR(B35/SUM($B$32,$B$34,$B$35,$B$36,$B$38,$B$39)*100),0,B35/SUM($B$32,$B$34,$B$35,$B$36,$B$38,$B$39)*100)</f>
        <v>16.152571886733142</v>
      </c>
      <c r="D35" s="236"/>
      <c r="G35" s="16"/>
    </row>
    <row r="36" spans="1:7">
      <c r="A36" s="174" t="s">
        <v>75</v>
      </c>
      <c r="B36" s="34">
        <f>IF((($B$28-$B$32-$B$39-$B$77-$B$38)*C22/100)&lt;0,0,($B$28-$B$32-$B$39-$B$77-$B$38)*C22/100)</f>
        <v>117.05263157894737</v>
      </c>
      <c r="C36" s="170">
        <f>IF(ISERROR(B36/SUM($B$32,$B$34,$B$35,$B$36,$B$38,$B$39)*100),0,B36/SUM($B$32,$B$34,$B$35,$B$36,$B$38,$B$39)*100)</f>
        <v>2.3566062327148654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3994</v>
      </c>
      <c r="C44" s="35" t="s">
        <v>111</v>
      </c>
      <c r="D44" s="177"/>
    </row>
    <row r="45" spans="1:7">
      <c r="A45" s="174" t="s">
        <v>72</v>
      </c>
      <c r="B45" s="34" t="str">
        <f t="shared" si="0"/>
        <v>-</v>
      </c>
      <c r="C45" s="35" t="s">
        <v>111</v>
      </c>
      <c r="D45" s="177"/>
    </row>
    <row r="46" spans="1:7">
      <c r="A46" s="174" t="s">
        <v>73</v>
      </c>
      <c r="B46" s="34">
        <f t="shared" si="0"/>
        <v>53.649122807017548</v>
      </c>
      <c r="C46" s="35" t="s">
        <v>111</v>
      </c>
      <c r="D46" s="177"/>
    </row>
    <row r="47" spans="1:7">
      <c r="A47" s="174" t="s">
        <v>74</v>
      </c>
      <c r="B47" s="34">
        <f t="shared" si="0"/>
        <v>802.29824561403507</v>
      </c>
      <c r="C47" s="35" t="s">
        <v>111</v>
      </c>
      <c r="D47" s="177"/>
    </row>
    <row r="48" spans="1:7">
      <c r="A48" s="174" t="s">
        <v>75</v>
      </c>
      <c r="B48" s="34">
        <f t="shared" si="0"/>
        <v>117.05263157894737</v>
      </c>
      <c r="C48" s="34">
        <f>B48*10</f>
        <v>1170.5263157894738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0</v>
      </c>
      <c r="P5" s="18">
        <f>B46*B47*B48/1000-B46*B47*B48/1000/B49</f>
        <v>0</v>
      </c>
      <c r="R5" s="33"/>
    </row>
    <row r="6" spans="1:18">
      <c r="A6" s="33" t="s">
        <v>54</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53</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52</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51</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50</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55</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18634.5</v>
      </c>
      <c r="C13" s="250">
        <f ca="1">'lokale energieproductie'!O91+'lokale energieproductie'!O60</f>
        <v>26620.714285714286</v>
      </c>
      <c r="D13" s="312">
        <f ca="1">('lokale energieproductie'!P60+'lokale energieproductie'!P91)*(-1)</f>
        <v>-53241.428571428572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0.52401106218404014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17199.581557358772</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6089.5550000000003</v>
      </c>
      <c r="C26" s="40">
        <f>IF(ISERROR(B26*3.6/1000000/'E Balans VL '!Z12*100),0,B26*3.6/1000000/'E Balans VL '!Z12*100)</f>
        <v>0.1293986767410672</v>
      </c>
      <c r="D26" s="240" t="s">
        <v>707</v>
      </c>
      <c r="F26" s="6"/>
    </row>
    <row r="27" spans="1:18">
      <c r="A27" s="234" t="s">
        <v>53</v>
      </c>
      <c r="B27" s="34">
        <f>IF(ISERROR(TER_horeca_ele_kWh/1000),0,TER_horeca_ele_kWh/1000)</f>
        <v>2534.2939999999999</v>
      </c>
      <c r="C27" s="40">
        <f>IF(ISERROR(B27*3.6/1000000/'E Balans VL '!Z9*100),0,B27*3.6/1000000/'E Balans VL '!Z9*100)</f>
        <v>0.19946853541051385</v>
      </c>
      <c r="D27" s="240" t="s">
        <v>707</v>
      </c>
      <c r="F27" s="6"/>
    </row>
    <row r="28" spans="1:18">
      <c r="A28" s="174" t="s">
        <v>52</v>
      </c>
      <c r="B28" s="34">
        <f>IF(ISERROR(TER_handel_ele_kWh/1000),0,TER_handel_ele_kWh/1000)</f>
        <v>3165.527</v>
      </c>
      <c r="C28" s="40">
        <f>IF(ISERROR(B28*3.6/1000000/'E Balans VL '!Z13*100),0,B28*3.6/1000000/'E Balans VL '!Z13*100)</f>
        <v>8.8668105393166913E-2</v>
      </c>
      <c r="D28" s="240" t="s">
        <v>707</v>
      </c>
      <c r="F28" s="6"/>
    </row>
    <row r="29" spans="1:18">
      <c r="A29" s="234" t="s">
        <v>51</v>
      </c>
      <c r="B29" s="34">
        <f>IF(ISERROR(TER_gezond_ele_kWh/1000),0,TER_gezond_ele_kWh/1000)</f>
        <v>1512.4690000000001</v>
      </c>
      <c r="C29" s="40">
        <f>IF(ISERROR(B29*3.6/1000000/'E Balans VL '!Z10*100),0,B29*3.6/1000000/'E Balans VL '!Z10*100)</f>
        <v>0.19349052032060185</v>
      </c>
      <c r="D29" s="240" t="s">
        <v>707</v>
      </c>
      <c r="F29" s="6"/>
    </row>
    <row r="30" spans="1:18">
      <c r="A30" s="234" t="s">
        <v>50</v>
      </c>
      <c r="B30" s="34">
        <f>IF(ISERROR(TER_ander_ele_kWh/1000),0,TER_ander_ele_kWh/1000)</f>
        <v>589.67600000000004</v>
      </c>
      <c r="C30" s="40">
        <f>IF(ISERROR(B30*3.6/1000000/'E Balans VL '!Z14*100),0,B30*3.6/1000000/'E Balans VL '!Z14*100)</f>
        <v>4.4102796103226337E-2</v>
      </c>
      <c r="D30" s="240" t="s">
        <v>707</v>
      </c>
      <c r="F30" s="6"/>
    </row>
    <row r="31" spans="1:18">
      <c r="A31" s="234" t="s">
        <v>55</v>
      </c>
      <c r="B31" s="34">
        <f>IF(ISERROR(TER_onderwijs_ele_kWh/1000),0,TER_onderwijs_ele_kWh/1000)</f>
        <v>296.91500000000002</v>
      </c>
      <c r="C31" s="40">
        <f>IF(ISERROR(B31*3.6/1000000/'E Balans VL '!Z11*100),0,B31*3.6/1000000/'E Balans VL '!Z11*100)</f>
        <v>6.269398685323202E-2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33</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41</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0.52401106218404014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4402.3631324944708</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50.014000000000003</v>
      </c>
      <c r="C30" s="40">
        <f>IF(ISERROR(B30*3.6/1000000/'E Balans VL '!Z18*100),0,B30*3.6/1000000/'E Balans VL '!Z18*100)</f>
        <v>2.7829446592514146E-3</v>
      </c>
      <c r="D30" s="240" t="s">
        <v>707</v>
      </c>
    </row>
    <row r="31" spans="1:18">
      <c r="A31" s="6" t="s">
        <v>33</v>
      </c>
      <c r="B31" s="38">
        <f>IF( ISERROR(IND_ander_ele_kWh/1000),0,IND_ander_ele_kWh/1000)</f>
        <v>2197.3429999999998</v>
      </c>
      <c r="C31" s="40">
        <f>IF(ISERROR(B31*3.6/1000000/'E Balans VL '!Z19*100),0,B31*3.6/1000000/'E Balans VL '!Z19*100)</f>
        <v>0.10214870518211032</v>
      </c>
      <c r="D31" s="240" t="s">
        <v>707</v>
      </c>
    </row>
    <row r="32" spans="1:18">
      <c r="A32" s="174" t="s">
        <v>41</v>
      </c>
      <c r="B32" s="38">
        <f>IF( ISERROR(IND_voed_ele_kWh/1000),0,IND_voed_ele_kWh/1000)</f>
        <v>276.61599999999999</v>
      </c>
      <c r="C32" s="40">
        <f>IF(ISERROR(B32*3.6/1000000/'E Balans VL '!Z20*100),0,B32*3.6/1000000/'E Balans VL '!Z20*100)</f>
        <v>9.7778169503289422E-3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5851.2860000000001</v>
      </c>
      <c r="C35" s="40">
        <f>IF(ISERROR(B35*3.6/1000000/'E Balans VL '!Z22*100),0,B35*3.6/1000000/'E Balans VL '!Z22*100)</f>
        <v>1.1759434853091999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26.02</v>
      </c>
      <c r="C37" s="40">
        <f>IF(ISERROR(B37*3.6/1000000/'E Balans VL '!Z15*100),0,B37*3.6/1000000/'E Balans VL '!Z15*100)</f>
        <v>1.9648943735230297E-4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1896.1669999999999</v>
      </c>
      <c r="C5" s="18">
        <f>'Eigen informatie GS &amp; warmtenet'!B60</f>
        <v>0</v>
      </c>
      <c r="D5" s="31">
        <f>IF(ISERROR(SUM(LB_lb_gas_kWh,LB_rest_gas_kWh)/1000),0,SUM(LB_lb_gas_kWh,LB_rest_gas_kWh)/1000)*0.902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502</v>
      </c>
      <c r="B6" s="18" t="s">
        <v>211</v>
      </c>
      <c r="C6" s="18">
        <f>'lokale energieproductie'!O92+'lokale energieproductie'!O61</f>
        <v>99276.42857142858</v>
      </c>
      <c r="D6" s="312">
        <f>('lokale energieproductie'!P61+'lokale energieproductie'!P92)*(-1)</f>
        <v>-198552.85714285719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0.52401106218404014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993.61248374832485</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0.25671071201993212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28.101111293887058</v>
      </c>
      <c r="C26" s="250">
        <f>B26*'GWP N2O_CH4'!B5</f>
        <v>590.12333717162824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2.8913247655960803</v>
      </c>
      <c r="C27" s="250">
        <f>B27*'GWP N2O_CH4'!B5</f>
        <v>60.717820077517686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50">
        <f>B28*'GWP N2O_CH4'!B4</f>
        <v>124.96627315385507</v>
      </c>
      <c r="D28" s="51"/>
    </row>
    <row r="29" spans="1:4">
      <c r="A29" s="42" t="s">
        <v>277</v>
      </c>
      <c r="B29" s="250">
        <f>B34*'ha_N2O bodem landbouw'!B4</f>
        <v>5.0686203009550894</v>
      </c>
      <c r="C29" s="250">
        <f>B29*'GWP N2O_CH4'!B4</f>
        <v>1571.2722932960778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1.3683679197382978E-3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4.9231673498811775E-6</v>
      </c>
      <c r="C5" s="447" t="s">
        <v>211</v>
      </c>
      <c r="D5" s="432">
        <f>SUM(D6:D11)</f>
        <v>1.3078084708926606E-5</v>
      </c>
      <c r="E5" s="432">
        <f>SUM(E6:E11)</f>
        <v>7.6352477455486254E-4</v>
      </c>
      <c r="F5" s="445" t="s">
        <v>211</v>
      </c>
      <c r="G5" s="432">
        <f>SUM(G6:G11)</f>
        <v>0.16167411768490544</v>
      </c>
      <c r="H5" s="432">
        <f>SUM(H6:H11)</f>
        <v>2.9162634195555929E-2</v>
      </c>
      <c r="I5" s="447" t="s">
        <v>211</v>
      </c>
      <c r="J5" s="447" t="s">
        <v>211</v>
      </c>
      <c r="K5" s="447" t="s">
        <v>211</v>
      </c>
      <c r="L5" s="447" t="s">
        <v>211</v>
      </c>
      <c r="M5" s="432">
        <f>SUM(M6:M11)</f>
        <v>8.5333915736123724E-3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4.3788543937285184E-6</v>
      </c>
      <c r="C6" s="433"/>
      <c r="D6" s="433">
        <f>vkm_2011_GW_PW*SUMIFS(TableVerdeelsleutelVkm[CNG],TableVerdeelsleutelVkm[Voertuigtype],"Lichte voertuigen")*SUMIFS(TableECFTransport[EnergieConsumptieFactor (PJ per km)],TableECFTransport[Index],CONCATENATE($A6,"_CNG_CNG"))</f>
        <v>1.0693235762625693E-5</v>
      </c>
      <c r="E6" s="435">
        <f>vkm_2011_GW_PW*SUMIFS(TableVerdeelsleutelVkm[LPG],TableVerdeelsleutelVkm[Voertuigtype],"Lichte voertuigen")*SUMIFS(TableECFTransport[EnergieConsumptieFactor (PJ per km)],TableECFTransport[Index],CONCATENATE($A6,"_LPG_LPG"))</f>
        <v>6.3383975485215309E-4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9.1628992722868424E-2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2.4013326540466316E-2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5.1786760250052619E-3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4.7224286513850501E-2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1.9053158488161284E-5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2.1038273531000986E-3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5.4431295615265938E-7</v>
      </c>
      <c r="C8" s="433"/>
      <c r="D8" s="435">
        <f>vkm_2011_NGW_PW*SUMIFS(TableVerdeelsleutelVkm[CNG],TableVerdeelsleutelVkm[Voertuigtype],"Lichte voertuigen")*SUMIFS(TableECFTransport[EnergieConsumptieFactor (PJ per km)],TableECFTransport[Index],CONCATENATE($A8,"_CNG_CNG"))</f>
        <v>2.3848489463009143E-6</v>
      </c>
      <c r="E8" s="435">
        <f>vkm_2011_NGW_PW*SUMIFS(TableVerdeelsleutelVkm[LPG],TableVerdeelsleutelVkm[Voertuigtype],"Lichte voertuigen")*SUMIFS(TableECFTransport[EnergieConsumptieFactor (PJ per km)],TableECFTransport[Index],CONCATENATE($A8,"_LPG_LPG"))</f>
        <v>1.296850197027094E-4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1.7710476665270623E-2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5.1284592687798362E-3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1.0232353531664351E-3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5.1103617829159178E-3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1.7952278216131301E-6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2.2765284234057778E-4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1.367546486078105</v>
      </c>
      <c r="C14" s="22"/>
      <c r="D14" s="22">
        <f t="shared" ref="D14:M14" si="0">((D5)*10^9/3600)+D12</f>
        <v>3.6328013080351682</v>
      </c>
      <c r="E14" s="22">
        <f t="shared" si="0"/>
        <v>212.09021515412849</v>
      </c>
      <c r="F14" s="22"/>
      <c r="G14" s="22">
        <f t="shared" si="0"/>
        <v>44909.477134695953</v>
      </c>
      <c r="H14" s="22">
        <f t="shared" si="0"/>
        <v>8100.7317209877583</v>
      </c>
      <c r="I14" s="22"/>
      <c r="J14" s="22"/>
      <c r="K14" s="22"/>
      <c r="L14" s="22"/>
      <c r="M14" s="22">
        <f t="shared" si="0"/>
        <v>2370.3865482256592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0.52401106218404014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0.71660948675583946</v>
      </c>
      <c r="C18" s="24"/>
      <c r="D18" s="24">
        <f t="shared" ref="D18:M18" si="1">D14*D16</f>
        <v>0.73382586422310403</v>
      </c>
      <c r="E18" s="24">
        <f t="shared" si="1"/>
        <v>48.144478839987165</v>
      </c>
      <c r="F18" s="24"/>
      <c r="G18" s="24">
        <f t="shared" si="1"/>
        <v>11990.830394963819</v>
      </c>
      <c r="H18" s="24">
        <f t="shared" si="1"/>
        <v>2017.0821985259518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2.4141652770948269E-3</v>
      </c>
      <c r="C50" s="323">
        <f t="shared" ref="C50:P50" si="2">SUM(C51:C52)</f>
        <v>0</v>
      </c>
      <c r="D50" s="323">
        <f t="shared" si="2"/>
        <v>0</v>
      </c>
      <c r="E50" s="323">
        <f t="shared" si="2"/>
        <v>0</v>
      </c>
      <c r="F50" s="323">
        <f t="shared" si="2"/>
        <v>0</v>
      </c>
      <c r="G50" s="323">
        <f t="shared" si="2"/>
        <v>5.3247869228854831E-3</v>
      </c>
      <c r="H50" s="323">
        <f t="shared" si="2"/>
        <v>0</v>
      </c>
      <c r="I50" s="323">
        <f t="shared" si="2"/>
        <v>0</v>
      </c>
      <c r="J50" s="323">
        <f t="shared" si="2"/>
        <v>0</v>
      </c>
      <c r="K50" s="323">
        <f t="shared" si="2"/>
        <v>0</v>
      </c>
      <c r="L50" s="323">
        <f t="shared" si="2"/>
        <v>0</v>
      </c>
      <c r="M50" s="323">
        <f t="shared" si="2"/>
        <v>2.338201775693662E-4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5.3247869228854831E-3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2.338201775693662E-4</v>
      </c>
      <c r="N51" s="325"/>
      <c r="O51" s="325"/>
      <c r="P51" s="328"/>
    </row>
    <row r="52" spans="1:18">
      <c r="A52" s="4" t="s">
        <v>330</v>
      </c>
      <c r="B52" s="329">
        <f>vkm_2011_tram*SUMIFS(TableECFTransport[EnergieConsumptieFactor (PJ per km)],TableECFTransport[Index],"Tram_gemiddeld_Electric_Electric")</f>
        <v>2.4141652770948269E-3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670.60146585967414</v>
      </c>
      <c r="C54" s="22">
        <f t="shared" ref="C54:P54" si="3">(C50)*10^9/3600</f>
        <v>0</v>
      </c>
      <c r="D54" s="22">
        <f t="shared" si="3"/>
        <v>0</v>
      </c>
      <c r="E54" s="22">
        <f t="shared" si="3"/>
        <v>0</v>
      </c>
      <c r="F54" s="22">
        <f t="shared" si="3"/>
        <v>0</v>
      </c>
      <c r="G54" s="22">
        <f t="shared" si="3"/>
        <v>1479.107478579301</v>
      </c>
      <c r="H54" s="22">
        <f t="shared" si="3"/>
        <v>0</v>
      </c>
      <c r="I54" s="22">
        <f t="shared" si="3"/>
        <v>0</v>
      </c>
      <c r="J54" s="22">
        <f t="shared" si="3"/>
        <v>0</v>
      </c>
      <c r="K54" s="22">
        <f t="shared" si="3"/>
        <v>0</v>
      </c>
      <c r="L54" s="22">
        <f t="shared" si="3"/>
        <v>0</v>
      </c>
      <c r="M54" s="22">
        <f t="shared" si="3"/>
        <v>64.950049324823951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0.52401106218404014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351.4025864273022</v>
      </c>
      <c r="C58" s="24">
        <f t="shared" ref="C58:P58" ca="1" si="4">C54*C56</f>
        <v>0</v>
      </c>
      <c r="D58" s="24">
        <f t="shared" si="4"/>
        <v>0</v>
      </c>
      <c r="E58" s="24">
        <f t="shared" si="4"/>
        <v>0</v>
      </c>
      <c r="F58" s="24">
        <f t="shared" si="4"/>
        <v>0</v>
      </c>
      <c r="G58" s="24">
        <f t="shared" si="4"/>
        <v>394.92169678067336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1870.67953693445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88128</v>
      </c>
      <c r="C8" s="558">
        <f>B101</f>
        <v>103680.00000000001</v>
      </c>
      <c r="D8" s="991"/>
      <c r="E8" s="991">
        <f>E101</f>
        <v>0</v>
      </c>
      <c r="F8" s="992"/>
      <c r="G8" s="559"/>
      <c r="H8" s="991">
        <f>I101</f>
        <v>0</v>
      </c>
      <c r="I8" s="991">
        <f>G101+F101</f>
        <v>0</v>
      </c>
      <c r="J8" s="991">
        <f>H101+D101+C101</f>
        <v>0</v>
      </c>
      <c r="K8" s="991"/>
      <c r="L8" s="991"/>
      <c r="M8" s="991"/>
      <c r="N8" s="560"/>
      <c r="O8" s="561">
        <f>C8*$C$12+D8*$D$12+E8*$E$12+F8*$F$12+G8*$G$12+H8*$H$12+I8*$I$12+J8*$J$12</f>
        <v>20943.360000000004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89998.679536934447</v>
      </c>
      <c r="C10" s="570">
        <f t="shared" ref="C10:L10" si="0">SUM(C8:C9)</f>
        <v>103680.00000000001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20943.360000000004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125897.14285714286</v>
      </c>
      <c r="C17" s="582">
        <f>B102</f>
        <v>148114.28571428574</v>
      </c>
      <c r="D17" s="583"/>
      <c r="E17" s="583">
        <f>E102</f>
        <v>0</v>
      </c>
      <c r="F17" s="584"/>
      <c r="G17" s="585"/>
      <c r="H17" s="582">
        <f>I102</f>
        <v>0</v>
      </c>
      <c r="I17" s="583">
        <f>G102+F102</f>
        <v>0</v>
      </c>
      <c r="J17" s="583">
        <f>H102+D102+C102</f>
        <v>0</v>
      </c>
      <c r="K17" s="583"/>
      <c r="L17" s="583"/>
      <c r="M17" s="583"/>
      <c r="N17" s="998"/>
      <c r="O17" s="586">
        <f>C17*$C$22+E17*$E$22+H17*$H$22+I17*$I$22+J17*$J$22+D17*$D$22+F17*$F$22+G17*$G$22+K17*$K$22+L17*$L$22</f>
        <v>29919.08571428572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125897.14285714286</v>
      </c>
      <c r="C20" s="569">
        <f>SUM(C17:C19)</f>
        <v>148114.28571428574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29919.08571428572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11004</v>
      </c>
      <c r="C28" s="789">
        <v>2530</v>
      </c>
      <c r="D28" s="642" t="s">
        <v>946</v>
      </c>
      <c r="E28" s="641" t="s">
        <v>947</v>
      </c>
      <c r="F28" s="641" t="s">
        <v>948</v>
      </c>
      <c r="G28" s="641" t="s">
        <v>949</v>
      </c>
      <c r="H28" s="641" t="s">
        <v>950</v>
      </c>
      <c r="I28" s="641" t="s">
        <v>947</v>
      </c>
      <c r="J28" s="788">
        <v>38777</v>
      </c>
      <c r="K28" s="788">
        <v>39134</v>
      </c>
      <c r="L28" s="641" t="s">
        <v>951</v>
      </c>
      <c r="M28" s="641">
        <v>3365</v>
      </c>
      <c r="N28" s="641">
        <v>15142.500000000002</v>
      </c>
      <c r="O28" s="641">
        <v>21632.142857142859</v>
      </c>
      <c r="P28" s="641">
        <v>43264.285714285725</v>
      </c>
      <c r="Q28" s="641">
        <v>0</v>
      </c>
      <c r="R28" s="641">
        <v>0</v>
      </c>
      <c r="S28" s="641">
        <v>0</v>
      </c>
      <c r="T28" s="641">
        <v>0</v>
      </c>
      <c r="U28" s="641">
        <v>0</v>
      </c>
      <c r="V28" s="641">
        <v>0</v>
      </c>
      <c r="W28" s="641"/>
      <c r="X28" s="641">
        <v>10</v>
      </c>
      <c r="Y28" s="641" t="s">
        <v>112</v>
      </c>
      <c r="Z28" s="643" t="s">
        <v>112</v>
      </c>
    </row>
    <row r="29" spans="1:26" s="595" customFormat="1" ht="25.5">
      <c r="A29" s="594"/>
      <c r="B29" s="789">
        <v>11004</v>
      </c>
      <c r="C29" s="789">
        <v>2531</v>
      </c>
      <c r="D29" s="642" t="s">
        <v>952</v>
      </c>
      <c r="E29" s="641" t="s">
        <v>953</v>
      </c>
      <c r="F29" s="641" t="s">
        <v>954</v>
      </c>
      <c r="G29" s="641" t="s">
        <v>949</v>
      </c>
      <c r="H29" s="641" t="s">
        <v>950</v>
      </c>
      <c r="I29" s="641" t="s">
        <v>953</v>
      </c>
      <c r="J29" s="788">
        <v>39212</v>
      </c>
      <c r="K29" s="788">
        <v>39226</v>
      </c>
      <c r="L29" s="641" t="s">
        <v>951</v>
      </c>
      <c r="M29" s="641">
        <v>1125</v>
      </c>
      <c r="N29" s="641">
        <v>5062.5</v>
      </c>
      <c r="O29" s="641">
        <v>7232.1428571428569</v>
      </c>
      <c r="P29" s="641">
        <v>14464.285714285716</v>
      </c>
      <c r="Q29" s="641">
        <v>0</v>
      </c>
      <c r="R29" s="641">
        <v>0</v>
      </c>
      <c r="S29" s="641">
        <v>0</v>
      </c>
      <c r="T29" s="641">
        <v>0</v>
      </c>
      <c r="U29" s="641">
        <v>0</v>
      </c>
      <c r="V29" s="641">
        <v>0</v>
      </c>
      <c r="W29" s="641"/>
      <c r="X29" s="641">
        <v>10</v>
      </c>
      <c r="Y29" s="641" t="s">
        <v>112</v>
      </c>
      <c r="Z29" s="643" t="s">
        <v>112</v>
      </c>
    </row>
    <row r="30" spans="1:26" s="595" customFormat="1" ht="63.75">
      <c r="A30" s="594"/>
      <c r="B30" s="789">
        <v>11004</v>
      </c>
      <c r="C30" s="789">
        <v>2531</v>
      </c>
      <c r="D30" s="642" t="s">
        <v>955</v>
      </c>
      <c r="E30" s="641" t="s">
        <v>956</v>
      </c>
      <c r="F30" s="641" t="s">
        <v>957</v>
      </c>
      <c r="G30" s="641" t="s">
        <v>949</v>
      </c>
      <c r="H30" s="641" t="s">
        <v>950</v>
      </c>
      <c r="I30" s="641" t="s">
        <v>956</v>
      </c>
      <c r="J30" s="788">
        <v>39604</v>
      </c>
      <c r="K30" s="788">
        <v>39618</v>
      </c>
      <c r="L30" s="641" t="s">
        <v>951</v>
      </c>
      <c r="M30" s="641">
        <v>4141</v>
      </c>
      <c r="N30" s="641">
        <v>18634.5</v>
      </c>
      <c r="O30" s="641">
        <v>26620.714285714286</v>
      </c>
      <c r="P30" s="641">
        <v>53241.428571428572</v>
      </c>
      <c r="Q30" s="641">
        <v>0</v>
      </c>
      <c r="R30" s="641">
        <v>0</v>
      </c>
      <c r="S30" s="641">
        <v>0</v>
      </c>
      <c r="T30" s="641">
        <v>0</v>
      </c>
      <c r="U30" s="641">
        <v>0</v>
      </c>
      <c r="V30" s="641">
        <v>0</v>
      </c>
      <c r="W30" s="641"/>
      <c r="X30" s="641">
        <v>1600</v>
      </c>
      <c r="Y30" s="641" t="s">
        <v>50</v>
      </c>
      <c r="Z30" s="643" t="s">
        <v>156</v>
      </c>
    </row>
    <row r="31" spans="1:26" s="595" customFormat="1" ht="25.5">
      <c r="A31" s="594"/>
      <c r="B31" s="789">
        <v>11004</v>
      </c>
      <c r="C31" s="789">
        <v>2530</v>
      </c>
      <c r="D31" s="642" t="s">
        <v>958</v>
      </c>
      <c r="E31" s="641" t="s">
        <v>959</v>
      </c>
      <c r="F31" s="641" t="s">
        <v>960</v>
      </c>
      <c r="G31" s="641" t="s">
        <v>949</v>
      </c>
      <c r="H31" s="641" t="s">
        <v>950</v>
      </c>
      <c r="I31" s="641" t="s">
        <v>959</v>
      </c>
      <c r="J31" s="788">
        <v>40360</v>
      </c>
      <c r="K31" s="788">
        <v>40513</v>
      </c>
      <c r="L31" s="641" t="s">
        <v>961</v>
      </c>
      <c r="M31" s="641">
        <v>173</v>
      </c>
      <c r="N31" s="641">
        <v>778.49999999999989</v>
      </c>
      <c r="O31" s="641">
        <v>1112.1428571428571</v>
      </c>
      <c r="P31" s="641">
        <v>2224.2857142857142</v>
      </c>
      <c r="Q31" s="641">
        <v>0</v>
      </c>
      <c r="R31" s="641">
        <v>0</v>
      </c>
      <c r="S31" s="641">
        <v>0</v>
      </c>
      <c r="T31" s="641">
        <v>0</v>
      </c>
      <c r="U31" s="641">
        <v>0</v>
      </c>
      <c r="V31" s="641">
        <v>0</v>
      </c>
      <c r="W31" s="641"/>
      <c r="X31" s="641">
        <v>10</v>
      </c>
      <c r="Y31" s="641" t="s">
        <v>112</v>
      </c>
      <c r="Z31" s="643" t="s">
        <v>112</v>
      </c>
    </row>
    <row r="32" spans="1:26" s="595" customFormat="1" ht="25.5">
      <c r="A32" s="594"/>
      <c r="B32" s="789">
        <v>11004</v>
      </c>
      <c r="C32" s="789">
        <v>2531</v>
      </c>
      <c r="D32" s="642" t="s">
        <v>962</v>
      </c>
      <c r="E32" s="641" t="s">
        <v>963</v>
      </c>
      <c r="F32" s="641" t="s">
        <v>964</v>
      </c>
      <c r="G32" s="641" t="s">
        <v>949</v>
      </c>
      <c r="H32" s="641" t="s">
        <v>950</v>
      </c>
      <c r="I32" s="641" t="s">
        <v>963</v>
      </c>
      <c r="J32" s="788">
        <v>40525</v>
      </c>
      <c r="K32" s="788">
        <v>40525</v>
      </c>
      <c r="L32" s="641" t="s">
        <v>951</v>
      </c>
      <c r="M32" s="641">
        <v>1415</v>
      </c>
      <c r="N32" s="641">
        <v>6367.5</v>
      </c>
      <c r="O32" s="641">
        <v>9096.4285714285725</v>
      </c>
      <c r="P32" s="641">
        <v>18192.857142857145</v>
      </c>
      <c r="Q32" s="641">
        <v>0</v>
      </c>
      <c r="R32" s="641">
        <v>0</v>
      </c>
      <c r="S32" s="641">
        <v>0</v>
      </c>
      <c r="T32" s="641">
        <v>0</v>
      </c>
      <c r="U32" s="641">
        <v>0</v>
      </c>
      <c r="V32" s="641">
        <v>0</v>
      </c>
      <c r="W32" s="641"/>
      <c r="X32" s="641">
        <v>10</v>
      </c>
      <c r="Y32" s="641" t="s">
        <v>112</v>
      </c>
      <c r="Z32" s="643" t="s">
        <v>112</v>
      </c>
    </row>
    <row r="33" spans="1:26" s="595" customFormat="1" ht="25.5">
      <c r="A33" s="594"/>
      <c r="B33" s="789">
        <v>11004</v>
      </c>
      <c r="C33" s="789">
        <v>2531</v>
      </c>
      <c r="D33" s="642" t="s">
        <v>965</v>
      </c>
      <c r="E33" s="641" t="s">
        <v>966</v>
      </c>
      <c r="F33" s="641" t="s">
        <v>967</v>
      </c>
      <c r="G33" s="641" t="s">
        <v>949</v>
      </c>
      <c r="H33" s="641" t="s">
        <v>950</v>
      </c>
      <c r="I33" s="641" t="s">
        <v>966</v>
      </c>
      <c r="J33" s="788">
        <v>40588</v>
      </c>
      <c r="K33" s="788">
        <v>40588</v>
      </c>
      <c r="L33" s="641" t="s">
        <v>951</v>
      </c>
      <c r="M33" s="641">
        <v>1415</v>
      </c>
      <c r="N33" s="641">
        <v>6367.5</v>
      </c>
      <c r="O33" s="641">
        <v>9096.4285714285725</v>
      </c>
      <c r="P33" s="641">
        <v>18192.857142857145</v>
      </c>
      <c r="Q33" s="641">
        <v>0</v>
      </c>
      <c r="R33" s="641">
        <v>0</v>
      </c>
      <c r="S33" s="641">
        <v>0</v>
      </c>
      <c r="T33" s="641">
        <v>0</v>
      </c>
      <c r="U33" s="641">
        <v>0</v>
      </c>
      <c r="V33" s="641">
        <v>0</v>
      </c>
      <c r="W33" s="641"/>
      <c r="X33" s="641">
        <v>10</v>
      </c>
      <c r="Y33" s="641" t="s">
        <v>112</v>
      </c>
      <c r="Z33" s="643" t="s">
        <v>112</v>
      </c>
    </row>
    <row r="34" spans="1:26" s="595" customFormat="1" ht="25.5">
      <c r="A34" s="594"/>
      <c r="B34" s="789">
        <v>11004</v>
      </c>
      <c r="C34" s="789">
        <v>2531</v>
      </c>
      <c r="D34" s="642" t="s">
        <v>968</v>
      </c>
      <c r="E34" s="641" t="s">
        <v>969</v>
      </c>
      <c r="F34" s="641" t="s">
        <v>970</v>
      </c>
      <c r="G34" s="641" t="s">
        <v>949</v>
      </c>
      <c r="H34" s="641" t="s">
        <v>950</v>
      </c>
      <c r="I34" s="641" t="s">
        <v>969</v>
      </c>
      <c r="J34" s="788">
        <v>40603</v>
      </c>
      <c r="K34" s="788">
        <v>39497</v>
      </c>
      <c r="L34" s="641" t="s">
        <v>951</v>
      </c>
      <c r="M34" s="641">
        <v>6390</v>
      </c>
      <c r="N34" s="641">
        <v>28755</v>
      </c>
      <c r="O34" s="641">
        <v>41078.571428571428</v>
      </c>
      <c r="P34" s="641">
        <v>82157.14285714287</v>
      </c>
      <c r="Q34" s="641">
        <v>0</v>
      </c>
      <c r="R34" s="641">
        <v>0</v>
      </c>
      <c r="S34" s="641">
        <v>0</v>
      </c>
      <c r="T34" s="641">
        <v>0</v>
      </c>
      <c r="U34" s="641">
        <v>0</v>
      </c>
      <c r="V34" s="641">
        <v>0</v>
      </c>
      <c r="W34" s="641"/>
      <c r="X34" s="641">
        <v>10</v>
      </c>
      <c r="Y34" s="641" t="s">
        <v>112</v>
      </c>
      <c r="Z34" s="643" t="s">
        <v>112</v>
      </c>
    </row>
    <row r="35" spans="1:26" s="595" customFormat="1" ht="25.5">
      <c r="A35" s="594"/>
      <c r="B35" s="789">
        <v>11004</v>
      </c>
      <c r="C35" s="789">
        <v>2530</v>
      </c>
      <c r="D35" s="642" t="s">
        <v>971</v>
      </c>
      <c r="E35" s="641" t="s">
        <v>972</v>
      </c>
      <c r="F35" s="641" t="s">
        <v>973</v>
      </c>
      <c r="G35" s="641" t="s">
        <v>949</v>
      </c>
      <c r="H35" s="641" t="s">
        <v>950</v>
      </c>
      <c r="I35" s="641" t="s">
        <v>974</v>
      </c>
      <c r="J35" s="788">
        <v>41262</v>
      </c>
      <c r="K35" s="788">
        <v>38991</v>
      </c>
      <c r="L35" s="641" t="s">
        <v>951</v>
      </c>
      <c r="M35" s="641">
        <v>1560</v>
      </c>
      <c r="N35" s="641">
        <v>7020</v>
      </c>
      <c r="O35" s="641">
        <v>10028.571428571429</v>
      </c>
      <c r="P35" s="641">
        <v>20057.142857142859</v>
      </c>
      <c r="Q35" s="641">
        <v>0</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19584</v>
      </c>
      <c r="N58" s="599">
        <f>SUM(N28:N57)</f>
        <v>88128</v>
      </c>
      <c r="O58" s="599">
        <f t="shared" ref="O58:W58" si="2">SUM(O28:O57)</f>
        <v>125897.14285714286</v>
      </c>
      <c r="P58" s="599">
        <f t="shared" si="2"/>
        <v>251794.28571428574</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4141</v>
      </c>
      <c r="N60" s="599">
        <f ca="1">SUMIF($Z$28:AD57,"tertiair",N28:N57)</f>
        <v>18634.5</v>
      </c>
      <c r="O60" s="599">
        <f ca="1">SUMIF($Z$28:AE57,"tertiair",O28:O57)</f>
        <v>26620.714285714286</v>
      </c>
      <c r="P60" s="599">
        <f ca="1">SUMIF($Z$28:AF57,"tertiair",P28:P57)</f>
        <v>53241.428571428572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15443</v>
      </c>
      <c r="N61" s="604">
        <f t="shared" si="4"/>
        <v>69493.5</v>
      </c>
      <c r="O61" s="604">
        <f t="shared" si="4"/>
        <v>99276.42857142858</v>
      </c>
      <c r="P61" s="604">
        <f t="shared" si="4"/>
        <v>198552.85714285719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103680.00000000001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148114.28571428574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2019-06-29T16:10:43Z</dcterms:modified>
</cp:coreProperties>
</file>