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6"/>
  <c r="B5"/>
  <c r="B4"/>
  <c r="O9" l="1"/>
  <c r="C98"/>
  <c r="F101" s="1"/>
  <c r="B17"/>
  <c r="B20" s="1"/>
  <c r="F20"/>
  <c r="O18"/>
  <c r="O19"/>
  <c r="G20"/>
  <c r="B8"/>
  <c r="B10"/>
  <c r="I101"/>
  <c r="H8" s="1"/>
  <c r="H10" s="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K22" s="1"/>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R78"/>
  <c r="J56"/>
  <c r="E55"/>
  <c r="Q56"/>
  <c r="I56"/>
  <c r="R44"/>
  <c r="P26"/>
  <c r="H26"/>
  <c r="E25"/>
  <c r="D14" i="48" s="1"/>
  <c r="Q26" i="14"/>
  <c r="J26"/>
  <c r="I26"/>
  <c r="R12"/>
  <c r="D5" i="17"/>
  <c r="D8" i="55" l="1"/>
  <c r="E90" i="14"/>
  <c r="E18" i="55"/>
  <c r="L78" i="14"/>
  <c r="L8" i="55"/>
  <c r="L10" s="1"/>
  <c r="G78" i="14"/>
  <c r="G9" i="55"/>
  <c r="G10" s="1"/>
  <c r="O78" i="14"/>
  <c r="O9" i="55"/>
  <c r="O10" s="1"/>
  <c r="R25" i="14"/>
  <c r="P22"/>
  <c r="M76"/>
  <c r="M8" i="55" s="1"/>
  <c r="M10" s="1"/>
  <c r="E101" i="18"/>
  <c r="E8" s="1"/>
  <c r="L90" i="14"/>
  <c r="H10" i="55"/>
  <c r="E20"/>
  <c r="G20"/>
  <c r="O20"/>
  <c r="H101" i="18"/>
  <c r="H90" i="14"/>
  <c r="Q52"/>
  <c r="K10" i="55"/>
  <c r="O32" i="48"/>
  <c r="D101" i="18"/>
  <c r="F90" i="14"/>
  <c r="F18" i="55"/>
  <c r="F20" s="1"/>
  <c r="N90" i="14"/>
  <c r="N18" i="55"/>
  <c r="N20" s="1"/>
  <c r="C77" i="14"/>
  <c r="C9" i="55" s="1"/>
  <c r="F9"/>
  <c r="N78" i="14"/>
  <c r="N9" i="55"/>
  <c r="N10" s="1"/>
  <c r="Q22" i="14"/>
  <c r="M87"/>
  <c r="P32" i="48"/>
  <c r="G101" i="18"/>
  <c r="I8" s="1"/>
  <c r="D22" i="14"/>
  <c r="L22"/>
  <c r="L20" i="55"/>
  <c r="P31" i="48"/>
  <c r="C101" i="18"/>
  <c r="D10" i="55"/>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P9" i="55" l="1"/>
  <c r="M90" i="14"/>
  <c r="M17" i="55"/>
  <c r="M20" s="1"/>
  <c r="E10" i="18"/>
  <c r="F76" i="14"/>
  <c r="O17" i="18"/>
  <c r="O20" s="1"/>
  <c r="I10"/>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B90" i="14" l="1"/>
  <c r="B17" i="55"/>
  <c r="B20" s="1"/>
  <c r="C90" i="14"/>
  <c r="C17" i="55"/>
  <c r="C20" s="1"/>
  <c r="H5" i="48"/>
  <c r="I10" i="14"/>
  <c r="I16" s="1"/>
  <c r="H10"/>
  <c r="H16" s="1"/>
  <c r="G5" i="48"/>
  <c r="P8" i="55"/>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9"/>
  <c r="J27"/>
  <c r="J31"/>
  <c r="J24"/>
  <c r="J30"/>
  <c r="J28"/>
  <c r="P4"/>
  <c r="Q11" i="14"/>
  <c r="O4" i="48"/>
  <c r="P11" i="14"/>
  <c r="I25" i="48"/>
  <c r="I32"/>
  <c r="I30"/>
  <c r="I28"/>
  <c r="I24"/>
  <c r="I31"/>
  <c r="I26"/>
  <c r="I27"/>
  <c r="I22"/>
  <c r="I29"/>
  <c r="H12" i="22"/>
  <c r="H14" s="1"/>
  <c r="H13" i="48"/>
  <c r="H31" s="1"/>
  <c r="I18" i="14"/>
  <c r="D4" i="48"/>
  <c r="E11" i="14"/>
  <c r="H30" i="48"/>
  <c r="H32"/>
  <c r="H25"/>
  <c r="H22"/>
  <c r="H24"/>
  <c r="H29"/>
  <c r="H28"/>
  <c r="H26"/>
  <c r="H23"/>
  <c r="C4"/>
  <c r="D11" i="14"/>
  <c r="G30" i="48"/>
  <c r="G32"/>
  <c r="G24"/>
  <c r="G22"/>
  <c r="G29"/>
  <c r="G26"/>
  <c r="G25"/>
  <c r="G23"/>
  <c r="N10" i="14"/>
  <c r="N16" s="1"/>
  <c r="M5" i="48"/>
  <c r="C11" i="14"/>
  <c r="B4" i="48"/>
  <c r="F32"/>
  <c r="F28"/>
  <c r="F27"/>
  <c r="F29"/>
  <c r="F24"/>
  <c r="F31"/>
  <c r="F30"/>
  <c r="N32"/>
  <c r="N27"/>
  <c r="N29"/>
  <c r="N24"/>
  <c r="N31"/>
  <c r="N30"/>
  <c r="N28"/>
  <c r="B7"/>
  <c r="C24" i="14"/>
  <c r="C26" s="1"/>
  <c r="E30" i="48"/>
  <c r="E24"/>
  <c r="E32"/>
  <c r="E29"/>
  <c r="E31"/>
  <c r="E28"/>
  <c r="M32"/>
  <c r="M26"/>
  <c r="M30"/>
  <c r="M24"/>
  <c r="M25"/>
  <c r="M29"/>
  <c r="M22"/>
  <c r="K5"/>
  <c r="L10" i="14"/>
  <c r="L16" s="1"/>
  <c r="L27" s="1"/>
  <c r="D22" i="48"/>
  <c r="D30"/>
  <c r="D28"/>
  <c r="D24"/>
  <c r="D29"/>
  <c r="D31"/>
  <c r="D32"/>
  <c r="L27"/>
  <c r="L22"/>
  <c r="L30"/>
  <c r="L28"/>
  <c r="L24"/>
  <c r="L32"/>
  <c r="L31"/>
  <c r="L29"/>
  <c r="Q10" i="14"/>
  <c r="P5" i="48"/>
  <c r="P23" s="1"/>
  <c r="K30"/>
  <c r="K32"/>
  <c r="K31"/>
  <c r="K29"/>
  <c r="K27"/>
  <c r="K26"/>
  <c r="K25"/>
  <c r="K28"/>
  <c r="K24"/>
  <c r="K22"/>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0"/>
  <c r="O5" i="48"/>
  <c r="O23" s="1"/>
  <c r="N18" i="14"/>
  <c r="M13" i="48"/>
  <c r="M31" s="1"/>
  <c r="K15"/>
  <c r="K23"/>
  <c r="K33" s="1"/>
  <c r="M23"/>
  <c r="I23"/>
  <c r="I33" s="1"/>
  <c r="I15"/>
  <c r="P15"/>
  <c r="P22"/>
  <c r="P33" s="1"/>
  <c r="F4"/>
  <c r="F22" s="1"/>
  <c r="G11" i="14"/>
  <c r="G12" i="22"/>
  <c r="G13" i="48"/>
  <c r="H18" i="14"/>
  <c r="O22" i="48"/>
  <c r="P22" i="16"/>
  <c r="Q43" i="14" s="1"/>
  <c r="P8" i="48"/>
  <c r="P26" s="1"/>
  <c r="Q13" i="14"/>
  <c r="Q16"/>
  <c r="Q27" s="1"/>
  <c r="I22"/>
  <c r="I27" s="1"/>
  <c r="J63"/>
  <c r="D16" i="15"/>
  <c r="E10" i="14" s="1"/>
  <c r="L46"/>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G9"/>
  <c r="H20" i="14"/>
  <c r="H22" s="1"/>
  <c r="H27" s="1"/>
  <c r="C20"/>
  <c r="B9" i="48"/>
  <c r="Q13"/>
  <c r="G31"/>
  <c r="F20" i="14"/>
  <c r="F22" s="1"/>
  <c r="E9" i="48"/>
  <c r="E27" s="1"/>
  <c r="E20" i="14"/>
  <c r="E22" s="1"/>
  <c r="D9" i="48"/>
  <c r="D27" s="1"/>
  <c r="O8"/>
  <c r="P13" i="14"/>
  <c r="C15" i="48"/>
  <c r="R18" i="14"/>
  <c r="P16"/>
  <c r="P27"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O26" i="48" l="1"/>
  <c r="O33" s="1"/>
  <c r="O15"/>
  <c r="C22" i="14"/>
  <c r="G28" i="48"/>
  <c r="Q10"/>
  <c r="M18" i="22"/>
  <c r="N50" i="14" s="1"/>
  <c r="N52" s="1"/>
  <c r="N61" s="1"/>
  <c r="N20"/>
  <c r="N22" s="1"/>
  <c r="N27" s="1"/>
  <c r="M9" i="48"/>
  <c r="G27"/>
  <c r="G33" s="1"/>
  <c r="G15"/>
  <c r="E22"/>
  <c r="Q4"/>
  <c r="H63" i="14"/>
  <c r="Q9" i="48"/>
  <c r="B15"/>
  <c r="D15"/>
  <c r="J5"/>
  <c r="K10" i="14"/>
  <c r="E20" i="15"/>
  <c r="F40" i="14" s="1"/>
  <c r="E5" i="48"/>
  <c r="F10" i="14"/>
  <c r="L15" i="48"/>
  <c r="Q7"/>
  <c r="R24" i="14"/>
  <c r="R26" s="1"/>
  <c r="J18" i="16"/>
  <c r="N18"/>
  <c r="E18"/>
  <c r="F18"/>
  <c r="F22" s="1"/>
  <c r="G43" i="14" s="1"/>
  <c r="M27" i="48" l="1"/>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<sst xmlns="http://schemas.openxmlformats.org/spreadsheetml/2006/main" count="2493" uniqueCount="963">
  <si>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</si>
  <si>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</si>
  <si>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</si>
  <si>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</si>
  <si>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</si>
  <si>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</si>
  <si>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</si>
  <si>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</si>
  <si>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</si>
  <si>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</si>
  <si>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</si>
  <si>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</si>
  <si>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</si>
  <si>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</si>
  <si>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</si>
  <si>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</si>
  <si>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</si>
  <si>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</si>
  <si>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</si>
  <si>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</si>
  <si>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</si>
  <si>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</si>
  <si>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</si>
  <si>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</si>
  <si>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</si>
  <si>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</si>
  <si>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</si>
  <si>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</si>
  <si>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</si>
  <si>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</si>
  <si>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</si>
  <si>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</si>
  <si>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</si>
  <si>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</si>
  <si>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</si>
  <si>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</si>
  <si>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</si>
  <si>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</si>
  <si>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</si>
  <si>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</si>
  <si>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</si>
  <si>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</si>
  <si>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</si>
  <si>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</si>
  <si>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</si>
  <si>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</si>
  <si>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</si>
  <si>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</si>
  <si>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</si>
  <si>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</si>
  <si>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</si>
  <si>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</si>
  <si>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</si>
  <si>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</si>
  <si>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</si>
  <si>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</si>
  <si>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</si>
  <si>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</si>
  <si>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</si>
  <si>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</si>
  <si>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</si>
  <si>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</si>
  <si>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</si>
  <si>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</si>
  <si>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</si>
  <si>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</si>
  <si>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</si>
  <si>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</si>
  <si>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</si>
  <si>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</si>
  <si>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</si>
  <si>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</si>
  <si>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</si>
  <si>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</si>
  <si>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</si>
  <si>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</si>
  <si>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</si>
  <si>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</si>
  <si>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</si>
  <si>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</si>
  <si>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</si>
  <si>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</si>
  <si>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</si>
  <si>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</si>
  <si>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</si>
  <si>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</si>
  <si>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</si>
  <si>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</si>
  <si>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</si>
  <si>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</si>
  <si>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</si>
  <si>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</si>
  <si>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</si>
  <si>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</si>
  <si>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</si>
  <si>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</si>
  <si>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</si>
  <si>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</si>
  <si>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</si>
  <si>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</si>
  <si>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</si>
  <si>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</si>
  <si>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</si>
  <si>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</si>
  <si>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</si>
  <si>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</si>
  <si>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</si>
  <si>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</si>
  <si>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</si>
  <si>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</si>
  <si>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</si>
  <si>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</si>
  <si>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</si>
  <si>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</si>
  <si>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</si>
  <si>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</si>
  <si>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</si>
  <si>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</si>
  <si>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</si>
  <si>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</si>
  <si>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</si>
  <si>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</si>
  <si>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</si>
  <si>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</si>
  <si>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</si>
  <si>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</si>
  <si>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</si>
  <si>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</si>
  <si>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</si>
  <si>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</si>
  <si>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</si>
  <si>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</si>
  <si>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</si>
  <si>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</si>
  <si>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</si>
  <si>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</si>
  <si>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</si>
  <si>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</si>
  <si>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</si>
  <si>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</si>
  <si>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</si>
  <si>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</si>
  <si>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</si>
  <si>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</si>
  <si>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</si>
  <si>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</si>
  <si>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</si>
  <si>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</si>
  <si>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</si>
  <si>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</si>
  <si>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</si>
  <si>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</si>
  <si>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</si>
  <si>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</si>
  <si>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</si>
  <si>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</si>
  <si>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</si>
  <si>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</si>
  <si>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</si>
  <si>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</si>
  <si>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</si>
  <si>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</si>
  <si>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</si>
  <si>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</si>
  <si>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</si>
  <si>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</si>
  <si>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</si>
  <si>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</si>
  <si>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</si>
  <si>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</si>
  <si>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</si>
  <si>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</si>
  <si>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</si>
  <si>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</si>
  <si>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</si>
  <si>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</si>
  <si>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</si>
  <si>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</si>
  <si>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</si>
  <si>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</si>
  <si>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</si>
  <si>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</si>
  <si>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</si>
  <si>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</si>
  <si>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</si>
  <si>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</si>
  <si>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</si>
  <si>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</si>
  <si>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</si>
  <si>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</si>
  <si>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</si>
  <si>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</si>
  <si>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</si>
  <si>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</si>
  <si>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</si>
  <si>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</si>
  <si>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</si>
  <si>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</si>
  <si>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</si>
  <si>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</si>
  <si>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</si>
  <si>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</si>
  <si>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</si>
  <si>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</si>
  <si>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</si>
  <si>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</si>
  <si>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</si>
  <si>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</si>
  <si>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</si>
  <si>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</si>
  <si>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</si>
  <si>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</si>
  <si>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</si>
  <si>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</si>
  <si>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</si>
  <si>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</si>
  <si>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</si>
  <si>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</si>
  <si>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</si>
  <si>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</si>
  <si>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</si>
  <si>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</si>
  <si>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</si>
  <si>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</si>
  <si>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</si>
  <si>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</si>
  <si>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</si>
  <si>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</si>
  <si>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</si>
  <si>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</si>
  <si>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</si>
  <si>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</si>
  <si>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</si>
  <si>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</si>
  <si>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</si>
  <si>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</si>
  <si>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</si>
  <si>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</si>
  <si>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</si>
  <si>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</si>
  <si>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</si>
  <si>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</si>
  <si>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</si>
  <si>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</si>
  <si>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</si>
  <si>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</si>
  <si>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</si>
  <si>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</si>
  <si>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</si>
  <si>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</si>
  <si>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</si>
  <si>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</si>
  <si>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</si>
  <si>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</si>
  <si>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</si>
  <si>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</si>
  <si>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</si>
  <si>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</si>
  <si>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</si>
  <si>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</si>
  <si>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</si>
  <si>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</si>
  <si>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</si>
  <si>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</si>
  <si>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</si>
  <si>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</si>
  <si>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</si>
  <si>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</si>
  <si>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</si>
  <si>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</si>
  <si>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</si>
  <si>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</si>
  <si>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</si>
  <si>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</si>
  <si>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</si>
  <si>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</si>
  <si>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</si>
  <si>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</si>
  <si>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</si>
  <si>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</si>
  <si>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</si>
  <si>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</si>
  <si>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</si>
  <si>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</si>
  <si>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</si>
  <si>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</si>
  <si>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</si>
  <si>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</si>
  <si>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</si>
  <si>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</si>
  <si>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</si>
  <si>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</si>
  <si>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</si>
  <si>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</si>
  <si>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</si>
  <si>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</si>
  <si>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</si>
  <si>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</si>
  <si>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</si>
  <si>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</si>
  <si>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</si>
  <si>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</si>
  <si>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</si>
  <si>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</si>
  <si>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</si>
  <si>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</si>
  <si>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</si>
  <si>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</si>
  <si>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</si>
  <si>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</si>
  <si>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</si>
  <si>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</si>
  <si>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</si>
  <si>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</si>
  <si>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</si>
  <si>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</si>
  <si>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</si>
  <si>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</si>
  <si>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</si>
  <si>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</si>
  <si>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</si>
  <si>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</si>
  <si>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</si>
  <si>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</si>
  <si>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</si>
  <si>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</si>
  <si>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</si>
  <si>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</si>
  <si>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</si>
  <si>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</si>
  <si>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</si>
  <si>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</si>
  <si>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</si>
  <si>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</si>
  <si>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</si>
  <si>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</si>
  <si>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</si>
  <si>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</si>
  <si>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</si>
  <si>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</si>
  <si>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</si>
  <si>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</si>
  <si>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</si>
  <si>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</si>
  <si>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</si>
  <si>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</si>
  <si>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</si>
  <si>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</si>
  <si>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</si>
  <si>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</si>
  <si>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</si>
  <si>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</si>
  <si>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</si>
  <si>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</si>
  <si>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</si>
  <si>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</si>
  <si>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</si>
  <si>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</si>
  <si>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</si>
  <si>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</si>
  <si>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</si>
  <si>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</si>
  <si>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</si>
  <si>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</si>
  <si>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</si>
  <si>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</si>
  <si>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</si>
  <si>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</si>
  <si>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</si>
  <si>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</si>
  <si>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</si>
  <si>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</si>
  <si>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</si>
  <si>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</si>
  <si>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</si>
  <si>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</si>
  <si>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</si>
  <si>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</si>
  <si>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</si>
  <si>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</si>
  <si>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</si>
  <si>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</si>
  <si>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</si>
  <si>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</si>
  <si>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</si>
  <si>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</si>
  <si>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</si>
  <si>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</si>
  <si>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</si>
  <si>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</si>
  <si>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</si>
  <si>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</si>
  <si>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</si>
  <si>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</si>
  <si>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</si>
  <si>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</si>
  <si>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</si>
  <si>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</si>
  <si>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</si>
  <si>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</si>
  <si>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</si>
  <si>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</si>
  <si>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</si>
  <si>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</si>
  <si>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</si>
  <si>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</si>
  <si>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</si>
  <si>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</si>
  <si>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</si>
  <si>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</si>
  <si>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</si>
  <si>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</si>
  <si>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</si>
  <si>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</si>
  <si>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</si>
  <si>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</si>
  <si>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</si>
  <si>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</si>
  <si>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</si>
  <si>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</si>
  <si>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</si>
  <si>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</si>
  <si>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</si>
  <si>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</si>
  <si>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</si>
  <si>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</si>
  <si>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</si>
  <si>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</si>
  <si>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</si>
  <si>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</si>
  <si>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</si>
  <si>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</si>
  <si>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</si>
  <si>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</si>
  <si>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</si>
  <si>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</si>
  <si>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</si>
  <si>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</si>
  <si>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</si>
  <si>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</si>
  <si>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</si>
  <si>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</si>
  <si>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</si>
  <si>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</si>
  <si>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</si>
  <si>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</si>
  <si>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</si>
  <si>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</si>
  <si>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</si>
  <si>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</si>
  <si>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</si>
  <si>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</si>
  <si>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</si>
  <si>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</si>
  <si>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</si>
  <si>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</si>
  <si>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</si>
  <si>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</si>
  <si>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</si>
  <si>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</si>
  <si>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</si>
  <si>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</si>
  <si>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</si>
  <si>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</si>
  <si>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</si>
  <si>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</si>
  <si>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</si>
  <si>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</si>
  <si>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</si>
  <si>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</si>
  <si>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</si>
  <si>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</si>
  <si>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</si>
  <si>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</si>
  <si>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</si>
  <si>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</si>
  <si>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</si>
  <si>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</si>
  <si>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</si>
  <si>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</si>
  <si>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</si>
  <si>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</si>
  <si>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</si>
  <si>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</si>
  <si>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</si>
  <si>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</si>
  <si>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</si>
  <si>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</si>
  <si>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</si>
  <si>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</si>
  <si>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</si>
  <si>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</si>
  <si>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</si>
  <si>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</si>
  <si>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</si>
  <si>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</si>
  <si>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</si>
  <si>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</si>
  <si>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</si>
  <si>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</si>
  <si>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</si>
  <si>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</si>
  <si>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</si>
  <si>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</si>
  <si>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</si>
  <si>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</si>
  <si>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</si>
  <si>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</si>
  <si>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</si>
  <si>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</si>
  <si>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</si>
  <si>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</si>
  <si>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</si>
  <si>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</si>
  <si>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</si>
  <si>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</si>
  <si>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</si>
  <si>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</si>
  <si>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</si>
  <si>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</si>
  <si>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</si>
  <si>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</si>
  <si>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</si>
  <si>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</si>
  <si>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</si>
  <si>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</si>
  <si>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</si>
  <si>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</si>
  <si>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</si>
  <si>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</si>
  <si>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</si>
  <si>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</si>
  <si>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</si>
  <si>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</si>
  <si>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</si>
  <si>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</si>
  <si>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</si>
  <si>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</si>
  <si>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</si>
  <si>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</si>
  <si>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</si>
  <si>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</si>
  <si>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</si>
  <si>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</si>
  <si>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</si>
  <si>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</si>
  <si>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</si>
  <si>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</si>
  <si>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</si>
  <si>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</si>
  <si>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</si>
  <si>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</si>
  <si>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</si>
  <si>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</si>
  <si>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</si>
  <si>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</si>
  <si>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</si>
  <si>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</si>
  <si>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</si>
  <si>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</si>
  <si>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</si>
  <si>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</si>
  <si>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</si>
  <si>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</si>
  <si>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</si>
  <si>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</si>
  <si>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</si>
  <si>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</si>
  <si>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</si>
  <si>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</si>
  <si>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</si>
  <si>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</si>
  <si>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</si>
  <si>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</si>
  <si>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</si>
  <si>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</si>
  <si>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</si>
  <si>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</si>
  <si>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</si>
  <si>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</si>
  <si>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</si>
  <si>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</si>
  <si>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</si>
  <si>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</si>
  <si>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</si>
  <si>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</si>
  <si>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</si>
  <si>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</si>
  <si>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</si>
  <si>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</si>
  <si>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</si>
  <si>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</si>
  <si>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</si>
  <si>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</si>
  <si>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</si>
  <si>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</si>
  <si>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</si>
  <si>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</si>
  <si>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</si>
  <si>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</si>
  <si>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</si>
  <si>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</si>
  <si>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</si>
  <si>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</si>
  <si>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</si>
  <si>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</si>
  <si>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</si>
  <si>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</si>
  <si>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</si>
  <si>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</si>
  <si>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</si>
  <si>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</si>
  <si>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</si>
  <si>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</si>
  <si>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</si>
  <si>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</si>
  <si>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</si>
  <si>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</si>
  <si>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</si>
  <si>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</si>
  <si>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</si>
  <si>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</si>
  <si>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</si>
  <si>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</si>
  <si>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</si>
  <si>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</si>
  <si>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</si>
  <si>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</si>
  <si>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</si>
  <si>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</si>
  <si>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</si>
  <si>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</si>
  <si>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</si>
  <si>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</si>
  <si>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</si>
  <si>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</si>
  <si>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</si>
  <si>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</si>
  <si>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</si>
  <si>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</si>
  <si>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</si>
  <si>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</si>
  <si>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</si>
  <si>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</si>
  <si>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</si>
  <si>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</si>
  <si>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</si>
  <si>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</si>
  <si>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</si>
  <si>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</si>
  <si>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</si>
  <si>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</si>
  <si>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</si>
  <si>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</si>
  <si>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</si>
  <si>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</si>
  <si>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</si>
  <si>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</si>
  <si>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</si>
  <si>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</si>
  <si>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</si>
  <si>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</si>
  <si>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</si>
  <si>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</si>
  <si>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</si>
  <si>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</si>
  <si>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</si>
  <si>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</si>
  <si>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</si>
  <si>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</si>
  <si>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</si>
  <si>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</si>
  <si>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</si>
  <si>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</si>
  <si>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</si>
  <si>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</si>
  <si>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</si>
  <si>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</si>
  <si>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</si>
  <si>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</si>
  <si>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</si>
  <si>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</si>
  <si>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</si>
  <si>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</si>
  <si>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</si>
  <si>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</si>
  <si>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</si>
  <si>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</si>
  <si>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</si>
  <si>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</si>
  <si>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</si>
  <si>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</si>
  <si>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</si>
  <si>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</si>
  <si>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</si>
  <si>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</si>
  <si>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</si>
  <si>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</si>
  <si>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</si>
  <si>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</si>
  <si>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</si>
  <si>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</si>
  <si>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</si>
  <si>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</si>
  <si>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</si>
  <si>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</si>
  <si>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</si>
  <si>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</si>
  <si>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</si>
  <si>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</si>
  <si>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</si>
  <si>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</si>
  <si>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</si>
  <si>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</si>
  <si>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</si>
  <si>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</si>
  <si>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</si>
  <si>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</si>
  <si>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</si>
  <si>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</si>
  <si>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</si>
  <si>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</si>
  <si>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</si>
  <si>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</si>
  <si>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</si>
  <si>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</si>
  <si>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</si>
  <si>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</si>
  <si>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</si>
  <si>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</si>
  <si>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</si>
  <si>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</si>
  <si>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</si>
  <si>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</si>
  <si>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</si>
  <si>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</si>
  <si>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</si>
  <si>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</si>
  <si>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</si>
  <si>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</si>
  <si>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</si>
  <si>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</si>
  <si>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</si>
  <si>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</si>
  <si>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</si>
  <si>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</si>
  <si>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</si>
  <si>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</si>
  <si>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</si>
  <si>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</si>
  <si>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</si>
  <si>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</si>
  <si>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</si>
  <si>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</si>
  <si>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</si>
  <si>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</si>
  <si>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</si>
  <si>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</si>
  <si>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</si>
  <si>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</si>
  <si>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</si>
  <si>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</si>
  <si>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</si>
  <si>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</si>
  <si>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</si>
  <si>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</si>
  <si>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</si>
  <si>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</si>
  <si>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</si>
  <si>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</si>
  <si>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</si>
  <si>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</si>
  <si>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</si>
  <si>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</si>
  <si>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</si>
  <si>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</si>
  <si>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</si>
  <si>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</si>
  <si>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</si>
  <si>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</si>
  <si>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</si>
  <si>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</si>
  <si>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</si>
  <si>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</si>
  <si>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</si>
  <si>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</si>
  <si>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</si>
  <si>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</si>
  <si>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</si>
  <si>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</si>
  <si>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</si>
  <si>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</si>
  <si>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</si>
  <si>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</si>
  <si>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</si>
  <si>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</si>
  <si>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</si>
  <si>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</si>
  <si>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</si>
  <si>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</si>
  <si>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</si>
  <si>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</si>
  <si>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</si>
  <si>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</si>
  <si>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</si>
  <si>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</si>
  <si>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</si>
  <si>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</si>
  <si>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</si>
  <si>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</si>
  <si>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</si>
  <si>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</si>
  <si>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</si>
  <si>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</si>
  <si>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</si>
  <si>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</si>
  <si>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</si>
  <si>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</si>
  <si>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</si>
  <si>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</si>
  <si>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</si>
  <si>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</si>
  <si>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</si>
  <si>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</si>
  <si>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</si>
  <si>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</si>
  <si>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</si>
  <si>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</si>
  <si>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</si>
  <si>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</si>
  <si>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</si>
  <si>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</si>
  <si>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</si>
  <si>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</si>
  <si>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</si>
  <si>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</si>
  <si>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</si>
  <si>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</si>
  <si>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</si>
  <si>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</si>
  <si>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</si>
  <si>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</si>
  <si>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</si>
  <si>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</si>
  <si>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</si>
  <si>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</si>
  <si>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</si>
  <si>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</si>
  <si>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</si>
  <si>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</si>
  <si>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</si>
  <si>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</si>
  <si>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</si>
  <si>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</si>
  <si>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</si>
  <si>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</si>
  <si>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</si>
  <si>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</si>
  <si>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</si>
  <si>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</si>
  <si>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</si>
  <si>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</si>
  <si>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</si>
  <si>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</si>
  <si>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</si>
  <si>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</si>
  <si>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</si>
  <si>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</si>
  <si>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</si>
  <si>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</si>
  <si>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</si>
  <si>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</si>
  <si>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</si>
  <si>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</si>
  <si>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</si>
  <si>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</si>
  <si>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</si>
  <si>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</si>
  <si>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</si>
  <si>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</si>
  <si>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</si>
  <si>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</si>
  <si>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</si>
  <si>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</si>
  <si>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</si>
  <si>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</si>
  <si>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</si>
  <si>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</si>
  <si>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</si>
  <si>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</si>
  <si>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</si>
  <si>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</si>
  <si>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</si>
  <si>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</si>
  <si>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</si>
  <si>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</si>
  <si>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</si>
  <si>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</si>
  <si>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</si>
  <si>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</si>
  <si>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</si>
  <si>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</si>
  <si>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</si>
  <si>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</si>
  <si>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</si>
  <si>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</si>
  <si>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</si>
  <si>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</si>
  <si>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</si>
  <si>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</si>
  <si>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</si>
  <si>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</si>
  <si>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</si>
  <si>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</si>
  <si>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</si>
  <si>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</si>
  <si>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</si>
  <si>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</si>
  <si>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</si>
  <si>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</si>
  <si>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</si>
  <si>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</si>
  <si>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</si>
  <si>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</si>
  <si>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</si>
  <si>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</si>
  <si>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</si>
  <si>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</si>
  <si>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</si>
  <si>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</si>
  <si>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</si>
  <si>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</si>
  <si>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</si>
  <si>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</si>
  <si>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</si>
  <si>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</si>
  <si>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</si>
  <si>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</si>
  <si>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</si>
  <si>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</si>
  <si>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</si>
  <si>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</si>
  <si>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</si>
  <si>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</si>
  <si>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</si>
  <si>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</si>
  <si>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</si>
  <si>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</si>
  <si>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</si>
  <si>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</si>
  <si>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</si>
  <si>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</si>
  <si>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</si>
  <si>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</si>
  <si>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73022</t>
  </si>
  <si>
    <t>HEERS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</si>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</sst>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73022</v>
      </c>
      <c r="B6" s="396"/>
      <c r="C6" s="397"/>
    </row>
    <row r="7" spans="1:7" s="394" customFormat="1" ht="15.75" customHeight="1">
      <c r="A7" s="398" t="str">
        <f>txtMunicipality</f>
        <v>HEERS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0.21208061353954213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0.21208061353954213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73022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2858</v>
      </c>
      <c r="C9" s="336">
        <v>3090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3936</v>
      </c>
    </row>
    <row r="15" spans="1:6">
      <c r="A15" s="1277" t="s">
        <v>184</v>
      </c>
      <c r="B15" s="333">
        <v>693</v>
      </c>
    </row>
    <row r="16" spans="1:6">
      <c r="A16" s="1277" t="s">
        <v>6</v>
      </c>
      <c r="B16" s="333">
        <v>416</v>
      </c>
    </row>
    <row r="17" spans="1:6">
      <c r="A17" s="1277" t="s">
        <v>7</v>
      </c>
      <c r="B17" s="333">
        <v>1050</v>
      </c>
    </row>
    <row r="18" spans="1:6">
      <c r="A18" s="1277" t="s">
        <v>8</v>
      </c>
      <c r="B18" s="333">
        <v>1139</v>
      </c>
    </row>
    <row r="19" spans="1:6">
      <c r="A19" s="1277" t="s">
        <v>9</v>
      </c>
      <c r="B19" s="333">
        <v>893</v>
      </c>
    </row>
    <row r="20" spans="1:6">
      <c r="A20" s="1277" t="s">
        <v>10</v>
      </c>
      <c r="B20" s="333">
        <v>616</v>
      </c>
    </row>
    <row r="21" spans="1:6">
      <c r="A21" s="1277" t="s">
        <v>11</v>
      </c>
      <c r="B21" s="333">
        <v>2340</v>
      </c>
    </row>
    <row r="22" spans="1:6">
      <c r="A22" s="1277" t="s">
        <v>12</v>
      </c>
      <c r="B22" s="333">
        <v>6607</v>
      </c>
    </row>
    <row r="23" spans="1:6">
      <c r="A23" s="1277" t="s">
        <v>13</v>
      </c>
      <c r="B23" s="333">
        <v>84</v>
      </c>
    </row>
    <row r="24" spans="1:6">
      <c r="A24" s="1277" t="s">
        <v>14</v>
      </c>
      <c r="B24" s="333">
        <v>36</v>
      </c>
    </row>
    <row r="25" spans="1:6">
      <c r="A25" s="1277" t="s">
        <v>15</v>
      </c>
      <c r="B25" s="333">
        <v>585</v>
      </c>
    </row>
    <row r="26" spans="1:6">
      <c r="A26" s="1277" t="s">
        <v>16</v>
      </c>
      <c r="B26" s="333">
        <v>34</v>
      </c>
    </row>
    <row r="27" spans="1:6">
      <c r="A27" s="1277" t="s">
        <v>17</v>
      </c>
      <c r="B27" s="333">
        <v>0</v>
      </c>
    </row>
    <row r="28" spans="1:6">
      <c r="A28" s="1277" t="s">
        <v>18</v>
      </c>
      <c r="B28" s="333">
        <v>19342</v>
      </c>
    </row>
    <row r="29" spans="1:6">
      <c r="A29" s="1277" t="s">
        <v>957</v>
      </c>
      <c r="B29" s="333">
        <v>12</v>
      </c>
    </row>
    <row r="30" spans="1:6">
      <c r="A30" s="1273" t="s">
        <v>958</v>
      </c>
      <c r="B30" s="1273">
        <v>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14796</v>
      </c>
    </row>
    <row r="39" spans="1:6">
      <c r="A39" s="1277" t="s">
        <v>30</v>
      </c>
      <c r="B39" s="1277" t="s">
        <v>31</v>
      </c>
      <c r="C39" s="333">
        <v>738</v>
      </c>
      <c r="D39" s="333">
        <v>13547709</v>
      </c>
      <c r="E39" s="333">
        <v>2882</v>
      </c>
      <c r="F39" s="333">
        <v>12676806</v>
      </c>
    </row>
    <row r="40" spans="1:6">
      <c r="A40" s="1277" t="s">
        <v>30</v>
      </c>
      <c r="B40" s="1277" t="s">
        <v>29</v>
      </c>
      <c r="C40" s="333">
        <v>0</v>
      </c>
      <c r="D40" s="333">
        <v>0</v>
      </c>
      <c r="E40" s="333">
        <v>0</v>
      </c>
      <c r="F40" s="333">
        <v>0</v>
      </c>
    </row>
    <row r="41" spans="1:6">
      <c r="A41" s="1277" t="s">
        <v>32</v>
      </c>
      <c r="B41" s="1277" t="s">
        <v>33</v>
      </c>
      <c r="C41" s="333">
        <v>5</v>
      </c>
      <c r="D41" s="333">
        <v>158467</v>
      </c>
      <c r="E41" s="333">
        <v>35</v>
      </c>
      <c r="F41" s="333">
        <v>230415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67645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27879</v>
      </c>
      <c r="E48" s="333">
        <v>1</v>
      </c>
      <c r="F48" s="333">
        <v>5898</v>
      </c>
    </row>
    <row r="49" spans="1:6">
      <c r="A49" s="1277" t="s">
        <v>32</v>
      </c>
      <c r="B49" s="1277" t="s">
        <v>40</v>
      </c>
      <c r="C49" s="333">
        <v>0</v>
      </c>
      <c r="D49" s="333">
        <v>0</v>
      </c>
      <c r="E49" s="333">
        <v>0</v>
      </c>
      <c r="F49" s="333">
        <v>0</v>
      </c>
    </row>
    <row r="50" spans="1:6">
      <c r="A50" s="1277" t="s">
        <v>32</v>
      </c>
      <c r="B50" s="1277" t="s">
        <v>41</v>
      </c>
      <c r="C50" s="333">
        <v>0</v>
      </c>
      <c r="D50" s="333">
        <v>0</v>
      </c>
      <c r="E50" s="333">
        <v>6</v>
      </c>
      <c r="F50" s="333">
        <v>151411</v>
      </c>
    </row>
    <row r="51" spans="1:6">
      <c r="A51" s="1277" t="s">
        <v>42</v>
      </c>
      <c r="B51" s="1277" t="s">
        <v>43</v>
      </c>
      <c r="C51" s="333">
        <v>5</v>
      </c>
      <c r="D51" s="333">
        <v>1263141</v>
      </c>
      <c r="E51" s="333">
        <v>69</v>
      </c>
      <c r="F51" s="333">
        <v>1618008</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28</v>
      </c>
      <c r="F54" s="333">
        <v>373904</v>
      </c>
    </row>
    <row r="55" spans="1:6">
      <c r="A55" s="1277" t="s">
        <v>46</v>
      </c>
      <c r="B55" s="1277" t="s">
        <v>29</v>
      </c>
      <c r="C55" s="333">
        <v>0</v>
      </c>
      <c r="D55" s="333">
        <v>0</v>
      </c>
      <c r="E55" s="333">
        <v>0</v>
      </c>
      <c r="F55" s="333">
        <v>0</v>
      </c>
    </row>
    <row r="56" spans="1:6">
      <c r="A56" s="1277" t="s">
        <v>48</v>
      </c>
      <c r="B56" s="1277" t="s">
        <v>29</v>
      </c>
      <c r="C56" s="333">
        <v>12</v>
      </c>
      <c r="D56" s="333">
        <v>320487</v>
      </c>
      <c r="E56" s="333">
        <v>62</v>
      </c>
      <c r="F56" s="333">
        <v>516024</v>
      </c>
    </row>
    <row r="57" spans="1:6">
      <c r="A57" s="1277" t="s">
        <v>49</v>
      </c>
      <c r="B57" s="1277" t="s">
        <v>50</v>
      </c>
      <c r="C57" s="333">
        <v>0</v>
      </c>
      <c r="D57" s="333">
        <v>0</v>
      </c>
      <c r="E57" s="333">
        <v>22</v>
      </c>
      <c r="F57" s="333">
        <v>1043614</v>
      </c>
    </row>
    <row r="58" spans="1:6">
      <c r="A58" s="1277" t="s">
        <v>49</v>
      </c>
      <c r="B58" s="1277" t="s">
        <v>51</v>
      </c>
      <c r="C58" s="333">
        <v>0</v>
      </c>
      <c r="D58" s="333">
        <v>0</v>
      </c>
      <c r="E58" s="333">
        <v>9</v>
      </c>
      <c r="F58" s="333">
        <v>177199</v>
      </c>
    </row>
    <row r="59" spans="1:6">
      <c r="A59" s="1277" t="s">
        <v>49</v>
      </c>
      <c r="B59" s="1277" t="s">
        <v>52</v>
      </c>
      <c r="C59" s="333">
        <v>17</v>
      </c>
      <c r="D59" s="333">
        <v>555165</v>
      </c>
      <c r="E59" s="333">
        <v>63</v>
      </c>
      <c r="F59" s="333">
        <v>1688961</v>
      </c>
    </row>
    <row r="60" spans="1:6">
      <c r="A60" s="1277" t="s">
        <v>49</v>
      </c>
      <c r="B60" s="1277" t="s">
        <v>53</v>
      </c>
      <c r="C60" s="333">
        <v>5</v>
      </c>
      <c r="D60" s="333">
        <v>249903</v>
      </c>
      <c r="E60" s="333">
        <v>33</v>
      </c>
      <c r="F60" s="333">
        <v>473162</v>
      </c>
    </row>
    <row r="61" spans="1:6">
      <c r="A61" s="1277" t="s">
        <v>49</v>
      </c>
      <c r="B61" s="1277" t="s">
        <v>54</v>
      </c>
      <c r="C61" s="333">
        <v>26</v>
      </c>
      <c r="D61" s="333">
        <v>1959062</v>
      </c>
      <c r="E61" s="333">
        <v>106</v>
      </c>
      <c r="F61" s="333">
        <v>1119787</v>
      </c>
    </row>
    <row r="62" spans="1:6">
      <c r="A62" s="1277" t="s">
        <v>49</v>
      </c>
      <c r="B62" s="1277" t="s">
        <v>55</v>
      </c>
      <c r="C62" s="333">
        <v>0</v>
      </c>
      <c r="D62" s="333">
        <v>0</v>
      </c>
      <c r="E62" s="333">
        <v>3</v>
      </c>
      <c r="F62" s="333">
        <v>40077</v>
      </c>
    </row>
    <row r="63" spans="1:6">
      <c r="A63" s="1277" t="s">
        <v>49</v>
      </c>
      <c r="B63" s="1277" t="s">
        <v>29</v>
      </c>
      <c r="C63" s="333">
        <v>4</v>
      </c>
      <c r="D63" s="333">
        <v>169695</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73950</v>
      </c>
      <c r="E68" s="333">
        <v>9</v>
      </c>
      <c r="F68" s="333">
        <v>68711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55951312</v>
      </c>
      <c r="E73" s="333">
        <v>39430465.830802433</v>
      </c>
      <c r="F73" s="333">
        <v>50214834</v>
      </c>
    </row>
    <row r="74" spans="1:6">
      <c r="A74" s="1277" t="s">
        <v>64</v>
      </c>
      <c r="B74" s="1277" t="s">
        <v>774</v>
      </c>
      <c r="C74" s="1288" t="s">
        <v>775</v>
      </c>
      <c r="D74" s="333">
        <v>4307442.6281734034</v>
      </c>
      <c r="E74" s="333">
        <v>3123212.3621038832</v>
      </c>
      <c r="F74" s="333">
        <v>3941848.5308938902</v>
      </c>
    </row>
    <row r="75" spans="1:6">
      <c r="A75" s="1277" t="s">
        <v>65</v>
      </c>
      <c r="B75" s="1277" t="s">
        <v>772</v>
      </c>
      <c r="C75" s="1288" t="s">
        <v>776</v>
      </c>
      <c r="D75" s="333">
        <v>9836046</v>
      </c>
      <c r="E75" s="333">
        <v>7448380.9033025922</v>
      </c>
      <c r="F75" s="333">
        <v>9106849</v>
      </c>
    </row>
    <row r="76" spans="1:6">
      <c r="A76" s="1277" t="s">
        <v>65</v>
      </c>
      <c r="B76" s="1277" t="s">
        <v>774</v>
      </c>
      <c r="C76" s="1288" t="s">
        <v>777</v>
      </c>
      <c r="D76" s="333">
        <v>290564.62817340321</v>
      </c>
      <c r="E76" s="333">
        <v>244794.02692440513</v>
      </c>
      <c r="F76" s="333">
        <v>287107.53089389007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119582.74365319363</v>
      </c>
      <c r="C83" s="333">
        <v>109344.62595375243</v>
      </c>
      <c r="D83" s="333">
        <v>111240.93821221986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741.81904495205902</v>
      </c>
    </row>
    <row r="92" spans="1:6">
      <c r="A92" s="1273" t="s">
        <v>69</v>
      </c>
      <c r="B92" s="336">
        <v>102.70782718700575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176</v>
      </c>
    </row>
    <row r="98" spans="1:6">
      <c r="A98" s="1277" t="s">
        <v>72</v>
      </c>
      <c r="B98" s="333">
        <v>2</v>
      </c>
    </row>
    <row r="99" spans="1:6">
      <c r="A99" s="1277" t="s">
        <v>73</v>
      </c>
      <c r="B99" s="333">
        <v>23</v>
      </c>
    </row>
    <row r="100" spans="1:6">
      <c r="A100" s="1277" t="s">
        <v>74</v>
      </c>
      <c r="B100" s="333">
        <v>74</v>
      </c>
    </row>
    <row r="101" spans="1:6">
      <c r="A101" s="1277" t="s">
        <v>75</v>
      </c>
      <c r="B101" s="333">
        <v>31</v>
      </c>
    </row>
    <row r="102" spans="1:6">
      <c r="A102" s="1277" t="s">
        <v>76</v>
      </c>
      <c r="B102" s="333">
        <v>20</v>
      </c>
    </row>
    <row r="103" spans="1:6">
      <c r="A103" s="1277" t="s">
        <v>77</v>
      </c>
      <c r="B103" s="333">
        <v>117</v>
      </c>
    </row>
    <row r="104" spans="1:6">
      <c r="A104" s="1277" t="s">
        <v>78</v>
      </c>
      <c r="B104" s="333">
        <v>2117</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20925.255293081223</v>
      </c>
      <c r="C3" s="43" t="s">
        <v>170</v>
      </c>
      <c r="D3" s="43"/>
      <c r="E3" s="156"/>
      <c r="F3" s="43"/>
      <c r="G3" s="43"/>
      <c r="H3" s="43"/>
      <c r="I3" s="43"/>
      <c r="J3" s="43"/>
      <c r="K3" s="96"/>
    </row>
    <row r="4" spans="1:11">
      <c r="A4" s="364" t="s">
        <v>171</v>
      </c>
      <c r="B4" s="49">
        <f>IF(ISERROR('SEAP template'!B78),0,'SEAP template'!B78)</f>
        <v>844.52687213906472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0.21208061353954213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373.904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373.904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0.21208061353954213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79.297789724888958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12676.806</v>
      </c>
      <c r="C5" s="17">
        <f>IF(ISERROR('Eigen informatie GS &amp; warmtenet'!B57),0,'Eigen informatie GS &amp; warmtenet'!B57)</f>
        <v>0</v>
      </c>
      <c r="D5" s="30">
        <f>(SUM(HH_hh_gas_kWh,HH_rest_gas_kWh)/1000)*0.902</f>
        <v>12220.033518</v>
      </c>
      <c r="E5" s="17">
        <f>B46*B57</f>
        <v>1622.5943282096337</v>
      </c>
      <c r="F5" s="17">
        <f>B51*B62</f>
        <v>36738.752962656486</v>
      </c>
      <c r="G5" s="18"/>
      <c r="H5" s="17"/>
      <c r="I5" s="17"/>
      <c r="J5" s="17">
        <f>B50*B61+C50*C61</f>
        <v>1744.1117401382978</v>
      </c>
      <c r="K5" s="17"/>
      <c r="L5" s="17"/>
      <c r="M5" s="17"/>
      <c r="N5" s="17">
        <f>B48*B59+C48*C59</f>
        <v>6327.6684045845041</v>
      </c>
      <c r="O5" s="17">
        <f>B69*B70*B71</f>
        <v>26.576666666666668</v>
      </c>
      <c r="P5" s="17">
        <f>B77*B78*B79/1000-B77*B78*B79/1000/B80</f>
        <v>171.6</v>
      </c>
    </row>
    <row r="6" spans="1:16">
      <c r="A6" s="16" t="s">
        <v>632</v>
      </c>
      <c r="B6" s="779">
        <f>kWh_PV_kleiner_dan_10kW</f>
        <v>741.81904495205902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13418.625044952059</v>
      </c>
      <c r="C8" s="21">
        <f>C5</f>
        <v>0</v>
      </c>
      <c r="D8" s="21">
        <f>D5</f>
        <v>12220.033518</v>
      </c>
      <c r="E8" s="21">
        <f>E5</f>
        <v>1622.5943282096337</v>
      </c>
      <c r="F8" s="21">
        <f>F5</f>
        <v>36738.752962656486</v>
      </c>
      <c r="G8" s="21"/>
      <c r="H8" s="21"/>
      <c r="I8" s="21"/>
      <c r="J8" s="21">
        <f>J5</f>
        <v>1744.1117401382978</v>
      </c>
      <c r="K8" s="21"/>
      <c r="L8" s="21">
        <f>L5</f>
        <v>0</v>
      </c>
      <c r="M8" s="21">
        <f>M5</f>
        <v>0</v>
      </c>
      <c r="N8" s="21">
        <f>N5</f>
        <v>6327.6684045845041</v>
      </c>
      <c r="O8" s="21">
        <f>O5</f>
        <v>26.576666666666668</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0.21208061353954213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2845.8302323904991</v>
      </c>
      <c r="C12" s="23">
        <f ca="1">C10*C8</f>
        <v>0</v>
      </c>
      <c r="D12" s="23">
        <f>D8*D10</f>
        <v>2468.4467706360001</v>
      </c>
      <c r="E12" s="23">
        <f>E10*E8</f>
        <v>368.32891250358688</v>
      </c>
      <c r="F12" s="23">
        <f>F10*F8</f>
        <v>9809.2470410292826</v>
      </c>
      <c r="G12" s="23"/>
      <c r="H12" s="23"/>
      <c r="I12" s="23"/>
      <c r="J12" s="23">
        <f>J10*J8</f>
        <v>617.41555600895742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176</v>
      </c>
      <c r="C18" s="167" t="s">
        <v>111</v>
      </c>
      <c r="D18" s="229"/>
      <c r="E18" s="15"/>
    </row>
    <row r="19" spans="1:7">
      <c r="A19" s="172" t="s">
        <v>72</v>
      </c>
      <c r="B19" s="37">
        <f>aantalw2001_ander</f>
        <v>2</v>
      </c>
      <c r="C19" s="167" t="s">
        <v>111</v>
      </c>
      <c r="D19" s="230"/>
      <c r="E19" s="15"/>
    </row>
    <row r="20" spans="1:7">
      <c r="A20" s="172" t="s">
        <v>73</v>
      </c>
      <c r="B20" s="37">
        <f>aantalw2001_propaan</f>
        <v>23</v>
      </c>
      <c r="C20" s="168">
        <f>IF(ISERROR(B20/SUM($B$20,$B$21,$B$22)*100),0,B20/SUM($B$20,$B$21,$B$22)*100)</f>
        <v>17.96875</v>
      </c>
      <c r="D20" s="230"/>
      <c r="E20" s="15"/>
    </row>
    <row r="21" spans="1:7">
      <c r="A21" s="172" t="s">
        <v>74</v>
      </c>
      <c r="B21" s="37">
        <f>aantalw2001_elektriciteit</f>
        <v>74</v>
      </c>
      <c r="C21" s="168">
        <f>IF(ISERROR(B21/SUM($B$20,$B$21,$B$22)*100),0,B21/SUM($B$20,$B$21,$B$22)*100)</f>
        <v>57.8125</v>
      </c>
      <c r="D21" s="230"/>
      <c r="E21" s="15"/>
    </row>
    <row r="22" spans="1:7">
      <c r="A22" s="172" t="s">
        <v>75</v>
      </c>
      <c r="B22" s="37">
        <f>aantalw2001_hout</f>
        <v>31</v>
      </c>
      <c r="C22" s="168">
        <f>IF(ISERROR(B22/SUM($B$20,$B$21,$B$22)*100),0,B22/SUM($B$20,$B$21,$B$22)*100)</f>
        <v>24.21875</v>
      </c>
      <c r="D22" s="230"/>
      <c r="E22" s="15"/>
    </row>
    <row r="23" spans="1:7">
      <c r="A23" s="172" t="s">
        <v>76</v>
      </c>
      <c r="B23" s="37">
        <f>aantalw2001_niet_gespec</f>
        <v>20</v>
      </c>
      <c r="C23" s="167" t="s">
        <v>111</v>
      </c>
      <c r="D23" s="229"/>
      <c r="E23" s="15"/>
    </row>
    <row r="24" spans="1:7">
      <c r="A24" s="172" t="s">
        <v>77</v>
      </c>
      <c r="B24" s="37">
        <f>aantalw2001_steenkool</f>
        <v>117</v>
      </c>
      <c r="C24" s="167" t="s">
        <v>111</v>
      </c>
      <c r="D24" s="230"/>
      <c r="E24" s="15"/>
    </row>
    <row r="25" spans="1:7">
      <c r="A25" s="172" t="s">
        <v>78</v>
      </c>
      <c r="B25" s="37">
        <f>aantalw2001_stookolie</f>
        <v>2117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2858</v>
      </c>
      <c r="C28" s="36"/>
      <c r="D28" s="229"/>
    </row>
    <row r="29" spans="1:7" s="15" customFormat="1">
      <c r="A29" s="231" t="s">
        <v>713</v>
      </c>
      <c r="B29" s="37">
        <f>SUM(HH_hh_gas_aantal,HH_rest_gas_aantal)</f>
        <v>738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738</v>
      </c>
      <c r="C32" s="168">
        <f>IF(ISERROR(B32/SUM($B$32,$B$34,$B$35,$B$36,$B$38,$B$39)*100),0,B32/SUM($B$32,$B$34,$B$35,$B$36,$B$38,$B$39)*100)</f>
        <v>25.903825903825904</v>
      </c>
      <c r="D32" s="234"/>
      <c r="G32" s="15"/>
    </row>
    <row r="33" spans="1:7">
      <c r="A33" s="172" t="s">
        <v>72</v>
      </c>
      <c r="B33" s="34" t="s">
        <v>111</v>
      </c>
      <c r="C33" s="168"/>
      <c r="D33" s="234"/>
      <c r="G33" s="15"/>
    </row>
    <row r="34" spans="1:7">
      <c r="A34" s="172" t="s">
        <v>73</v>
      </c>
      <c r="B34" s="33">
        <f>IF((($B$28-$B$32-$B$39-$B$77-$B$38)*C20/100)&lt;0,0,($B$28-$B$32-$B$39-$B$77-$B$38)*C20/100)</f>
        <v>78.882812499999986</v>
      </c>
      <c r="C34" s="168">
        <f>IF(ISERROR(B34/SUM($B$32,$B$34,$B$35,$B$36,$B$38,$B$39)*100),0,B34/SUM($B$32,$B$34,$B$35,$B$36,$B$38,$B$39)*100)</f>
        <v>2.7687894875394869</v>
      </c>
      <c r="D34" s="234"/>
      <c r="G34" s="15"/>
    </row>
    <row r="35" spans="1:7">
      <c r="A35" s="172" t="s">
        <v>74</v>
      </c>
      <c r="B35" s="33">
        <f>IF((($B$28-$B$32-$B$39-$B$77-$B$38)*C21/100)&lt;0,0,($B$28-$B$32-$B$39-$B$77-$B$38)*C21/100)</f>
        <v>253.79687499999997</v>
      </c>
      <c r="C35" s="168">
        <f>IF(ISERROR(B35/SUM($B$32,$B$34,$B$35,$B$36,$B$38,$B$39)*100),0,B35/SUM($B$32,$B$34,$B$35,$B$36,$B$38,$B$39)*100)</f>
        <v>8.9082792207792192</v>
      </c>
      <c r="D35" s="234"/>
      <c r="G35" s="15"/>
    </row>
    <row r="36" spans="1:7">
      <c r="A36" s="172" t="s">
        <v>75</v>
      </c>
      <c r="B36" s="33">
        <f>IF((($B$28-$B$32-$B$39-$B$77-$B$38)*C22/100)&lt;0,0,($B$28-$B$32-$B$39-$B$77-$B$38)*C22/100)</f>
        <v>106.32031249999999</v>
      </c>
      <c r="C36" s="168">
        <f>IF(ISERROR(B36/SUM($B$32,$B$34,$B$35,$B$36,$B$38,$B$39)*100),0,B36/SUM($B$32,$B$34,$B$35,$B$36,$B$38,$B$39)*100)</f>
        <v>3.7318467005966998</v>
      </c>
      <c r="D36" s="234"/>
      <c r="G36" s="15"/>
    </row>
    <row r="37" spans="1:7">
      <c r="A37" s="172" t="s">
        <v>76</v>
      </c>
      <c r="B37" s="34" t="s">
        <v>111</v>
      </c>
      <c r="C37" s="168"/>
      <c r="D37" s="174"/>
      <c r="G37" s="15"/>
    </row>
    <row r="38" spans="1:7">
      <c r="A38" s="172" t="s">
        <v>77</v>
      </c>
      <c r="B38" s="33">
        <f>IF((B24-(B29-B18)*0.1)&lt;0,0,B24-(B29-B18)*0.1)</f>
        <v>60.8</v>
      </c>
      <c r="C38" s="168">
        <f>IF(ISERROR(B38/SUM($B$32,$B$34,$B$35,$B$36,$B$38,$B$39)*100),0,B38/SUM($B$32,$B$34,$B$35,$B$36,$B$38,$B$39)*100)</f>
        <v>2.1340821340821341</v>
      </c>
      <c r="D38" s="235"/>
      <c r="G38" s="15"/>
    </row>
    <row r="39" spans="1:7">
      <c r="A39" s="172" t="s">
        <v>78</v>
      </c>
      <c r="B39" s="33">
        <f>IF((B25-(B29-B18))&lt;0,0,B25-(B29-B18)*0.9)</f>
        <v>1611.2</v>
      </c>
      <c r="C39" s="168">
        <f>IF(ISERROR(B39/SUM($B$32,$B$34,$B$35,$B$36,$B$38,$B$39)*100),0,B39/SUM($B$32,$B$34,$B$35,$B$36,$B$38,$B$39)*100)</f>
        <v>56.553176553176556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738</v>
      </c>
      <c r="C44" s="34" t="s">
        <v>111</v>
      </c>
      <c r="D44" s="175"/>
    </row>
    <row r="45" spans="1:7">
      <c r="A45" s="172" t="s">
        <v>72</v>
      </c>
      <c r="B45" s="33" t="str">
        <f t="shared" si="0"/>
        <v>-</v>
      </c>
      <c r="C45" s="34" t="s">
        <v>111</v>
      </c>
      <c r="D45" s="175"/>
    </row>
    <row r="46" spans="1:7">
      <c r="A46" s="172" t="s">
        <v>73</v>
      </c>
      <c r="B46" s="33">
        <f t="shared" si="0"/>
        <v>78.882812499999986</v>
      </c>
      <c r="C46" s="34" t="s">
        <v>111</v>
      </c>
      <c r="D46" s="175"/>
    </row>
    <row r="47" spans="1:7">
      <c r="A47" s="172" t="s">
        <v>74</v>
      </c>
      <c r="B47" s="33">
        <f t="shared" si="0"/>
        <v>253.79687499999997</v>
      </c>
      <c r="C47" s="34" t="s">
        <v>111</v>
      </c>
      <c r="D47" s="175"/>
    </row>
    <row r="48" spans="1:7">
      <c r="A48" s="172" t="s">
        <v>75</v>
      </c>
      <c r="B48" s="33">
        <f t="shared" si="0"/>
        <v>106.32031249999999</v>
      </c>
      <c r="C48" s="33">
        <f>B48*10</f>
        <v>1063.2031249999998</v>
      </c>
      <c r="D48" s="235"/>
    </row>
    <row r="49" spans="1:6">
      <c r="A49" s="172" t="s">
        <v>76</v>
      </c>
      <c r="B49" s="33" t="str">
        <f t="shared" si="0"/>
        <v>-</v>
      </c>
      <c r="C49" s="34" t="s">
        <v>111</v>
      </c>
      <c r="D49" s="235"/>
    </row>
    <row r="50" spans="1:6">
      <c r="A50" s="172" t="s">
        <v>77</v>
      </c>
      <c r="B50" s="33">
        <f t="shared" si="0"/>
        <v>60.8</v>
      </c>
      <c r="C50" s="33">
        <f>B50*2</f>
        <v>121.6</v>
      </c>
      <c r="D50" s="235"/>
    </row>
    <row r="51" spans="1:6">
      <c r="A51" s="172" t="s">
        <v>78</v>
      </c>
      <c r="B51" s="33">
        <f t="shared" si="0"/>
        <v>1611.2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4542.8</v>
      </c>
      <c r="C5" s="17">
        <f>IF(ISERROR('Eigen informatie GS &amp; warmtenet'!B58),0,'Eigen informatie GS &amp; warmtenet'!B58)</f>
        <v>0</v>
      </c>
      <c r="D5" s="30">
        <f>SUM(D6:D12)</f>
        <v>2646.3101499999998</v>
      </c>
      <c r="E5" s="17">
        <f>SUM(E6:E12)</f>
        <v>81.026417635887114</v>
      </c>
      <c r="F5" s="17">
        <f>SUM(F6:F12)</f>
        <v>861.94273190546539</v>
      </c>
      <c r="G5" s="18"/>
      <c r="H5" s="17"/>
      <c r="I5" s="17"/>
      <c r="J5" s="17">
        <f>SUM(J6:J12)</f>
        <v>0</v>
      </c>
      <c r="K5" s="17"/>
      <c r="L5" s="17"/>
      <c r="M5" s="17"/>
      <c r="N5" s="17">
        <f>SUM(N6:N12)</f>
        <v>251.62558131077986</v>
      </c>
      <c r="O5" s="17">
        <f>B38*B39*B40</f>
        <v>0</v>
      </c>
      <c r="P5" s="17">
        <f>B46*B47*B48/1000-B46*B47*B48/1000/B49</f>
        <v>0</v>
      </c>
      <c r="R5" s="32"/>
    </row>
    <row r="6" spans="1:18">
      <c r="A6" s="32" t="s">
        <v>54</v>
      </c>
      <c r="B6" s="37">
        <f>B26</f>
        <v>1119.787</v>
      </c>
      <c r="C6" s="33"/>
      <c r="D6" s="37">
        <f>IF(ISERROR(TER_kantoor_gas_kWh/1000),0,TER_kantoor_gas_kWh/1000)*0.902</f>
        <v>1767.073924</v>
      </c>
      <c r="E6" s="33">
        <f>$C$26*'E Balans VL '!I12/100/3.6*1000000</f>
        <v>39.196949958343446</v>
      </c>
      <c r="F6" s="33">
        <f>$C$26*('E Balans VL '!L12+'E Balans VL '!N12)/100/3.6*1000000</f>
        <v>169.78375079130402</v>
      </c>
      <c r="G6" s="34"/>
      <c r="H6" s="33"/>
      <c r="I6" s="33"/>
      <c r="J6" s="33">
        <f>$C$26*('E Balans VL '!D12+'E Balans VL '!E12)/100/3.6*1000000</f>
        <v>0</v>
      </c>
      <c r="K6" s="33"/>
      <c r="L6" s="33"/>
      <c r="M6" s="33"/>
      <c r="N6" s="33">
        <f>$C$26*'E Balans VL '!Y12/100/3.6*1000000</f>
        <v>8.6556030263147452</v>
      </c>
      <c r="O6" s="33"/>
      <c r="P6" s="33"/>
      <c r="R6" s="32"/>
    </row>
    <row r="7" spans="1:18">
      <c r="A7" s="32" t="s">
        <v>53</v>
      </c>
      <c r="B7" s="37">
        <f t="shared" ref="B7:B12" si="0">B27</f>
        <v>473.16199999999998</v>
      </c>
      <c r="C7" s="33"/>
      <c r="D7" s="37">
        <f>IF(ISERROR(TER_horeca_gas_kWh/1000),0,TER_horeca_gas_kWh/1000)*0.902</f>
        <v>225.41250600000001</v>
      </c>
      <c r="E7" s="33">
        <f>$C$27*'E Balans VL '!I9/100/3.6*1000000</f>
        <v>26.692628322354683</v>
      </c>
      <c r="F7" s="33">
        <f>$C$27*('E Balans VL '!L9+'E Balans VL '!N9)/100/3.6*1000000</f>
        <v>82.42743891212811</v>
      </c>
      <c r="G7" s="34"/>
      <c r="H7" s="33"/>
      <c r="I7" s="33"/>
      <c r="J7" s="33">
        <f>$C$27*('E Balans VL '!D9+'E Balans VL '!E9)/100/3.6*1000000</f>
        <v>0</v>
      </c>
      <c r="K7" s="33"/>
      <c r="L7" s="33"/>
      <c r="M7" s="33"/>
      <c r="N7" s="33">
        <f>$C$27*'E Balans VL '!Y9/100/3.6*1000000</f>
        <v>0</v>
      </c>
      <c r="O7" s="33"/>
      <c r="P7" s="33"/>
      <c r="R7" s="32"/>
    </row>
    <row r="8" spans="1:18">
      <c r="A8" s="6" t="s">
        <v>52</v>
      </c>
      <c r="B8" s="37">
        <f t="shared" si="0"/>
        <v>1688.961</v>
      </c>
      <c r="C8" s="33"/>
      <c r="D8" s="37">
        <f>IF(ISERROR(TER_handel_gas_kWh/1000),0,TER_handel_gas_kWh/1000)*0.902</f>
        <v>500.75882999999999</v>
      </c>
      <c r="E8" s="33">
        <f>$C$28*'E Balans VL '!I13/100/3.6*1000000</f>
        <v>8.6709541780511188</v>
      </c>
      <c r="F8" s="33">
        <f>$C$28*('E Balans VL '!L13+'E Balans VL '!N13)/100/3.6*1000000</f>
        <v>260.41168907356302</v>
      </c>
      <c r="G8" s="34"/>
      <c r="H8" s="33"/>
      <c r="I8" s="33"/>
      <c r="J8" s="33">
        <f>$C$28*('E Balans VL '!D13+'E Balans VL '!E13)/100/3.6*1000000</f>
        <v>0</v>
      </c>
      <c r="K8" s="33"/>
      <c r="L8" s="33"/>
      <c r="M8" s="33"/>
      <c r="N8" s="33">
        <f>$C$28*'E Balans VL '!Y13/100/3.6*1000000</f>
        <v>0.78994767624406914</v>
      </c>
      <c r="O8" s="33"/>
      <c r="P8" s="33"/>
      <c r="R8" s="32"/>
    </row>
    <row r="9" spans="1:18">
      <c r="A9" s="32" t="s">
        <v>51</v>
      </c>
      <c r="B9" s="37">
        <f t="shared" si="0"/>
        <v>177.19900000000001</v>
      </c>
      <c r="C9" s="33"/>
      <c r="D9" s="37">
        <f>IF(ISERROR(TER_gezond_gas_kWh/1000),0,TER_gezond_gas_kWh/1000)*0.902</f>
        <v>0</v>
      </c>
      <c r="E9" s="33">
        <f>$C$29*'E Balans VL '!I10/100/3.6*1000000</f>
        <v>7.3447723533950598E-2</v>
      </c>
      <c r="F9" s="33">
        <f>$C$29*('E Balans VL '!L10+'E Balans VL '!N10)/100/3.6*1000000</f>
        <v>43.641572327339887</v>
      </c>
      <c r="G9" s="34"/>
      <c r="H9" s="33"/>
      <c r="I9" s="33"/>
      <c r="J9" s="33">
        <f>$C$29*('E Balans VL '!D10+'E Balans VL '!E10)/100/3.6*1000000</f>
        <v>0</v>
      </c>
      <c r="K9" s="33"/>
      <c r="L9" s="33"/>
      <c r="M9" s="33"/>
      <c r="N9" s="33">
        <f>$C$29*'E Balans VL '!Y10/100/3.6*1000000</f>
        <v>1.5314379496957571</v>
      </c>
      <c r="O9" s="33"/>
      <c r="P9" s="33"/>
      <c r="R9" s="32"/>
    </row>
    <row r="10" spans="1:18">
      <c r="A10" s="32" t="s">
        <v>50</v>
      </c>
      <c r="B10" s="37">
        <f t="shared" si="0"/>
        <v>1043.614</v>
      </c>
      <c r="C10" s="33"/>
      <c r="D10" s="37">
        <f>IF(ISERROR(TER_ander_gas_kWh/1000),0,TER_ander_gas_kWh/1000)*0.902</f>
        <v>0</v>
      </c>
      <c r="E10" s="33">
        <f>$C$30*'E Balans VL '!I14/100/3.6*1000000</f>
        <v>6.3618966927724783</v>
      </c>
      <c r="F10" s="33">
        <f>$C$30*('E Balans VL '!L14+'E Balans VL '!N14)/100/3.6*1000000</f>
        <v>276.67636729014669</v>
      </c>
      <c r="G10" s="34"/>
      <c r="H10" s="33"/>
      <c r="I10" s="33"/>
      <c r="J10" s="33">
        <f>$C$30*('E Balans VL '!D14+'E Balans VL '!E14)/100/3.6*1000000</f>
        <v>0</v>
      </c>
      <c r="K10" s="33"/>
      <c r="L10" s="33"/>
      <c r="M10" s="33"/>
      <c r="N10" s="33">
        <f>$C$30*'E Balans VL '!Y14/100/3.6*1000000</f>
        <v>240.53047616129683</v>
      </c>
      <c r="O10" s="33"/>
      <c r="P10" s="33"/>
      <c r="R10" s="32"/>
    </row>
    <row r="11" spans="1:18">
      <c r="A11" s="32" t="s">
        <v>55</v>
      </c>
      <c r="B11" s="37">
        <f t="shared" si="0"/>
        <v>40.076999999999998</v>
      </c>
      <c r="C11" s="33"/>
      <c r="D11" s="37">
        <f>IF(ISERROR(TER_onderwijs_gas_kWh/1000),0,TER_onderwijs_gas_kWh/1000)*0.902</f>
        <v>0</v>
      </c>
      <c r="E11" s="33">
        <f>$C$31*'E Balans VL '!I11/100/3.6*1000000</f>
        <v>3.0540760831435986E-2</v>
      </c>
      <c r="F11" s="33">
        <f>$C$31*('E Balans VL '!L11+'E Balans VL '!N11)/100/3.6*1000000</f>
        <v>29.001913510983723</v>
      </c>
      <c r="G11" s="34"/>
      <c r="H11" s="33"/>
      <c r="I11" s="33"/>
      <c r="J11" s="33">
        <f>$C$31*('E Balans VL '!D11+'E Balans VL '!E11)/100/3.6*1000000</f>
        <v>0</v>
      </c>
      <c r="K11" s="33"/>
      <c r="L11" s="33"/>
      <c r="M11" s="33"/>
      <c r="N11" s="33">
        <f>$C$31*'E Balans VL '!Y11/100/3.6*1000000</f>
        <v>0.11811649722846584</v>
      </c>
      <c r="O11" s="33"/>
      <c r="P11" s="33"/>
      <c r="R11" s="32"/>
    </row>
    <row r="12" spans="1:18">
      <c r="A12" s="32" t="s">
        <v>260</v>
      </c>
      <c r="B12" s="37">
        <f t="shared" si="0"/>
        <v>0</v>
      </c>
      <c r="C12" s="33"/>
      <c r="D12" s="37">
        <f>IF(ISERROR(TER_rest_gas_kWh/1000),0,TER_rest_gas_kWh/1000)*0.902</f>
        <v>153.06488999999999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4542.8</v>
      </c>
      <c r="C16" s="21">
        <f ca="1">C5+C13+C14</f>
        <v>0</v>
      </c>
      <c r="D16" s="21">
        <f t="shared" ref="D16:N16" ca="1" si="1">MAX((D5+D13+D14),0)</f>
        <v>2646.3101499999998</v>
      </c>
      <c r="E16" s="21">
        <f t="shared" si="1"/>
        <v>81.026417635887114</v>
      </c>
      <c r="F16" s="21">
        <f t="shared" ca="1" si="1"/>
        <v>861.94273190546539</v>
      </c>
      <c r="G16" s="21">
        <f t="shared" si="1"/>
        <v>0</v>
      </c>
      <c r="H16" s="21">
        <f t="shared" si="1"/>
        <v>0</v>
      </c>
      <c r="I16" s="21">
        <f t="shared" si="1"/>
        <v>0</v>
      </c>
      <c r="J16" s="21">
        <f t="shared" si="1"/>
        <v>0</v>
      </c>
      <c r="K16" s="21">
        <f t="shared" si="1"/>
        <v>0</v>
      </c>
      <c r="L16" s="21">
        <f t="shared" ca="1" si="1"/>
        <v>0</v>
      </c>
      <c r="M16" s="21">
        <f t="shared" si="1"/>
        <v>0</v>
      </c>
      <c r="N16" s="21">
        <f t="shared" ca="1" si="1"/>
        <v>251.62558131077986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0.21208061353954213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963.43981118743204</v>
      </c>
      <c r="C20" s="23">
        <f t="shared" ref="C20:P20" ca="1" si="2">C16*C18</f>
        <v>0</v>
      </c>
      <c r="D20" s="23">
        <f t="shared" ca="1" si="2"/>
        <v>534.55465030000005</v>
      </c>
      <c r="E20" s="23">
        <f t="shared" si="2"/>
        <v>18.392996803346374</v>
      </c>
      <c r="F20" s="23">
        <f t="shared" ca="1" si="2"/>
        <v>230.13870941875928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1119.787</v>
      </c>
      <c r="C26" s="39">
        <f>IF(ISERROR(B26*3.6/1000000/'E Balans VL '!Z12*100),0,B26*3.6/1000000/'E Balans VL '!Z12*100)</f>
        <v>2.3564060388043408E-2</v>
      </c>
      <c r="D26" s="238" t="s">
        <v>719</v>
      </c>
      <c r="F26" s="6"/>
    </row>
    <row r="27" spans="1:18">
      <c r="A27" s="232" t="s">
        <v>53</v>
      </c>
      <c r="B27" s="33">
        <f>IF(ISERROR(TER_horeca_ele_kWh/1000),0,TER_horeca_ele_kWh/1000)</f>
        <v>473.16199999999998</v>
      </c>
      <c r="C27" s="39">
        <f>IF(ISERROR(B27*3.6/1000000/'E Balans VL '!Z9*100),0,B27*3.6/1000000/'E Balans VL '!Z9*100)</f>
        <v>4.006129696709268E-2</v>
      </c>
      <c r="D27" s="238" t="s">
        <v>719</v>
      </c>
      <c r="F27" s="6"/>
    </row>
    <row r="28" spans="1:18">
      <c r="A28" s="172" t="s">
        <v>52</v>
      </c>
      <c r="B28" s="33">
        <f>IF(ISERROR(TER_handel_ele_kWh/1000),0,TER_handel_ele_kWh/1000)</f>
        <v>1688.961</v>
      </c>
      <c r="C28" s="39">
        <f>IF(ISERROR(B28*3.6/1000000/'E Balans VL '!Z13*100),0,B28*3.6/1000000/'E Balans VL '!Z13*100)</f>
        <v>4.6758651737084683E-2</v>
      </c>
      <c r="D28" s="238" t="s">
        <v>719</v>
      </c>
      <c r="F28" s="6"/>
    </row>
    <row r="29" spans="1:18">
      <c r="A29" s="232" t="s">
        <v>51</v>
      </c>
      <c r="B29" s="33">
        <f>IF(ISERROR(TER_gezond_ele_kWh/1000),0,TER_gezond_ele_kWh/1000)</f>
        <v>177.19900000000001</v>
      </c>
      <c r="C29" s="39">
        <f>IF(ISERROR(B29*3.6/1000000/'E Balans VL '!Z10*100),0,B29*3.6/1000000/'E Balans VL '!Z10*100)</f>
        <v>2.3033905520046836E-2</v>
      </c>
      <c r="D29" s="238" t="s">
        <v>719</v>
      </c>
      <c r="F29" s="6"/>
    </row>
    <row r="30" spans="1:18">
      <c r="A30" s="232" t="s">
        <v>50</v>
      </c>
      <c r="B30" s="33">
        <f>IF(ISERROR(TER_ander_ele_kWh/1000),0,TER_ander_ele_kWh/1000)</f>
        <v>1043.614</v>
      </c>
      <c r="C30" s="39">
        <f>IF(ISERROR(B30*3.6/1000000/'E Balans VL '!Z14*100),0,B30*3.6/1000000/'E Balans VL '!Z14*100)</f>
        <v>8.0889655671493338E-2</v>
      </c>
      <c r="D30" s="238" t="s">
        <v>719</v>
      </c>
      <c r="F30" s="6"/>
    </row>
    <row r="31" spans="1:18">
      <c r="A31" s="232" t="s">
        <v>55</v>
      </c>
      <c r="B31" s="33">
        <f>IF(ISERROR(TER_onderwijs_ele_kWh/1000),0,TER_onderwijs_ele_kWh/1000)</f>
        <v>40.076999999999998</v>
      </c>
      <c r="C31" s="39">
        <f>IF(ISERROR(B31*3.6/1000000/'E Balans VL '!Z11*100),0,B31*3.6/1000000/'E Balans VL '!Z11*100)</f>
        <v>7.6674129976284219E-3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455.36900000000003</v>
      </c>
      <c r="C5" s="17">
        <f>IF(ISERROR('Eigen informatie GS &amp; warmtenet'!B59),0,'Eigen informatie GS &amp; warmtenet'!B59)</f>
        <v>0</v>
      </c>
      <c r="D5" s="30">
        <f>SUM(D6:D15)</f>
        <v>168.08409200000003</v>
      </c>
      <c r="E5" s="17">
        <f>SUM(E6:E15)</f>
        <v>5.7800677824927904</v>
      </c>
      <c r="F5" s="17">
        <f>SUM(F6:F15)</f>
        <v>213.1587364982777</v>
      </c>
      <c r="G5" s="18"/>
      <c r="H5" s="17"/>
      <c r="I5" s="17"/>
      <c r="J5" s="17">
        <f>SUM(J6:J15)</f>
        <v>2.0797666297819575</v>
      </c>
      <c r="K5" s="17"/>
      <c r="L5" s="17"/>
      <c r="M5" s="17"/>
      <c r="N5" s="17">
        <f>SUM(N6:N15)</f>
        <v>19.652149618242738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67.644999999999996</v>
      </c>
      <c r="C8" s="33"/>
      <c r="D8" s="37">
        <f>IF( ISERROR(IND_metaal_Gas_kWH/1000),0,IND_metaal_Gas_kWH/1000)*0.902</f>
        <v>0</v>
      </c>
      <c r="E8" s="33">
        <f>C30*'E Balans VL '!I18/100/3.6*1000000</f>
        <v>0.4753264898077606</v>
      </c>
      <c r="F8" s="33">
        <f>C30*'E Balans VL '!L18/100/3.6*1000000+C30*'E Balans VL '!N18/100/3.6*1000000</f>
        <v>7.4270252377957053</v>
      </c>
      <c r="G8" s="34"/>
      <c r="H8" s="33"/>
      <c r="I8" s="33"/>
      <c r="J8" s="40">
        <f>C30*'E Balans VL '!D18/100/3.6*1000000+C30*'E Balans VL '!E18/100/3.6*1000000</f>
        <v>1.3956621514764447</v>
      </c>
      <c r="K8" s="33"/>
      <c r="L8" s="33"/>
      <c r="M8" s="33"/>
      <c r="N8" s="33">
        <f>C30*'E Balans VL '!Y18/100/3.6*1000000</f>
        <v>0.25353833178767443</v>
      </c>
      <c r="O8" s="33"/>
      <c r="P8" s="33"/>
      <c r="R8" s="32"/>
    </row>
    <row r="9" spans="1:18">
      <c r="A9" s="6" t="s">
        <v>33</v>
      </c>
      <c r="B9" s="37">
        <f t="shared" si="0"/>
        <v>230.41499999999999</v>
      </c>
      <c r="C9" s="33"/>
      <c r="D9" s="37">
        <f>IF( ISERROR(IND_andere_gas_kWh/1000),0,IND_andere_gas_kWh/1000)*0.902</f>
        <v>142.93723400000002</v>
      </c>
      <c r="E9" s="33">
        <f>C31*'E Balans VL '!I19/100/3.6*1000000</f>
        <v>3.8701021923872965</v>
      </c>
      <c r="F9" s="33">
        <f>C31*'E Balans VL '!L19/100/3.6*1000000+C31*'E Balans VL '!N19/100/3.6*1000000</f>
        <v>180.12532354149684</v>
      </c>
      <c r="G9" s="34"/>
      <c r="H9" s="33"/>
      <c r="I9" s="33"/>
      <c r="J9" s="40">
        <f>C31*'E Balans VL '!D19/100/3.6*1000000+C31*'E Balans VL '!E19/100/3.6*1000000</f>
        <v>2.0781399038105108E-2</v>
      </c>
      <c r="K9" s="33"/>
      <c r="L9" s="33"/>
      <c r="M9" s="33"/>
      <c r="N9" s="33">
        <f>C31*'E Balans VL '!Y19/100/3.6*1000000</f>
        <v>17.077448183229112</v>
      </c>
      <c r="O9" s="33"/>
      <c r="P9" s="33"/>
      <c r="R9" s="32"/>
    </row>
    <row r="10" spans="1:18">
      <c r="A10" s="6" t="s">
        <v>41</v>
      </c>
      <c r="B10" s="37">
        <f t="shared" si="0"/>
        <v>151.411</v>
      </c>
      <c r="C10" s="33"/>
      <c r="D10" s="37">
        <f>IF( ISERROR(IND_voed_gas_kWh/1000),0,IND_voed_gas_kWh/1000)*0.902</f>
        <v>0</v>
      </c>
      <c r="E10" s="33">
        <f>C32*'E Balans VL '!I20/100/3.6*1000000</f>
        <v>1.3814110451619752</v>
      </c>
      <c r="F10" s="33">
        <f>C32*'E Balans VL '!L20/100/3.6*1000000+C32*'E Balans VL '!N20/100/3.6*1000000</f>
        <v>24.427330158927894</v>
      </c>
      <c r="G10" s="34"/>
      <c r="H10" s="33"/>
      <c r="I10" s="33"/>
      <c r="J10" s="40">
        <f>C32*'E Balans VL '!D20/100/3.6*1000000+C32*'E Balans VL '!E20/100/3.6*1000000</f>
        <v>0.62360976785676558</v>
      </c>
      <c r="K10" s="33"/>
      <c r="L10" s="33"/>
      <c r="M10" s="33"/>
      <c r="N10" s="33">
        <f>C32*'E Balans VL '!Y20/100/3.6*1000000</f>
        <v>2.2150235390756667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5.8979999999999997</v>
      </c>
      <c r="C15" s="33"/>
      <c r="D15" s="37">
        <f>IF( ISERROR(IND_rest_gas_kWh/1000),0,IND_rest_gas_kWh/1000)*0.902</f>
        <v>25.146858000000002</v>
      </c>
      <c r="E15" s="33">
        <f>C37*'E Balans VL '!I15/100/3.6*1000000</f>
        <v>5.3228055135758359E-2</v>
      </c>
      <c r="F15" s="33">
        <f>C37*'E Balans VL '!L15/100/3.6*1000000+C37*'E Balans VL '!N15/100/3.6*1000000</f>
        <v>1.1790575600572595</v>
      </c>
      <c r="G15" s="34"/>
      <c r="H15" s="33"/>
      <c r="I15" s="33"/>
      <c r="J15" s="40">
        <f>C37*'E Balans VL '!D15/100/3.6*1000000+C37*'E Balans VL '!E15/100/3.6*1000000</f>
        <v>3.9713311410641876E-2</v>
      </c>
      <c r="K15" s="33"/>
      <c r="L15" s="33"/>
      <c r="M15" s="33"/>
      <c r="N15" s="33">
        <f>C37*'E Balans VL '!Y15/100/3.6*1000000</f>
        <v>0.10613956415028801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455.36900000000003</v>
      </c>
      <c r="C18" s="21">
        <f>C5+C16</f>
        <v>0</v>
      </c>
      <c r="D18" s="21">
        <f>MAX((D5+D16),0)</f>
        <v>168.08409200000003</v>
      </c>
      <c r="E18" s="21">
        <f>MAX((E5+E16),0)</f>
        <v>5.7800677824927904</v>
      </c>
      <c r="F18" s="21">
        <f>MAX((F5+F16),0)</f>
        <v>213.1587364982777</v>
      </c>
      <c r="G18" s="21"/>
      <c r="H18" s="21"/>
      <c r="I18" s="21"/>
      <c r="J18" s="21">
        <f>MAX((J5+J16),0)</f>
        <v>2.0797666297819575</v>
      </c>
      <c r="K18" s="21"/>
      <c r="L18" s="21">
        <f>MAX((L5+L16),0)</f>
        <v>0</v>
      </c>
      <c r="M18" s="21"/>
      <c r="N18" s="21">
        <f>MAX((N5+N16),0)</f>
        <v>19.652149618242738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0.21208061353954213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96.574936906887771</v>
      </c>
      <c r="C22" s="23">
        <f ca="1">C18*C20</f>
        <v>0</v>
      </c>
      <c r="D22" s="23">
        <f>D18*D20</f>
        <v>33.952986584000008</v>
      </c>
      <c r="E22" s="23">
        <f>E18*E20</f>
        <v>1.3120753866258634</v>
      </c>
      <c r="F22" s="23">
        <f>F18*F20</f>
        <v>56.913382645040151</v>
      </c>
      <c r="G22" s="23"/>
      <c r="H22" s="23"/>
      <c r="I22" s="23"/>
      <c r="J22" s="23">
        <f>J18*J20</f>
        <v>0.73623738694281293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67.644999999999996</v>
      </c>
      <c r="C30" s="39">
        <f>IF(ISERROR(B30*3.6/1000000/'E Balans VL '!Z18*100),0,B30*3.6/1000000/'E Balans VL '!Z18*100)</f>
        <v>4.5031689574984955E-3</v>
      </c>
      <c r="D30" s="238" t="s">
        <v>719</v>
      </c>
    </row>
    <row r="31" spans="1:18">
      <c r="A31" s="6" t="s">
        <v>33</v>
      </c>
      <c r="B31" s="37">
        <f>IF( ISERROR(IND_ander_ele_kWh/1000),0,IND_ander_ele_kWh/1000)</f>
        <v>230.41499999999999</v>
      </c>
      <c r="C31" s="39">
        <f>IF(ISERROR(B31*3.6/1000000/'E Balans VL '!Z19*100),0,B31*3.6/1000000/'E Balans VL '!Z19*100)</f>
        <v>1.0213383827601145E-2</v>
      </c>
      <c r="D31" s="238" t="s">
        <v>719</v>
      </c>
    </row>
    <row r="32" spans="1:18">
      <c r="A32" s="172" t="s">
        <v>41</v>
      </c>
      <c r="B32" s="37">
        <f>IF( ISERROR(IND_voed_ele_kWh/1000),0,IND_voed_ele_kWh/1000)</f>
        <v>151.411</v>
      </c>
      <c r="C32" s="39">
        <f>IF(ISERROR(B32*3.6/1000000/'E Balans VL '!Z20*100),0,B32*3.6/1000000/'E Balans VL '!Z20*100)</f>
        <v>5.057561741944167E-3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5.8979999999999997</v>
      </c>
      <c r="C37" s="39">
        <f>IF(ISERROR(B37*3.6/1000000/'E Balans VL '!Z15*100),0,B37*3.6/1000000/'E Balans VL '!Z15*100)</f>
        <v>4.3871511336082153E-5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1618.008</v>
      </c>
      <c r="C5" s="17">
        <f>'Eigen informatie GS &amp; warmtenet'!B60</f>
        <v>0</v>
      </c>
      <c r="D5" s="30">
        <f>IF(ISERROR(SUM(LB_lb_gas_kWh,LB_rest_gas_kWh)/1000),0,SUM(LB_lb_gas_kWh,LB_rest_gas_kWh)/1000)*0.902</f>
        <v>1139.3531820000001</v>
      </c>
      <c r="E5" s="17">
        <f>B17*'E Balans VL '!I25/3.6*1000000/100</f>
        <v>16.944130060447485</v>
      </c>
      <c r="F5" s="17">
        <f>B17*('E Balans VL '!L25/3.6*1000000+'E Balans VL '!N25/3.6*1000000)/100</f>
        <v>6926.3036649755795</v>
      </c>
      <c r="G5" s="18"/>
      <c r="H5" s="17"/>
      <c r="I5" s="17"/>
      <c r="J5" s="17">
        <f>('E Balans VL '!D25+'E Balans VL '!E25)/3.6*1000000*landbouw!B17/100</f>
        <v>144.50261685311094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1618.008</v>
      </c>
      <c r="C8" s="21">
        <f>C5+C6</f>
        <v>0</v>
      </c>
      <c r="D8" s="21">
        <f>MAX((D5+D6),0)</f>
        <v>1139.3531820000001</v>
      </c>
      <c r="E8" s="21">
        <f>MAX((E5+E6),0)</f>
        <v>16.944130060447485</v>
      </c>
      <c r="F8" s="21">
        <f>MAX((F5+F6),0)</f>
        <v>6926.3036649755795</v>
      </c>
      <c r="G8" s="21"/>
      <c r="H8" s="21"/>
      <c r="I8" s="21"/>
      <c r="J8" s="21">
        <f>MAX((J5+J6),0)</f>
        <v>144.50261685311094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0.21208061353954213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343.14812935188752</v>
      </c>
      <c r="C12" s="23">
        <f ca="1">C8*C10</f>
        <v>0</v>
      </c>
      <c r="D12" s="23">
        <f>D8*D10</f>
        <v>230.14934276400004</v>
      </c>
      <c r="E12" s="23">
        <f>E8*E10</f>
        <v>3.846317523721579</v>
      </c>
      <c r="F12" s="23">
        <f>F8*F10</f>
        <v>1849.3230785484798</v>
      </c>
      <c r="G12" s="23"/>
      <c r="H12" s="23"/>
      <c r="I12" s="23"/>
      <c r="J12" s="23">
        <f>J8*J10</f>
        <v>51.153926366001272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0.24904266452626991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283.74693527846608</v>
      </c>
      <c r="C26" s="248">
        <f>B26*'GWP N2O_CH4'!B5</f>
        <v>5958.6856408477879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76.991209506047795</v>
      </c>
      <c r="C27" s="248">
        <f>B27*'GWP N2O_CH4'!B5</f>
        <v>1616.8153996270037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4.7183357579021052</v>
      </c>
      <c r="C28" s="248">
        <f>B28*'GWP N2O_CH4'!B4</f>
        <v>1462.6840849496525</v>
      </c>
      <c r="D28" s="50"/>
    </row>
    <row r="29" spans="1:4">
      <c r="A29" s="41" t="s">
        <v>277</v>
      </c>
      <c r="B29" s="248">
        <f>B34*'ha_N2O bodem landbouw'!B4</f>
        <v>35.412437471823573</v>
      </c>
      <c r="C29" s="248">
        <f>B29*'GWP N2O_CH4'!B4</f>
        <v>10977.855616265308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5.8523703884332421E-3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1.8908932650115891E-6</v>
      </c>
      <c r="C5" s="446" t="s">
        <v>211</v>
      </c>
      <c r="D5" s="431">
        <f>SUM(D6:D11)</f>
        <v>9.1191311326947351E-6</v>
      </c>
      <c r="E5" s="431">
        <f>SUM(E6:E11)</f>
        <v>9.2901515972551021E-4</v>
      </c>
      <c r="F5" s="444" t="s">
        <v>211</v>
      </c>
      <c r="G5" s="431">
        <f>SUM(G6:G11)</f>
        <v>0.15701276840060188</v>
      </c>
      <c r="H5" s="431">
        <f>SUM(H6:H11)</f>
        <v>3.0405916841572275E-2</v>
      </c>
      <c r="I5" s="446" t="s">
        <v>211</v>
      </c>
      <c r="J5" s="446" t="s">
        <v>211</v>
      </c>
      <c r="K5" s="446" t="s">
        <v>211</v>
      </c>
      <c r="L5" s="446" t="s">
        <v>211</v>
      </c>
      <c r="M5" s="431">
        <f>SUM(M6:M11)</f>
        <v>8.1869051118906057E-3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1.6081806937643264E-6</v>
      </c>
      <c r="C6" s="432"/>
      <c r="D6" s="432">
        <f>vkm_2011_GW_PW*SUMIFS(TableVerdeelsleutelVkm[CNG],TableVerdeelsleutelVkm[Voertuigtype],"Lichte voertuigen")*SUMIFS(TableECFTransport[EnergieConsumptieFactor (PJ per km)],TableECFTransport[Index],CONCATENATE($A6,"_CNG_CNG"))</f>
        <v>6.9326800361005637E-6</v>
      </c>
      <c r="E6" s="434">
        <f>vkm_2011_GW_PW*SUMIFS(TableVerdeelsleutelVkm[LPG],TableVerdeelsleutelVkm[Voertuigtype],"Lichte voertuigen")*SUMIFS(TableECFTransport[EnergieConsumptieFactor (PJ per km)],TableECFTransport[Index],CONCATENATE($A6,"_LPG_LPG"))</f>
        <v>7.213028197243554E-4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8.8722227003497509E-2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2.3358723777529865E-2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4.9119245998945687E-3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4.0281972637089734E-2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1.3812130203890287E-5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1.7401057425937829E-3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2.8271257124726276E-7</v>
      </c>
      <c r="C8" s="432"/>
      <c r="D8" s="434">
        <f>vkm_2011_NGW_PW*SUMIFS(TableVerdeelsleutelVkm[CNG],TableVerdeelsleutelVkm[Voertuigtype],"Lichte voertuigen")*SUMIFS(TableECFTransport[EnergieConsumptieFactor (PJ per km)],TableECFTransport[Index],CONCATENATE($A8,"_CNG_CNG"))</f>
        <v>2.186451096594171E-6</v>
      </c>
      <c r="E8" s="434">
        <f>vkm_2011_NGW_PW*SUMIFS(TableVerdeelsleutelVkm[LPG],TableVerdeelsleutelVkm[Voertuigtype],"Lichte voertuigen")*SUMIFS(TableECFTransport[EnergieConsumptieFactor (PJ per km)],TableECFTransport[Index],CONCATENATE($A8,"_LPG_LPG"))</f>
        <v>2.0771234000115479E-4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2.4232823119807911E-2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7.0322562384052111E-3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1.3717774953025709E-3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3.7757456402067462E-3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1.124695433305913E-6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1.6309727409968236E-4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0.52524812916988584</v>
      </c>
      <c r="C14" s="21"/>
      <c r="D14" s="21">
        <f t="shared" ref="D14:M14" si="0">((D5)*10^9/3600)+D12</f>
        <v>2.5330919813040929</v>
      </c>
      <c r="E14" s="21">
        <f t="shared" si="0"/>
        <v>258.05976659041949</v>
      </c>
      <c r="F14" s="21"/>
      <c r="G14" s="21">
        <f t="shared" si="0"/>
        <v>43614.657889056085</v>
      </c>
      <c r="H14" s="21">
        <f t="shared" si="0"/>
        <v>8446.088011547854</v>
      </c>
      <c r="I14" s="21"/>
      <c r="J14" s="21"/>
      <c r="K14" s="21"/>
      <c r="L14" s="21"/>
      <c r="M14" s="21">
        <f t="shared" si="0"/>
        <v>2274.1403088585016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0.21208061353954213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0.11139494549484606</v>
      </c>
      <c r="C18" s="23"/>
      <c r="D18" s="23">
        <f t="shared" ref="D18:M18" si="1">D14*D16</f>
        <v>0.51168458022342678</v>
      </c>
      <c r="E18" s="23">
        <f t="shared" si="1"/>
        <v>58.579567016025223</v>
      </c>
      <c r="F18" s="23"/>
      <c r="G18" s="23">
        <f t="shared" si="1"/>
        <v>11645.113656377975</v>
      </c>
      <c r="H18" s="23">
        <f t="shared" si="1"/>
        <v>2103.0759148754155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1.5701674469008383E-3</v>
      </c>
      <c r="H50" s="322">
        <f t="shared" si="2"/>
        <v>0</v>
      </c>
      <c r="I50" s="322">
        <f t="shared" si="2"/>
        <v>0</v>
      </c>
      <c r="J50" s="322">
        <f t="shared" si="2"/>
        <v>0</v>
      </c>
      <c r="K50" s="322">
        <f t="shared" si="2"/>
        <v>0</v>
      </c>
      <c r="L50" s="322">
        <f t="shared" si="2"/>
        <v>0</v>
      </c>
      <c r="M50" s="322">
        <f t="shared" si="2"/>
        <v>6.6929416705703725E-5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1.5701674469008383E-3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6.6929416705703725E-5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436.15762413912176</v>
      </c>
      <c r="H54" s="21">
        <f t="shared" si="3"/>
        <v>0</v>
      </c>
      <c r="I54" s="21">
        <f t="shared" si="3"/>
        <v>0</v>
      </c>
      <c r="J54" s="21">
        <f t="shared" si="3"/>
        <v>0</v>
      </c>
      <c r="K54" s="21">
        <f t="shared" si="3"/>
        <v>0</v>
      </c>
      <c r="L54" s="21">
        <f t="shared" si="3"/>
        <v>0</v>
      </c>
      <c r="M54" s="21">
        <f t="shared" si="3"/>
        <v>18.591504640473257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0.21208061353954213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116.45408564514551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4916.7039999999997</v>
      </c>
      <c r="D10" s="687">
        <f ca="1">tertiair!C16</f>
        <v>0</v>
      </c>
      <c r="E10" s="687">
        <f ca="1">tertiair!D16</f>
        <v>2646.3101499999998</v>
      </c>
      <c r="F10" s="687">
        <f>tertiair!E16</f>
        <v>81.026417635887114</v>
      </c>
      <c r="G10" s="687">
        <f ca="1">tertiair!F16</f>
        <v>861.94273190546539</v>
      </c>
      <c r="H10" s="687">
        <f>tertiair!G16</f>
        <v>0</v>
      </c>
      <c r="I10" s="687">
        <f>tertiair!H16</f>
        <v>0</v>
      </c>
      <c r="J10" s="687">
        <f>tertiair!I16</f>
        <v>0</v>
      </c>
      <c r="K10" s="687">
        <f>tertiair!J16</f>
        <v>0</v>
      </c>
      <c r="L10" s="687">
        <f>tertiair!K16</f>
        <v>0</v>
      </c>
      <c r="M10" s="687">
        <f ca="1">tertiair!L16</f>
        <v>0</v>
      </c>
      <c r="N10" s="687">
        <f>tertiair!M16</f>
        <v>0</v>
      </c>
      <c r="O10" s="687">
        <f ca="1">tertiair!N16</f>
        <v>251.62558131077986</v>
      </c>
      <c r="P10" s="687">
        <f>tertiair!O16</f>
        <v>0</v>
      </c>
      <c r="Q10" s="688">
        <f>tertiair!P16</f>
        <v>0</v>
      </c>
      <c r="R10" s="690">
        <f ca="1">SUM(C10:Q10)</f>
        <v>8757.6088808521308</v>
      </c>
      <c r="S10" s="67"/>
    </row>
    <row r="11" spans="1:19" s="456" customFormat="1">
      <c r="A11" s="802" t="s">
        <v>225</v>
      </c>
      <c r="B11" s="807"/>
      <c r="C11" s="687">
        <f>huishoudens!B8</f>
        <v>13418.625044952059</v>
      </c>
      <c r="D11" s="687">
        <f>huishoudens!C8</f>
        <v>0</v>
      </c>
      <c r="E11" s="687">
        <f>huishoudens!D8</f>
        <v>12220.033518</v>
      </c>
      <c r="F11" s="687">
        <f>huishoudens!E8</f>
        <v>1622.5943282096337</v>
      </c>
      <c r="G11" s="687">
        <f>huishoudens!F8</f>
        <v>36738.752962656486</v>
      </c>
      <c r="H11" s="687">
        <f>huishoudens!G8</f>
        <v>0</v>
      </c>
      <c r="I11" s="687">
        <f>huishoudens!H8</f>
        <v>0</v>
      </c>
      <c r="J11" s="687">
        <f>huishoudens!I8</f>
        <v>0</v>
      </c>
      <c r="K11" s="687">
        <f>huishoudens!J8</f>
        <v>1744.1117401382978</v>
      </c>
      <c r="L11" s="687">
        <f>huishoudens!K8</f>
        <v>0</v>
      </c>
      <c r="M11" s="687">
        <f>huishoudens!L8</f>
        <v>0</v>
      </c>
      <c r="N11" s="687">
        <f>huishoudens!M8</f>
        <v>0</v>
      </c>
      <c r="O11" s="687">
        <f>huishoudens!N8</f>
        <v>6327.6684045845041</v>
      </c>
      <c r="P11" s="687">
        <f>huishoudens!O8</f>
        <v>26.576666666666668</v>
      </c>
      <c r="Q11" s="688">
        <f>huishoudens!P8</f>
        <v>171.6</v>
      </c>
      <c r="R11" s="690">
        <f>SUM(C11:Q11)</f>
        <v>72269.96266520764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455.36900000000003</v>
      </c>
      <c r="D13" s="687">
        <f>industrie!C18</f>
        <v>0</v>
      </c>
      <c r="E13" s="687">
        <f>industrie!D18</f>
        <v>168.08409200000003</v>
      </c>
      <c r="F13" s="687">
        <f>industrie!E18</f>
        <v>5.7800677824927904</v>
      </c>
      <c r="G13" s="687">
        <f>industrie!F18</f>
        <v>213.1587364982777</v>
      </c>
      <c r="H13" s="687">
        <f>industrie!G18</f>
        <v>0</v>
      </c>
      <c r="I13" s="687">
        <f>industrie!H18</f>
        <v>0</v>
      </c>
      <c r="J13" s="687">
        <f>industrie!I18</f>
        <v>0</v>
      </c>
      <c r="K13" s="687">
        <f>industrie!J18</f>
        <v>2.0797666297819575</v>
      </c>
      <c r="L13" s="687">
        <f>industrie!K18</f>
        <v>0</v>
      </c>
      <c r="M13" s="687">
        <f>industrie!L18</f>
        <v>0</v>
      </c>
      <c r="N13" s="687">
        <f>industrie!M18</f>
        <v>0</v>
      </c>
      <c r="O13" s="687">
        <f>industrie!N18</f>
        <v>19.652149618242738</v>
      </c>
      <c r="P13" s="687">
        <f>industrie!O18</f>
        <v>0</v>
      </c>
      <c r="Q13" s="688">
        <f>industrie!P18</f>
        <v>0</v>
      </c>
      <c r="R13" s="690">
        <f>SUM(C13:Q13)</f>
        <v>864.12381252879527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18790.698044952056</v>
      </c>
      <c r="D16" s="720">
        <f t="shared" ref="D16:R16" ca="1" si="0">SUM(D9:D15)</f>
        <v>0</v>
      </c>
      <c r="E16" s="720">
        <f t="shared" ca="1" si="0"/>
        <v>15034.427759999999</v>
      </c>
      <c r="F16" s="720">
        <f t="shared" si="0"/>
        <v>1709.4008136280136</v>
      </c>
      <c r="G16" s="720">
        <f t="shared" ca="1" si="0"/>
        <v>37813.85443106023</v>
      </c>
      <c r="H16" s="720">
        <f t="shared" si="0"/>
        <v>0</v>
      </c>
      <c r="I16" s="720">
        <f t="shared" si="0"/>
        <v>0</v>
      </c>
      <c r="J16" s="720">
        <f t="shared" si="0"/>
        <v>0</v>
      </c>
      <c r="K16" s="720">
        <f t="shared" si="0"/>
        <v>1746.1915067680798</v>
      </c>
      <c r="L16" s="720">
        <f t="shared" si="0"/>
        <v>0</v>
      </c>
      <c r="M16" s="720">
        <f t="shared" ca="1" si="0"/>
        <v>0</v>
      </c>
      <c r="N16" s="720">
        <f t="shared" si="0"/>
        <v>0</v>
      </c>
      <c r="O16" s="720">
        <f t="shared" ca="1" si="0"/>
        <v>6598.9461355135272</v>
      </c>
      <c r="P16" s="720">
        <f t="shared" si="0"/>
        <v>26.576666666666668</v>
      </c>
      <c r="Q16" s="720">
        <f t="shared" si="0"/>
        <v>171.6</v>
      </c>
      <c r="R16" s="720">
        <f t="shared" ca="1" si="0"/>
        <v>81891.695358588564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436.15762413912176</v>
      </c>
      <c r="I19" s="687">
        <f>transport!H54</f>
        <v>0</v>
      </c>
      <c r="J19" s="687">
        <f>transport!I54</f>
        <v>0</v>
      </c>
      <c r="K19" s="687">
        <f>transport!J54</f>
        <v>0</v>
      </c>
      <c r="L19" s="687">
        <f>transport!K54</f>
        <v>0</v>
      </c>
      <c r="M19" s="687">
        <f>transport!L54</f>
        <v>0</v>
      </c>
      <c r="N19" s="687">
        <f>transport!M54</f>
        <v>18.591504640473257</v>
      </c>
      <c r="O19" s="687">
        <f>transport!N54</f>
        <v>0</v>
      </c>
      <c r="P19" s="687">
        <f>transport!O54</f>
        <v>0</v>
      </c>
      <c r="Q19" s="688">
        <f>transport!P54</f>
        <v>0</v>
      </c>
      <c r="R19" s="690">
        <f>SUM(C19:Q19)</f>
        <v>454.74912877959503</v>
      </c>
      <c r="S19" s="67"/>
    </row>
    <row r="20" spans="1:19" s="456" customFormat="1">
      <c r="A20" s="802" t="s">
        <v>307</v>
      </c>
      <c r="B20" s="807"/>
      <c r="C20" s="687">
        <f>transport!B14</f>
        <v>0.52524812916988584</v>
      </c>
      <c r="D20" s="687">
        <f>transport!C14</f>
        <v>0</v>
      </c>
      <c r="E20" s="687">
        <f>transport!D14</f>
        <v>2.5330919813040929</v>
      </c>
      <c r="F20" s="687">
        <f>transport!E14</f>
        <v>258.05976659041949</v>
      </c>
      <c r="G20" s="687">
        <f>transport!F14</f>
        <v>0</v>
      </c>
      <c r="H20" s="687">
        <f>transport!G14</f>
        <v>43614.657889056085</v>
      </c>
      <c r="I20" s="687">
        <f>transport!H14</f>
        <v>8446.088011547854</v>
      </c>
      <c r="J20" s="687">
        <f>transport!I14</f>
        <v>0</v>
      </c>
      <c r="K20" s="687">
        <f>transport!J14</f>
        <v>0</v>
      </c>
      <c r="L20" s="687">
        <f>transport!K14</f>
        <v>0</v>
      </c>
      <c r="M20" s="687">
        <f>transport!L14</f>
        <v>0</v>
      </c>
      <c r="N20" s="687">
        <f>transport!M14</f>
        <v>2274.1403088585016</v>
      </c>
      <c r="O20" s="687">
        <f>transport!N14</f>
        <v>0</v>
      </c>
      <c r="P20" s="687">
        <f>transport!O14</f>
        <v>0</v>
      </c>
      <c r="Q20" s="688">
        <f>transport!P14</f>
        <v>0</v>
      </c>
      <c r="R20" s="690">
        <f>SUM(C20:Q20)</f>
        <v>54596.004316163329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0.52524812916988584</v>
      </c>
      <c r="D22" s="805">
        <f t="shared" ref="D22:R22" si="1">SUM(D18:D21)</f>
        <v>0</v>
      </c>
      <c r="E22" s="805">
        <f t="shared" si="1"/>
        <v>2.5330919813040929</v>
      </c>
      <c r="F22" s="805">
        <f t="shared" si="1"/>
        <v>258.05976659041949</v>
      </c>
      <c r="G22" s="805">
        <f t="shared" si="1"/>
        <v>0</v>
      </c>
      <c r="H22" s="805">
        <f t="shared" si="1"/>
        <v>44050.815513195208</v>
      </c>
      <c r="I22" s="805">
        <f t="shared" si="1"/>
        <v>8446.088011547854</v>
      </c>
      <c r="J22" s="805">
        <f t="shared" si="1"/>
        <v>0</v>
      </c>
      <c r="K22" s="805">
        <f t="shared" si="1"/>
        <v>0</v>
      </c>
      <c r="L22" s="805">
        <f t="shared" si="1"/>
        <v>0</v>
      </c>
      <c r="M22" s="805">
        <f t="shared" si="1"/>
        <v>0</v>
      </c>
      <c r="N22" s="805">
        <f t="shared" si="1"/>
        <v>2292.731813498975</v>
      </c>
      <c r="O22" s="805">
        <f t="shared" si="1"/>
        <v>0</v>
      </c>
      <c r="P22" s="805">
        <f t="shared" si="1"/>
        <v>0</v>
      </c>
      <c r="Q22" s="805">
        <f t="shared" si="1"/>
        <v>0</v>
      </c>
      <c r="R22" s="805">
        <f t="shared" si="1"/>
        <v>55050.753444942922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1618.008</v>
      </c>
      <c r="D24" s="687">
        <f>+landbouw!C8</f>
        <v>0</v>
      </c>
      <c r="E24" s="687">
        <f>+landbouw!D8</f>
        <v>1139.3531820000001</v>
      </c>
      <c r="F24" s="687">
        <f>+landbouw!E8</f>
        <v>16.944130060447485</v>
      </c>
      <c r="G24" s="687">
        <f>+landbouw!F8</f>
        <v>6926.3036649755795</v>
      </c>
      <c r="H24" s="687">
        <f>+landbouw!G8</f>
        <v>0</v>
      </c>
      <c r="I24" s="687">
        <f>+landbouw!H8</f>
        <v>0</v>
      </c>
      <c r="J24" s="687">
        <f>+landbouw!I8</f>
        <v>0</v>
      </c>
      <c r="K24" s="687">
        <f>+landbouw!J8</f>
        <v>144.50261685311094</v>
      </c>
      <c r="L24" s="687">
        <f>+landbouw!K8</f>
        <v>0</v>
      </c>
      <c r="M24" s="687">
        <f>+landbouw!L8</f>
        <v>0</v>
      </c>
      <c r="N24" s="687">
        <f>+landbouw!M8</f>
        <v>0</v>
      </c>
      <c r="O24" s="687">
        <f>+landbouw!N8</f>
        <v>0</v>
      </c>
      <c r="P24" s="687">
        <f>+landbouw!O8</f>
        <v>0</v>
      </c>
      <c r="Q24" s="688">
        <f>+landbouw!P8</f>
        <v>0</v>
      </c>
      <c r="R24" s="690">
        <f>SUM(C24:Q24)</f>
        <v>9845.111593889138</v>
      </c>
      <c r="S24" s="67"/>
    </row>
    <row r="25" spans="1:19" s="456" customFormat="1" ht="15" thickBot="1">
      <c r="A25" s="824" t="s">
        <v>925</v>
      </c>
      <c r="B25" s="988"/>
      <c r="C25" s="989">
        <f>IF(Onbekend_ele_kWh="---",0,Onbekend_ele_kWh)/1000+IF(REST_rest_ele_kWh="---",0,REST_rest_ele_kWh)/1000</f>
        <v>516.024</v>
      </c>
      <c r="D25" s="989"/>
      <c r="E25" s="989">
        <f>IF(onbekend_gas_kWh="---",0,onbekend_gas_kWh)/1000+IF(REST_rest_gas_kWh="---",0,REST_rest_gas_kWh)/1000</f>
        <v>320.48700000000002</v>
      </c>
      <c r="F25" s="989"/>
      <c r="G25" s="989"/>
      <c r="H25" s="989"/>
      <c r="I25" s="989"/>
      <c r="J25" s="989"/>
      <c r="K25" s="989"/>
      <c r="L25" s="989"/>
      <c r="M25" s="989"/>
      <c r="N25" s="989"/>
      <c r="O25" s="989"/>
      <c r="P25" s="989"/>
      <c r="Q25" s="990"/>
      <c r="R25" s="690">
        <f>SUM(C25:Q25)</f>
        <v>836.51099999999997</v>
      </c>
      <c r="S25" s="67"/>
    </row>
    <row r="26" spans="1:19" s="456" customFormat="1" ht="15.75" thickBot="1">
      <c r="A26" s="693" t="s">
        <v>926</v>
      </c>
      <c r="B26" s="810"/>
      <c r="C26" s="805">
        <f>SUM(C24:C25)</f>
        <v>2134.0320000000002</v>
      </c>
      <c r="D26" s="805">
        <f t="shared" ref="D26:R26" si="2">SUM(D24:D25)</f>
        <v>0</v>
      </c>
      <c r="E26" s="805">
        <f t="shared" si="2"/>
        <v>1459.8401820000001</v>
      </c>
      <c r="F26" s="805">
        <f t="shared" si="2"/>
        <v>16.944130060447485</v>
      </c>
      <c r="G26" s="805">
        <f t="shared" si="2"/>
        <v>6926.3036649755795</v>
      </c>
      <c r="H26" s="805">
        <f t="shared" si="2"/>
        <v>0</v>
      </c>
      <c r="I26" s="805">
        <f t="shared" si="2"/>
        <v>0</v>
      </c>
      <c r="J26" s="805">
        <f t="shared" si="2"/>
        <v>0</v>
      </c>
      <c r="K26" s="805">
        <f t="shared" si="2"/>
        <v>144.50261685311094</v>
      </c>
      <c r="L26" s="805">
        <f t="shared" si="2"/>
        <v>0</v>
      </c>
      <c r="M26" s="805">
        <f t="shared" si="2"/>
        <v>0</v>
      </c>
      <c r="N26" s="805">
        <f t="shared" si="2"/>
        <v>0</v>
      </c>
      <c r="O26" s="805">
        <f t="shared" si="2"/>
        <v>0</v>
      </c>
      <c r="P26" s="805">
        <f t="shared" si="2"/>
        <v>0</v>
      </c>
      <c r="Q26" s="805">
        <f t="shared" si="2"/>
        <v>0</v>
      </c>
      <c r="R26" s="805">
        <f t="shared" si="2"/>
        <v>10681.622593889138</v>
      </c>
      <c r="S26" s="67"/>
    </row>
    <row r="27" spans="1:19" s="456" customFormat="1" ht="17.25" thickTop="1" thickBot="1">
      <c r="A27" s="694" t="s">
        <v>116</v>
      </c>
      <c r="B27" s="797"/>
      <c r="C27" s="695">
        <f ca="1">C22+C16+C26</f>
        <v>20925.255293081223</v>
      </c>
      <c r="D27" s="695">
        <f t="shared" ref="D27:R27" ca="1" si="3">D22+D16+D26</f>
        <v>0</v>
      </c>
      <c r="E27" s="695">
        <f t="shared" ca="1" si="3"/>
        <v>16496.801033981304</v>
      </c>
      <c r="F27" s="695">
        <f t="shared" si="3"/>
        <v>1984.4047102788804</v>
      </c>
      <c r="G27" s="695">
        <f t="shared" ca="1" si="3"/>
        <v>44740.158096035811</v>
      </c>
      <c r="H27" s="695">
        <f t="shared" si="3"/>
        <v>44050.815513195208</v>
      </c>
      <c r="I27" s="695">
        <f t="shared" si="3"/>
        <v>8446.088011547854</v>
      </c>
      <c r="J27" s="695">
        <f t="shared" si="3"/>
        <v>0</v>
      </c>
      <c r="K27" s="695">
        <f t="shared" si="3"/>
        <v>1890.6941236211908</v>
      </c>
      <c r="L27" s="695">
        <f t="shared" si="3"/>
        <v>0</v>
      </c>
      <c r="M27" s="695">
        <f t="shared" ca="1" si="3"/>
        <v>0</v>
      </c>
      <c r="N27" s="695">
        <f t="shared" si="3"/>
        <v>2292.731813498975</v>
      </c>
      <c r="O27" s="695">
        <f t="shared" ca="1" si="3"/>
        <v>6598.9461355135272</v>
      </c>
      <c r="P27" s="695">
        <f t="shared" si="3"/>
        <v>26.576666666666668</v>
      </c>
      <c r="Q27" s="695">
        <f t="shared" si="3"/>
        <v>171.6</v>
      </c>
      <c r="R27" s="695">
        <f t="shared" ca="1" si="3"/>
        <v>147624.0713974206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1042.7376009123209</v>
      </c>
      <c r="D40" s="687">
        <f ca="1">tertiair!C20</f>
        <v>0</v>
      </c>
      <c r="E40" s="687">
        <f ca="1">tertiair!D20</f>
        <v>534.55465030000005</v>
      </c>
      <c r="F40" s="687">
        <f>tertiair!E20</f>
        <v>18.392996803346374</v>
      </c>
      <c r="G40" s="687">
        <f ca="1">tertiair!F20</f>
        <v>230.13870941875928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1825.8239574344266</v>
      </c>
    </row>
    <row r="41" spans="1:18">
      <c r="A41" s="815" t="s">
        <v>225</v>
      </c>
      <c r="B41" s="822"/>
      <c r="C41" s="687">
        <f ca="1">huishoudens!B12</f>
        <v>2845.8302323904991</v>
      </c>
      <c r="D41" s="687">
        <f ca="1">huishoudens!C12</f>
        <v>0</v>
      </c>
      <c r="E41" s="687">
        <f>huishoudens!D12</f>
        <v>2468.4467706360001</v>
      </c>
      <c r="F41" s="687">
        <f>huishoudens!E12</f>
        <v>368.32891250358688</v>
      </c>
      <c r="G41" s="687">
        <f>huishoudens!F12</f>
        <v>9809.2470410292826</v>
      </c>
      <c r="H41" s="687">
        <f>huishoudens!G12</f>
        <v>0</v>
      </c>
      <c r="I41" s="687">
        <f>huishoudens!H12</f>
        <v>0</v>
      </c>
      <c r="J41" s="687">
        <f>huishoudens!I12</f>
        <v>0</v>
      </c>
      <c r="K41" s="687">
        <f>huishoudens!J12</f>
        <v>617.41555600895742</v>
      </c>
      <c r="L41" s="687">
        <f>huishoudens!K12</f>
        <v>0</v>
      </c>
      <c r="M41" s="687">
        <f>huishoudens!L12</f>
        <v>0</v>
      </c>
      <c r="N41" s="687">
        <f>huishoudens!M12</f>
        <v>0</v>
      </c>
      <c r="O41" s="687">
        <f>huishoudens!N12</f>
        <v>0</v>
      </c>
      <c r="P41" s="687">
        <f>huishoudens!O12</f>
        <v>0</v>
      </c>
      <c r="Q41" s="762">
        <f>huishoudens!P12</f>
        <v>0</v>
      </c>
      <c r="R41" s="843">
        <f t="shared" ca="1" si="4"/>
        <v>16109.268512568326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96.574936906887771</v>
      </c>
      <c r="D43" s="687">
        <f ca="1">industrie!C22</f>
        <v>0</v>
      </c>
      <c r="E43" s="687">
        <f>industrie!D22</f>
        <v>33.952986584000008</v>
      </c>
      <c r="F43" s="687">
        <f>industrie!E22</f>
        <v>1.3120753866258634</v>
      </c>
      <c r="G43" s="687">
        <f>industrie!F22</f>
        <v>56.913382645040151</v>
      </c>
      <c r="H43" s="687">
        <f>industrie!G22</f>
        <v>0</v>
      </c>
      <c r="I43" s="687">
        <f>industrie!H22</f>
        <v>0</v>
      </c>
      <c r="J43" s="687">
        <f>industrie!I22</f>
        <v>0</v>
      </c>
      <c r="K43" s="687">
        <f>industrie!J22</f>
        <v>0.73623738694281293</v>
      </c>
      <c r="L43" s="687">
        <f>industrie!K22</f>
        <v>0</v>
      </c>
      <c r="M43" s="687">
        <f>industrie!L22</f>
        <v>0</v>
      </c>
      <c r="N43" s="687">
        <f>industrie!M22</f>
        <v>0</v>
      </c>
      <c r="O43" s="687">
        <f>industrie!N22</f>
        <v>0</v>
      </c>
      <c r="P43" s="687">
        <f>industrie!O22</f>
        <v>0</v>
      </c>
      <c r="Q43" s="762">
        <f>industrie!P22</f>
        <v>0</v>
      </c>
      <c r="R43" s="842">
        <f t="shared" ca="1" si="4"/>
        <v>189.48961890949658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3985.1427702097076</v>
      </c>
      <c r="D46" s="720">
        <f t="shared" ref="D46:Q46" ca="1" si="5">SUM(D39:D45)</f>
        <v>0</v>
      </c>
      <c r="E46" s="720">
        <f t="shared" ca="1" si="5"/>
        <v>3036.9544075200001</v>
      </c>
      <c r="F46" s="720">
        <f t="shared" si="5"/>
        <v>388.03398469355909</v>
      </c>
      <c r="G46" s="720">
        <f t="shared" ca="1" si="5"/>
        <v>10096.299133093082</v>
      </c>
      <c r="H46" s="720">
        <f t="shared" si="5"/>
        <v>0</v>
      </c>
      <c r="I46" s="720">
        <f t="shared" si="5"/>
        <v>0</v>
      </c>
      <c r="J46" s="720">
        <f t="shared" si="5"/>
        <v>0</v>
      </c>
      <c r="K46" s="720">
        <f t="shared" si="5"/>
        <v>618.1517933959002</v>
      </c>
      <c r="L46" s="720">
        <f t="shared" si="5"/>
        <v>0</v>
      </c>
      <c r="M46" s="720">
        <f t="shared" ca="1" si="5"/>
        <v>0</v>
      </c>
      <c r="N46" s="720">
        <f t="shared" si="5"/>
        <v>0</v>
      </c>
      <c r="O46" s="720">
        <f t="shared" ca="1" si="5"/>
        <v>0</v>
      </c>
      <c r="P46" s="720">
        <f t="shared" si="5"/>
        <v>0</v>
      </c>
      <c r="Q46" s="720">
        <f t="shared" si="5"/>
        <v>0</v>
      </c>
      <c r="R46" s="720">
        <f ca="1">SUM(R39:R45)</f>
        <v>18124.582088912251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116.45408564514551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116.45408564514551</v>
      </c>
    </row>
    <row r="50" spans="1:18">
      <c r="A50" s="818" t="s">
        <v>307</v>
      </c>
      <c r="B50" s="828"/>
      <c r="C50" s="995">
        <f ca="1">transport!B18</f>
        <v>0.11139494549484606</v>
      </c>
      <c r="D50" s="995">
        <f>transport!C18</f>
        <v>0</v>
      </c>
      <c r="E50" s="995">
        <f>transport!D18</f>
        <v>0.51168458022342678</v>
      </c>
      <c r="F50" s="995">
        <f>transport!E18</f>
        <v>58.579567016025223</v>
      </c>
      <c r="G50" s="995">
        <f>transport!F18</f>
        <v>0</v>
      </c>
      <c r="H50" s="995">
        <f>transport!G18</f>
        <v>11645.113656377975</v>
      </c>
      <c r="I50" s="995">
        <f>transport!H18</f>
        <v>2103.0759148754155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13807.392217795134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0.11139494549484606</v>
      </c>
      <c r="D52" s="720">
        <f t="shared" ref="D52:Q52" ca="1" si="6">SUM(D48:D51)</f>
        <v>0</v>
      </c>
      <c r="E52" s="720">
        <f t="shared" si="6"/>
        <v>0.51168458022342678</v>
      </c>
      <c r="F52" s="720">
        <f t="shared" si="6"/>
        <v>58.579567016025223</v>
      </c>
      <c r="G52" s="720">
        <f t="shared" si="6"/>
        <v>0</v>
      </c>
      <c r="H52" s="720">
        <f t="shared" si="6"/>
        <v>11761.56774202312</v>
      </c>
      <c r="I52" s="720">
        <f t="shared" si="6"/>
        <v>2103.0759148754155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13923.846303440279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343.14812935188752</v>
      </c>
      <c r="D54" s="995">
        <f ca="1">+landbouw!C12</f>
        <v>0</v>
      </c>
      <c r="E54" s="995">
        <f>+landbouw!D12</f>
        <v>230.14934276400004</v>
      </c>
      <c r="F54" s="995">
        <f>+landbouw!E12</f>
        <v>3.846317523721579</v>
      </c>
      <c r="G54" s="995">
        <f>+landbouw!F12</f>
        <v>1849.3230785484798</v>
      </c>
      <c r="H54" s="995">
        <f>+landbouw!G12</f>
        <v>0</v>
      </c>
      <c r="I54" s="995">
        <f>+landbouw!H12</f>
        <v>0</v>
      </c>
      <c r="J54" s="995">
        <f>+landbouw!I12</f>
        <v>0</v>
      </c>
      <c r="K54" s="995">
        <f>+landbouw!J12</f>
        <v>51.153926366001272</v>
      </c>
      <c r="L54" s="995">
        <f>+landbouw!K12</f>
        <v>0</v>
      </c>
      <c r="M54" s="995">
        <f>+landbouw!L12</f>
        <v>0</v>
      </c>
      <c r="N54" s="995">
        <f>+landbouw!M12</f>
        <v>0</v>
      </c>
      <c r="O54" s="995">
        <f>+landbouw!N12</f>
        <v>0</v>
      </c>
      <c r="P54" s="995">
        <f>+landbouw!O12</f>
        <v>0</v>
      </c>
      <c r="Q54" s="996">
        <f>+landbouw!P12</f>
        <v>0</v>
      </c>
      <c r="R54" s="719">
        <f ca="1">SUM(C54:Q54)</f>
        <v>2477.62079455409</v>
      </c>
    </row>
    <row r="55" spans="1:18" ht="15" thickBot="1">
      <c r="A55" s="818" t="s">
        <v>925</v>
      </c>
      <c r="B55" s="828"/>
      <c r="C55" s="995">
        <f ca="1">C25*'EF ele_warmte'!B12</f>
        <v>109.43868652112869</v>
      </c>
      <c r="D55" s="995"/>
      <c r="E55" s="995">
        <f>E25*EF_CO2_aardgas</f>
        <v>64.738374000000007</v>
      </c>
      <c r="F55" s="995"/>
      <c r="G55" s="995"/>
      <c r="H55" s="995"/>
      <c r="I55" s="995"/>
      <c r="J55" s="995"/>
      <c r="K55" s="995"/>
      <c r="L55" s="995"/>
      <c r="M55" s="995"/>
      <c r="N55" s="995"/>
      <c r="O55" s="995"/>
      <c r="P55" s="995"/>
      <c r="Q55" s="996"/>
      <c r="R55" s="719">
        <f ca="1">SUM(C55:Q55)</f>
        <v>174.17706052112868</v>
      </c>
    </row>
    <row r="56" spans="1:18" ht="15.75" thickBot="1">
      <c r="A56" s="816" t="s">
        <v>926</v>
      </c>
      <c r="B56" s="829"/>
      <c r="C56" s="720">
        <f ca="1">SUM(C54:C55)</f>
        <v>452.58681587301623</v>
      </c>
      <c r="D56" s="720">
        <f t="shared" ref="D56:Q56" ca="1" si="7">SUM(D54:D55)</f>
        <v>0</v>
      </c>
      <c r="E56" s="720">
        <f t="shared" si="7"/>
        <v>294.88771676400006</v>
      </c>
      <c r="F56" s="720">
        <f t="shared" si="7"/>
        <v>3.846317523721579</v>
      </c>
      <c r="G56" s="720">
        <f t="shared" si="7"/>
        <v>1849.3230785484798</v>
      </c>
      <c r="H56" s="720">
        <f t="shared" si="7"/>
        <v>0</v>
      </c>
      <c r="I56" s="720">
        <f t="shared" si="7"/>
        <v>0</v>
      </c>
      <c r="J56" s="720">
        <f t="shared" si="7"/>
        <v>0</v>
      </c>
      <c r="K56" s="720">
        <f t="shared" si="7"/>
        <v>51.153926366001272</v>
      </c>
      <c r="L56" s="720">
        <f t="shared" si="7"/>
        <v>0</v>
      </c>
      <c r="M56" s="720">
        <f t="shared" si="7"/>
        <v>0</v>
      </c>
      <c r="N56" s="720">
        <f t="shared" si="7"/>
        <v>0</v>
      </c>
      <c r="O56" s="720">
        <f t="shared" si="7"/>
        <v>0</v>
      </c>
      <c r="P56" s="720">
        <f t="shared" si="7"/>
        <v>0</v>
      </c>
      <c r="Q56" s="721">
        <f t="shared" si="7"/>
        <v>0</v>
      </c>
      <c r="R56" s="722">
        <f ca="1">SUM(R54:R55)</f>
        <v>2651.7978550752186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4437.8409810282183</v>
      </c>
      <c r="D61" s="728">
        <f t="shared" ref="D61:Q61" ca="1" si="8">D46+D52+D56</f>
        <v>0</v>
      </c>
      <c r="E61" s="728">
        <f t="shared" ca="1" si="8"/>
        <v>3332.3538088642235</v>
      </c>
      <c r="F61" s="728">
        <f t="shared" si="8"/>
        <v>450.45986923330588</v>
      </c>
      <c r="G61" s="728">
        <f t="shared" ca="1" si="8"/>
        <v>11945.622211641561</v>
      </c>
      <c r="H61" s="728">
        <f t="shared" si="8"/>
        <v>11761.56774202312</v>
      </c>
      <c r="I61" s="728">
        <f t="shared" si="8"/>
        <v>2103.0759148754155</v>
      </c>
      <c r="J61" s="728">
        <f t="shared" si="8"/>
        <v>0</v>
      </c>
      <c r="K61" s="728">
        <f t="shared" si="8"/>
        <v>669.30571976190151</v>
      </c>
      <c r="L61" s="728">
        <f t="shared" si="8"/>
        <v>0</v>
      </c>
      <c r="M61" s="728">
        <f t="shared" ca="1" si="8"/>
        <v>0</v>
      </c>
      <c r="N61" s="728">
        <f t="shared" si="8"/>
        <v>0</v>
      </c>
      <c r="O61" s="728">
        <f t="shared" ca="1" si="8"/>
        <v>0</v>
      </c>
      <c r="P61" s="728">
        <f t="shared" si="8"/>
        <v>0</v>
      </c>
      <c r="Q61" s="728">
        <f t="shared" si="8"/>
        <v>0</v>
      </c>
      <c r="R61" s="728">
        <f ca="1">R46+R52+R56</f>
        <v>34700.226247427745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0.21208061353954216</v>
      </c>
      <c r="D63" s="772">
        <f t="shared" ca="1" si="9"/>
        <v>0</v>
      </c>
      <c r="E63" s="997">
        <f t="shared" ca="1" si="9"/>
        <v>0.20200000000000001</v>
      </c>
      <c r="F63" s="772">
        <f t="shared" si="9"/>
        <v>0.22700000000000001</v>
      </c>
      <c r="G63" s="772">
        <f t="shared" ca="1" si="9"/>
        <v>0.26699999999999996</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844.52687213906472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844.52687213906472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844.52687213906472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844.52687213906472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13418.625044952059</v>
      </c>
      <c r="C4" s="460">
        <f>huishoudens!C8</f>
        <v>0</v>
      </c>
      <c r="D4" s="460">
        <f>huishoudens!D8</f>
        <v>12220.033518</v>
      </c>
      <c r="E4" s="460">
        <f>huishoudens!E8</f>
        <v>1622.5943282096337</v>
      </c>
      <c r="F4" s="460">
        <f>huishoudens!F8</f>
        <v>36738.752962656486</v>
      </c>
      <c r="G4" s="460">
        <f>huishoudens!G8</f>
        <v>0</v>
      </c>
      <c r="H4" s="460">
        <f>huishoudens!H8</f>
        <v>0</v>
      </c>
      <c r="I4" s="460">
        <f>huishoudens!I8</f>
        <v>0</v>
      </c>
      <c r="J4" s="460">
        <f>huishoudens!J8</f>
        <v>1744.1117401382978</v>
      </c>
      <c r="K4" s="460">
        <f>huishoudens!K8</f>
        <v>0</v>
      </c>
      <c r="L4" s="460">
        <f>huishoudens!L8</f>
        <v>0</v>
      </c>
      <c r="M4" s="460">
        <f>huishoudens!M8</f>
        <v>0</v>
      </c>
      <c r="N4" s="460">
        <f>huishoudens!N8</f>
        <v>6327.6684045845041</v>
      </c>
      <c r="O4" s="460">
        <f>huishoudens!O8</f>
        <v>26.576666666666668</v>
      </c>
      <c r="P4" s="461">
        <f>huishoudens!P8</f>
        <v>171.6</v>
      </c>
      <c r="Q4" s="462">
        <f>SUM(B4:P4)</f>
        <v>72269.96266520764</v>
      </c>
    </row>
    <row r="5" spans="1:17">
      <c r="A5" s="459" t="s">
        <v>156</v>
      </c>
      <c r="B5" s="460">
        <f ca="1">tertiair!B16</f>
        <v>4542.8</v>
      </c>
      <c r="C5" s="460">
        <f ca="1">tertiair!C16</f>
        <v>0</v>
      </c>
      <c r="D5" s="460">
        <f ca="1">tertiair!D16</f>
        <v>2646.3101499999998</v>
      </c>
      <c r="E5" s="460">
        <f>tertiair!E16</f>
        <v>81.026417635887114</v>
      </c>
      <c r="F5" s="460">
        <f ca="1">tertiair!F16</f>
        <v>861.94273190546539</v>
      </c>
      <c r="G5" s="460">
        <f>tertiair!G16</f>
        <v>0</v>
      </c>
      <c r="H5" s="460">
        <f>tertiair!H16</f>
        <v>0</v>
      </c>
      <c r="I5" s="460">
        <f>tertiair!I16</f>
        <v>0</v>
      </c>
      <c r="J5" s="460">
        <f>tertiair!J16</f>
        <v>0</v>
      </c>
      <c r="K5" s="460">
        <f>tertiair!K16</f>
        <v>0</v>
      </c>
      <c r="L5" s="460">
        <f ca="1">tertiair!L16</f>
        <v>0</v>
      </c>
      <c r="M5" s="460">
        <f>tertiair!M16</f>
        <v>0</v>
      </c>
      <c r="N5" s="460">
        <f ca="1">tertiair!N16</f>
        <v>251.62558131077986</v>
      </c>
      <c r="O5" s="460">
        <f>tertiair!O16</f>
        <v>0</v>
      </c>
      <c r="P5" s="461">
        <f>tertiair!P16</f>
        <v>0</v>
      </c>
      <c r="Q5" s="459">
        <f t="shared" ref="Q5:Q14" ca="1" si="0">SUM(B5:P5)</f>
        <v>8383.7048808521322</v>
      </c>
    </row>
    <row r="6" spans="1:17">
      <c r="A6" s="459" t="s">
        <v>194</v>
      </c>
      <c r="B6" s="460">
        <f>'openbare verlichting'!B8</f>
        <v>373.904</v>
      </c>
      <c r="C6" s="460"/>
      <c r="D6" s="460"/>
      <c r="E6" s="460"/>
      <c r="F6" s="460"/>
      <c r="G6" s="460"/>
      <c r="H6" s="460"/>
      <c r="I6" s="460"/>
      <c r="J6" s="460"/>
      <c r="K6" s="460"/>
      <c r="L6" s="460"/>
      <c r="M6" s="460"/>
      <c r="N6" s="460"/>
      <c r="O6" s="460"/>
      <c r="P6" s="461"/>
      <c r="Q6" s="459">
        <f t="shared" si="0"/>
        <v>373.904</v>
      </c>
    </row>
    <row r="7" spans="1:17">
      <c r="A7" s="459" t="s">
        <v>112</v>
      </c>
      <c r="B7" s="460">
        <f>landbouw!B8</f>
        <v>1618.008</v>
      </c>
      <c r="C7" s="460">
        <f>landbouw!C8</f>
        <v>0</v>
      </c>
      <c r="D7" s="460">
        <f>landbouw!D8</f>
        <v>1139.3531820000001</v>
      </c>
      <c r="E7" s="460">
        <f>landbouw!E8</f>
        <v>16.944130060447485</v>
      </c>
      <c r="F7" s="460">
        <f>landbouw!F8</f>
        <v>6926.3036649755795</v>
      </c>
      <c r="G7" s="460">
        <f>landbouw!G8</f>
        <v>0</v>
      </c>
      <c r="H7" s="460">
        <f>landbouw!H8</f>
        <v>0</v>
      </c>
      <c r="I7" s="460">
        <f>landbouw!I8</f>
        <v>0</v>
      </c>
      <c r="J7" s="460">
        <f>landbouw!J8</f>
        <v>144.50261685311094</v>
      </c>
      <c r="K7" s="460">
        <f>landbouw!K8</f>
        <v>0</v>
      </c>
      <c r="L7" s="460">
        <f>landbouw!L8</f>
        <v>0</v>
      </c>
      <c r="M7" s="460">
        <f>landbouw!M8</f>
        <v>0</v>
      </c>
      <c r="N7" s="460">
        <f>landbouw!N8</f>
        <v>0</v>
      </c>
      <c r="O7" s="460">
        <f>landbouw!O8</f>
        <v>0</v>
      </c>
      <c r="P7" s="461">
        <f>landbouw!P8</f>
        <v>0</v>
      </c>
      <c r="Q7" s="459">
        <f t="shared" si="0"/>
        <v>9845.111593889138</v>
      </c>
    </row>
    <row r="8" spans="1:17">
      <c r="A8" s="459" t="s">
        <v>655</v>
      </c>
      <c r="B8" s="460">
        <f>industrie!B18</f>
        <v>455.36900000000003</v>
      </c>
      <c r="C8" s="460">
        <f>industrie!C18</f>
        <v>0</v>
      </c>
      <c r="D8" s="460">
        <f>industrie!D18</f>
        <v>168.08409200000003</v>
      </c>
      <c r="E8" s="460">
        <f>industrie!E18</f>
        <v>5.7800677824927904</v>
      </c>
      <c r="F8" s="460">
        <f>industrie!F18</f>
        <v>213.1587364982777</v>
      </c>
      <c r="G8" s="460">
        <f>industrie!G18</f>
        <v>0</v>
      </c>
      <c r="H8" s="460">
        <f>industrie!H18</f>
        <v>0</v>
      </c>
      <c r="I8" s="460">
        <f>industrie!I18</f>
        <v>0</v>
      </c>
      <c r="J8" s="460">
        <f>industrie!J18</f>
        <v>2.0797666297819575</v>
      </c>
      <c r="K8" s="460">
        <f>industrie!K18</f>
        <v>0</v>
      </c>
      <c r="L8" s="460">
        <f>industrie!L18</f>
        <v>0</v>
      </c>
      <c r="M8" s="460">
        <f>industrie!M18</f>
        <v>0</v>
      </c>
      <c r="N8" s="460">
        <f>industrie!N18</f>
        <v>19.652149618242738</v>
      </c>
      <c r="O8" s="460">
        <f>industrie!O18</f>
        <v>0</v>
      </c>
      <c r="P8" s="461">
        <f>industrie!P18</f>
        <v>0</v>
      </c>
      <c r="Q8" s="459">
        <f t="shared" si="0"/>
        <v>864.12381252879527</v>
      </c>
    </row>
    <row r="9" spans="1:17" s="465" customFormat="1">
      <c r="A9" s="463" t="s">
        <v>573</v>
      </c>
      <c r="B9" s="464">
        <f>transport!B14</f>
        <v>0.52524812916988584</v>
      </c>
      <c r="C9" s="464">
        <f>transport!C14</f>
        <v>0</v>
      </c>
      <c r="D9" s="464">
        <f>transport!D14</f>
        <v>2.5330919813040929</v>
      </c>
      <c r="E9" s="464">
        <f>transport!E14</f>
        <v>258.05976659041949</v>
      </c>
      <c r="F9" s="464">
        <f>transport!F14</f>
        <v>0</v>
      </c>
      <c r="G9" s="464">
        <f>transport!G14</f>
        <v>43614.657889056085</v>
      </c>
      <c r="H9" s="464">
        <f>transport!H14</f>
        <v>8446.088011547854</v>
      </c>
      <c r="I9" s="464">
        <f>transport!I14</f>
        <v>0</v>
      </c>
      <c r="J9" s="464">
        <f>transport!J14</f>
        <v>0</v>
      </c>
      <c r="K9" s="464">
        <f>transport!K14</f>
        <v>0</v>
      </c>
      <c r="L9" s="464">
        <f>transport!L14</f>
        <v>0</v>
      </c>
      <c r="M9" s="464">
        <f>transport!M14</f>
        <v>2274.1403088585016</v>
      </c>
      <c r="N9" s="464">
        <f>transport!N14</f>
        <v>0</v>
      </c>
      <c r="O9" s="464">
        <f>transport!O14</f>
        <v>0</v>
      </c>
      <c r="P9" s="464">
        <f>transport!P14</f>
        <v>0</v>
      </c>
      <c r="Q9" s="463">
        <f>SUM(B9:P9)</f>
        <v>54596.004316163329</v>
      </c>
    </row>
    <row r="10" spans="1:17">
      <c r="A10" s="459" t="s">
        <v>563</v>
      </c>
      <c r="B10" s="460">
        <f>transport!B54</f>
        <v>0</v>
      </c>
      <c r="C10" s="460">
        <f>transport!C54</f>
        <v>0</v>
      </c>
      <c r="D10" s="460">
        <f>transport!D54</f>
        <v>0</v>
      </c>
      <c r="E10" s="460">
        <f>transport!E54</f>
        <v>0</v>
      </c>
      <c r="F10" s="460">
        <f>transport!F54</f>
        <v>0</v>
      </c>
      <c r="G10" s="460">
        <f>transport!G54</f>
        <v>436.15762413912176</v>
      </c>
      <c r="H10" s="460">
        <f>transport!H54</f>
        <v>0</v>
      </c>
      <c r="I10" s="460">
        <f>transport!I54</f>
        <v>0</v>
      </c>
      <c r="J10" s="460">
        <f>transport!J54</f>
        <v>0</v>
      </c>
      <c r="K10" s="460">
        <f>transport!K54</f>
        <v>0</v>
      </c>
      <c r="L10" s="460">
        <f>transport!L54</f>
        <v>0</v>
      </c>
      <c r="M10" s="460">
        <f>transport!M54</f>
        <v>18.591504640473257</v>
      </c>
      <c r="N10" s="460">
        <f>transport!N54</f>
        <v>0</v>
      </c>
      <c r="O10" s="460">
        <f>transport!O54</f>
        <v>0</v>
      </c>
      <c r="P10" s="461">
        <f>transport!P54</f>
        <v>0</v>
      </c>
      <c r="Q10" s="459">
        <f t="shared" si="0"/>
        <v>454.74912877959503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516.024</v>
      </c>
      <c r="C14" s="467"/>
      <c r="D14" s="467">
        <f>'SEAP template'!E25</f>
        <v>320.48700000000002</v>
      </c>
      <c r="E14" s="467"/>
      <c r="F14" s="467"/>
      <c r="G14" s="467"/>
      <c r="H14" s="467"/>
      <c r="I14" s="467"/>
      <c r="J14" s="467"/>
      <c r="K14" s="467"/>
      <c r="L14" s="467"/>
      <c r="M14" s="467"/>
      <c r="N14" s="467"/>
      <c r="O14" s="467"/>
      <c r="P14" s="468"/>
      <c r="Q14" s="459">
        <f t="shared" si="0"/>
        <v>836.51099999999997</v>
      </c>
    </row>
    <row r="15" spans="1:17" s="472" customFormat="1">
      <c r="A15" s="469" t="s">
        <v>567</v>
      </c>
      <c r="B15" s="470">
        <f ca="1">SUM(B4:B14)</f>
        <v>20925.255293081227</v>
      </c>
      <c r="C15" s="470">
        <f t="shared" ref="C15:Q15" ca="1" si="1">SUM(C4:C14)</f>
        <v>0</v>
      </c>
      <c r="D15" s="470">
        <f t="shared" ca="1" si="1"/>
        <v>16496.801033981304</v>
      </c>
      <c r="E15" s="470">
        <f t="shared" si="1"/>
        <v>1984.4047102788804</v>
      </c>
      <c r="F15" s="470">
        <f t="shared" ca="1" si="1"/>
        <v>44740.158096035811</v>
      </c>
      <c r="G15" s="470">
        <f t="shared" si="1"/>
        <v>44050.815513195208</v>
      </c>
      <c r="H15" s="470">
        <f t="shared" si="1"/>
        <v>8446.088011547854</v>
      </c>
      <c r="I15" s="470">
        <f t="shared" si="1"/>
        <v>0</v>
      </c>
      <c r="J15" s="470">
        <f t="shared" si="1"/>
        <v>1890.6941236211908</v>
      </c>
      <c r="K15" s="470">
        <f t="shared" si="1"/>
        <v>0</v>
      </c>
      <c r="L15" s="470">
        <f t="shared" ca="1" si="1"/>
        <v>0</v>
      </c>
      <c r="M15" s="470">
        <f t="shared" si="1"/>
        <v>2292.731813498975</v>
      </c>
      <c r="N15" s="470">
        <f t="shared" ca="1" si="1"/>
        <v>6598.9461355135272</v>
      </c>
      <c r="O15" s="470">
        <f t="shared" si="1"/>
        <v>26.576666666666668</v>
      </c>
      <c r="P15" s="470">
        <f t="shared" si="1"/>
        <v>171.6</v>
      </c>
      <c r="Q15" s="470">
        <f t="shared" ca="1" si="1"/>
        <v>147624.07139742063</v>
      </c>
    </row>
    <row r="17" spans="1:17">
      <c r="A17" s="473" t="s">
        <v>568</v>
      </c>
      <c r="B17" s="777">
        <f ca="1">huishoudens!B10</f>
        <v>0.21208061353954213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2845.8302323904991</v>
      </c>
      <c r="C22" s="460">
        <f t="shared" ref="C22:C32" ca="1" si="3">C4*$C$17</f>
        <v>0</v>
      </c>
      <c r="D22" s="460">
        <f t="shared" ref="D22:D32" si="4">D4*$D$17</f>
        <v>2468.4467706360001</v>
      </c>
      <c r="E22" s="460">
        <f t="shared" ref="E22:E32" si="5">E4*$E$17</f>
        <v>368.32891250358688</v>
      </c>
      <c r="F22" s="460">
        <f t="shared" ref="F22:F32" si="6">F4*$F$17</f>
        <v>9809.2470410292826</v>
      </c>
      <c r="G22" s="460">
        <f t="shared" ref="G22:G32" si="7">G4*$G$17</f>
        <v>0</v>
      </c>
      <c r="H22" s="460">
        <f t="shared" ref="H22:H32" si="8">H4*$H$17</f>
        <v>0</v>
      </c>
      <c r="I22" s="460">
        <f t="shared" ref="I22:I32" si="9">I4*$I$17</f>
        <v>0</v>
      </c>
      <c r="J22" s="460">
        <f t="shared" ref="J22:J32" si="10">J4*$J$17</f>
        <v>617.41555600895742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16109.268512568326</v>
      </c>
    </row>
    <row r="23" spans="1:17">
      <c r="A23" s="459" t="s">
        <v>156</v>
      </c>
      <c r="B23" s="460">
        <f t="shared" ca="1" si="2"/>
        <v>963.43981118743204</v>
      </c>
      <c r="C23" s="460">
        <f t="shared" ca="1" si="3"/>
        <v>0</v>
      </c>
      <c r="D23" s="460">
        <f t="shared" ca="1" si="4"/>
        <v>534.55465030000005</v>
      </c>
      <c r="E23" s="460">
        <f t="shared" si="5"/>
        <v>18.392996803346374</v>
      </c>
      <c r="F23" s="460">
        <f t="shared" ca="1" si="6"/>
        <v>230.13870941875928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1746.5261677095377</v>
      </c>
    </row>
    <row r="24" spans="1:17">
      <c r="A24" s="459" t="s">
        <v>194</v>
      </c>
      <c r="B24" s="460">
        <f t="shared" ca="1" si="2"/>
        <v>79.297789724888958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79.297789724888958</v>
      </c>
    </row>
    <row r="25" spans="1:17">
      <c r="A25" s="459" t="s">
        <v>112</v>
      </c>
      <c r="B25" s="460">
        <f t="shared" ca="1" si="2"/>
        <v>343.14812935188752</v>
      </c>
      <c r="C25" s="460">
        <f t="shared" ca="1" si="3"/>
        <v>0</v>
      </c>
      <c r="D25" s="460">
        <f t="shared" si="4"/>
        <v>230.14934276400004</v>
      </c>
      <c r="E25" s="460">
        <f t="shared" si="5"/>
        <v>3.846317523721579</v>
      </c>
      <c r="F25" s="460">
        <f t="shared" si="6"/>
        <v>1849.3230785484798</v>
      </c>
      <c r="G25" s="460">
        <f t="shared" si="7"/>
        <v>0</v>
      </c>
      <c r="H25" s="460">
        <f t="shared" si="8"/>
        <v>0</v>
      </c>
      <c r="I25" s="460">
        <f t="shared" si="9"/>
        <v>0</v>
      </c>
      <c r="J25" s="460">
        <f t="shared" si="10"/>
        <v>51.153926366001272</v>
      </c>
      <c r="K25" s="460">
        <f t="shared" si="11"/>
        <v>0</v>
      </c>
      <c r="L25" s="460">
        <f t="shared" si="12"/>
        <v>0</v>
      </c>
      <c r="M25" s="460">
        <f t="shared" si="13"/>
        <v>0</v>
      </c>
      <c r="N25" s="460">
        <f t="shared" si="14"/>
        <v>0</v>
      </c>
      <c r="O25" s="460">
        <f t="shared" si="15"/>
        <v>0</v>
      </c>
      <c r="P25" s="461">
        <f t="shared" si="16"/>
        <v>0</v>
      </c>
      <c r="Q25" s="459">
        <f t="shared" ca="1" si="17"/>
        <v>2477.62079455409</v>
      </c>
    </row>
    <row r="26" spans="1:17">
      <c r="A26" s="459" t="s">
        <v>655</v>
      </c>
      <c r="B26" s="460">
        <f t="shared" ca="1" si="2"/>
        <v>96.574936906887771</v>
      </c>
      <c r="C26" s="460">
        <f t="shared" ca="1" si="3"/>
        <v>0</v>
      </c>
      <c r="D26" s="460">
        <f t="shared" si="4"/>
        <v>33.952986584000008</v>
      </c>
      <c r="E26" s="460">
        <f t="shared" si="5"/>
        <v>1.3120753866258634</v>
      </c>
      <c r="F26" s="460">
        <f t="shared" si="6"/>
        <v>56.913382645040151</v>
      </c>
      <c r="G26" s="460">
        <f t="shared" si="7"/>
        <v>0</v>
      </c>
      <c r="H26" s="460">
        <f t="shared" si="8"/>
        <v>0</v>
      </c>
      <c r="I26" s="460">
        <f t="shared" si="9"/>
        <v>0</v>
      </c>
      <c r="J26" s="460">
        <f t="shared" si="10"/>
        <v>0.73623738694281293</v>
      </c>
      <c r="K26" s="460">
        <f t="shared" si="11"/>
        <v>0</v>
      </c>
      <c r="L26" s="460">
        <f t="shared" si="12"/>
        <v>0</v>
      </c>
      <c r="M26" s="460">
        <f t="shared" si="13"/>
        <v>0</v>
      </c>
      <c r="N26" s="460">
        <f t="shared" si="14"/>
        <v>0</v>
      </c>
      <c r="O26" s="460">
        <f t="shared" si="15"/>
        <v>0</v>
      </c>
      <c r="P26" s="461">
        <f t="shared" si="16"/>
        <v>0</v>
      </c>
      <c r="Q26" s="459">
        <f t="shared" ca="1" si="17"/>
        <v>189.48961890949658</v>
      </c>
    </row>
    <row r="27" spans="1:17" s="465" customFormat="1">
      <c r="A27" s="463" t="s">
        <v>573</v>
      </c>
      <c r="B27" s="771">
        <f t="shared" ca="1" si="2"/>
        <v>0.11139494549484606</v>
      </c>
      <c r="C27" s="464">
        <f t="shared" ca="1" si="3"/>
        <v>0</v>
      </c>
      <c r="D27" s="464">
        <f t="shared" si="4"/>
        <v>0.51168458022342678</v>
      </c>
      <c r="E27" s="464">
        <f t="shared" si="5"/>
        <v>58.579567016025223</v>
      </c>
      <c r="F27" s="464">
        <f t="shared" si="6"/>
        <v>0</v>
      </c>
      <c r="G27" s="464">
        <f t="shared" si="7"/>
        <v>11645.113656377975</v>
      </c>
      <c r="H27" s="464">
        <f t="shared" si="8"/>
        <v>2103.0759148754155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13807.392217795134</v>
      </c>
    </row>
    <row r="28" spans="1:17">
      <c r="A28" s="459" t="s">
        <v>563</v>
      </c>
      <c r="B28" s="460">
        <f t="shared" ca="1" si="2"/>
        <v>0</v>
      </c>
      <c r="C28" s="460">
        <f t="shared" ca="1" si="3"/>
        <v>0</v>
      </c>
      <c r="D28" s="460">
        <f t="shared" si="4"/>
        <v>0</v>
      </c>
      <c r="E28" s="460">
        <f t="shared" si="5"/>
        <v>0</v>
      </c>
      <c r="F28" s="460">
        <f t="shared" si="6"/>
        <v>0</v>
      </c>
      <c r="G28" s="460">
        <f t="shared" si="7"/>
        <v>116.45408564514551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116.45408564514551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109.43868652112869</v>
      </c>
      <c r="C32" s="460">
        <f t="shared" ca="1" si="3"/>
        <v>0</v>
      </c>
      <c r="D32" s="460">
        <f t="shared" si="4"/>
        <v>64.738374000000007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174.17706052112868</v>
      </c>
    </row>
    <row r="33" spans="1:17" s="472" customFormat="1">
      <c r="A33" s="469" t="s">
        <v>567</v>
      </c>
      <c r="B33" s="470">
        <f ca="1">SUM(B22:B32)</f>
        <v>4437.8409810282192</v>
      </c>
      <c r="C33" s="470">
        <f t="shared" ref="C33:Q33" ca="1" si="19">SUM(C22:C32)</f>
        <v>0</v>
      </c>
      <c r="D33" s="470">
        <f t="shared" ca="1" si="19"/>
        <v>3332.353808864224</v>
      </c>
      <c r="E33" s="470">
        <f t="shared" si="19"/>
        <v>450.45986923330588</v>
      </c>
      <c r="F33" s="470">
        <f t="shared" ca="1" si="19"/>
        <v>11945.622211641561</v>
      </c>
      <c r="G33" s="470">
        <f t="shared" si="19"/>
        <v>11761.56774202312</v>
      </c>
      <c r="H33" s="470">
        <f t="shared" si="19"/>
        <v>2103.0759148754155</v>
      </c>
      <c r="I33" s="470">
        <f t="shared" si="19"/>
        <v>0</v>
      </c>
      <c r="J33" s="470">
        <f t="shared" si="19"/>
        <v>669.30571976190151</v>
      </c>
      <c r="K33" s="470">
        <f t="shared" si="19"/>
        <v>0</v>
      </c>
      <c r="L33" s="470">
        <f t="shared" ca="1" si="19"/>
        <v>0</v>
      </c>
      <c r="M33" s="470">
        <f t="shared" si="19"/>
        <v>0</v>
      </c>
      <c r="N33" s="470">
        <f t="shared" ca="1" si="19"/>
        <v>0</v>
      </c>
      <c r="O33" s="470">
        <f t="shared" si="19"/>
        <v>0</v>
      </c>
      <c r="P33" s="470">
        <f t="shared" si="19"/>
        <v>0</v>
      </c>
      <c r="Q33" s="470">
        <f t="shared" ca="1" si="19"/>
        <v>34700.226247427745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844.52687213906472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844.52687213906472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0.21208061353954213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0.21208061353954213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2019-06-29T16:07:31Z</dcterms:modified>
</cp:coreProperties>
</file>