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<sst xmlns="http://schemas.openxmlformats.org/spreadsheetml/2006/main" count="2493" uniqueCount="963">
  <si>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</si>
  <si>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</si>
  <si>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</si>
  <si>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</si>
  <si>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</si>
  <si>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</si>
  <si>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</si>
  <si>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</si>
  <si>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</si>
  <si>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</si>
  <si>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</si>
  <si>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</si>
  <si>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</si>
  <si>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</si>
  <si>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</si>
  <si>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</si>
  <si>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</si>
  <si>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</si>
  <si>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</si>
  <si>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</si>
  <si>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</si>
  <si>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</si>
  <si>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</si>
  <si>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</si>
  <si>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</si>
  <si>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</si>
  <si>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</si>
  <si>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</si>
  <si>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</si>
  <si>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</si>
  <si>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</si>
  <si>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</si>
  <si>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</si>
  <si>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</si>
  <si>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</si>
  <si>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</si>
  <si>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</si>
  <si>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</si>
  <si>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</si>
  <si>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</si>
  <si>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</si>
  <si>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</si>
  <si>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</si>
  <si>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</si>
  <si>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</si>
  <si>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</si>
  <si>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</si>
  <si>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</si>
  <si>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</si>
  <si>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</si>
  <si>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</si>
  <si>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</si>
  <si>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</si>
  <si>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</si>
  <si>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</si>
  <si>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</si>
  <si>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</si>
  <si>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</si>
  <si>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</si>
  <si>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</si>
  <si>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</si>
  <si>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</si>
  <si>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</si>
  <si>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</si>
  <si>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</si>
  <si>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</si>
  <si>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</si>
  <si>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</si>
  <si>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</si>
  <si>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</si>
  <si>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</si>
  <si>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</si>
  <si>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</si>
  <si>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</si>
  <si>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</si>
  <si>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</si>
  <si>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</si>
  <si>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</si>
  <si>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</si>
  <si>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</si>
  <si>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</si>
  <si>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</si>
  <si>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</si>
  <si>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</si>
  <si>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</si>
  <si>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</si>
  <si>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</si>
  <si>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</si>
  <si>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</si>
  <si>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</si>
  <si>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</si>
  <si>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</si>
  <si>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</si>
  <si>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</si>
  <si>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</si>
  <si>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</si>
  <si>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</si>
  <si>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</si>
  <si>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</si>
  <si>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</si>
  <si>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</si>
  <si>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</si>
  <si>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</si>
  <si>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</si>
  <si>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</si>
  <si>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</si>
  <si>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</si>
  <si>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</si>
  <si>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</si>
  <si>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</si>
  <si>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</si>
  <si>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</si>
  <si>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</si>
  <si>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</si>
  <si>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</si>
  <si>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</si>
  <si>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</si>
  <si>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</si>
  <si>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</si>
  <si>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</si>
  <si>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</si>
  <si>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</si>
  <si>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</si>
  <si>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</si>
  <si>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</si>
  <si>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</si>
  <si>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</si>
  <si>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</si>
  <si>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</si>
  <si>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</si>
  <si>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</si>
  <si>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</si>
  <si>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</si>
  <si>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</si>
  <si>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</si>
  <si>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</si>
  <si>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</si>
  <si>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</si>
  <si>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</si>
  <si>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</si>
  <si>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</si>
  <si>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</si>
  <si>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</si>
  <si>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</si>
  <si>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</si>
  <si>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</si>
  <si>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</si>
  <si>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</si>
  <si>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</si>
  <si>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</si>
  <si>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</si>
  <si>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</si>
  <si>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</si>
  <si>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</si>
  <si>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</si>
  <si>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</si>
  <si>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</si>
  <si>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</si>
  <si>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</si>
  <si>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</si>
  <si>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</si>
  <si>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</si>
  <si>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</si>
  <si>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</si>
  <si>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</si>
  <si>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</si>
  <si>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</si>
  <si>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</si>
  <si>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</si>
  <si>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</si>
  <si>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</si>
  <si>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</si>
  <si>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</si>
  <si>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</si>
  <si>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</si>
  <si>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</si>
  <si>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</si>
  <si>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</si>
  <si>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</si>
  <si>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</si>
  <si>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</si>
  <si>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</si>
  <si>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</si>
  <si>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</si>
  <si>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</si>
  <si>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</si>
  <si>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</si>
  <si>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</si>
  <si>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</si>
  <si>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</si>
  <si>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</si>
  <si>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</si>
  <si>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</si>
  <si>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</si>
  <si>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</si>
  <si>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</si>
  <si>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</si>
  <si>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</si>
  <si>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</si>
  <si>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</si>
  <si>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</si>
  <si>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</si>
  <si>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</si>
  <si>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</si>
  <si>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</si>
  <si>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</si>
  <si>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</si>
  <si>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</si>
  <si>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</si>
  <si>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</si>
  <si>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</si>
  <si>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</si>
  <si>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</si>
  <si>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</si>
  <si>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</si>
  <si>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</si>
  <si>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</si>
  <si>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</si>
  <si>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</si>
  <si>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</si>
  <si>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</si>
  <si>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</si>
  <si>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</si>
  <si>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</si>
  <si>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</si>
  <si>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</si>
  <si>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</si>
  <si>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</si>
  <si>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</si>
  <si>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</si>
  <si>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</si>
  <si>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</si>
  <si>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</si>
  <si>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</si>
  <si>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</si>
  <si>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</si>
  <si>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</si>
  <si>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</si>
  <si>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</si>
  <si>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</si>
  <si>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</si>
  <si>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</si>
  <si>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</si>
  <si>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</si>
  <si>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</si>
  <si>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</si>
  <si>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</si>
  <si>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</si>
  <si>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</si>
  <si>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</si>
  <si>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</si>
  <si>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</si>
  <si>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</si>
  <si>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</si>
  <si>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</si>
  <si>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</si>
  <si>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</si>
  <si>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</si>
  <si>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</si>
  <si>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</si>
  <si>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</si>
  <si>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</si>
  <si>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</si>
  <si>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</si>
  <si>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</si>
  <si>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</si>
  <si>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</si>
  <si>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</si>
  <si>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</si>
  <si>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</si>
  <si>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</si>
  <si>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</si>
  <si>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</si>
  <si>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</si>
  <si>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</si>
  <si>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</si>
  <si>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</si>
  <si>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</si>
  <si>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</si>
  <si>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</si>
  <si>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</si>
  <si>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</si>
  <si>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</si>
  <si>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</si>
  <si>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</si>
  <si>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</si>
  <si>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</si>
  <si>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</si>
  <si>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</si>
  <si>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</si>
  <si>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</si>
  <si>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</si>
  <si>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</si>
  <si>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</si>
  <si>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</si>
  <si>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</si>
  <si>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</si>
  <si>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</si>
  <si>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</si>
  <si>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</si>
  <si>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</si>
  <si>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</si>
  <si>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</si>
  <si>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</si>
  <si>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</si>
  <si>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</si>
  <si>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</si>
  <si>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</si>
  <si>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</si>
  <si>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</si>
  <si>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</si>
  <si>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</si>
  <si>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</si>
  <si>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</si>
  <si>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</si>
  <si>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</si>
  <si>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</si>
  <si>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</si>
  <si>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</si>
  <si>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</si>
  <si>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</si>
  <si>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</si>
  <si>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</si>
  <si>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</si>
  <si>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</si>
  <si>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</si>
  <si>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</si>
  <si>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</si>
  <si>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</si>
  <si>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</si>
  <si>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</si>
  <si>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</si>
  <si>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</si>
  <si>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</si>
  <si>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</si>
  <si>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</si>
  <si>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</si>
  <si>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</si>
  <si>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</si>
  <si>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</si>
  <si>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</si>
  <si>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</si>
  <si>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</si>
  <si>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</si>
  <si>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</si>
  <si>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</si>
  <si>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</si>
  <si>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</si>
  <si>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</si>
  <si>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</si>
  <si>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</si>
  <si>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</si>
  <si>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</si>
  <si>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</si>
  <si>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</si>
  <si>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</si>
  <si>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</si>
  <si>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</si>
  <si>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</si>
  <si>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</si>
  <si>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</si>
  <si>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</si>
  <si>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</si>
  <si>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</si>
  <si>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</si>
  <si>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</si>
  <si>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</si>
  <si>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</si>
  <si>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</si>
  <si>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</si>
  <si>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</si>
  <si>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</si>
  <si>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</si>
  <si>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</si>
  <si>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</si>
  <si>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</si>
  <si>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</si>
  <si>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</si>
  <si>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</si>
  <si>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</si>
  <si>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</si>
  <si>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</si>
  <si>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</si>
  <si>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</si>
  <si>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</si>
  <si>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</si>
  <si>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</si>
  <si>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</si>
  <si>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</si>
  <si>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</si>
  <si>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</si>
  <si>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</si>
  <si>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</si>
  <si>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</si>
  <si>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</si>
  <si>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</si>
  <si>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</si>
  <si>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</si>
  <si>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</si>
  <si>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</si>
  <si>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</si>
  <si>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</si>
  <si>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</si>
  <si>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</si>
  <si>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</si>
  <si>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</si>
  <si>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</si>
  <si>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</si>
  <si>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</si>
  <si>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</si>
  <si>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</si>
  <si>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</si>
  <si>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</si>
  <si>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</si>
  <si>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</si>
  <si>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</si>
  <si>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</si>
  <si>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</si>
  <si>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</si>
  <si>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</si>
  <si>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</si>
  <si>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</si>
  <si>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</si>
  <si>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</si>
  <si>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</si>
  <si>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</si>
  <si>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</si>
  <si>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</si>
  <si>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</si>
  <si>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</si>
  <si>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</si>
  <si>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</si>
  <si>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</si>
  <si>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</si>
  <si>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</si>
  <si>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</si>
  <si>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</si>
  <si>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</si>
  <si>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</si>
  <si>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</si>
  <si>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</si>
  <si>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</si>
  <si>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</si>
  <si>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</si>
  <si>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</si>
  <si>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</si>
  <si>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</si>
  <si>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</si>
  <si>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</si>
  <si>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</si>
  <si>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</si>
  <si>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</si>
  <si>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</si>
  <si>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</si>
  <si>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</si>
  <si>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</si>
  <si>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</si>
  <si>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</si>
  <si>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</si>
  <si>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</si>
  <si>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</si>
  <si>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</si>
  <si>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</si>
  <si>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</si>
  <si>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</si>
  <si>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</si>
  <si>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</si>
  <si>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</si>
  <si>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</si>
  <si>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</si>
  <si>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</si>
  <si>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</si>
  <si>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</si>
  <si>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</si>
  <si>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</si>
  <si>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</si>
  <si>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</si>
  <si>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</si>
  <si>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</si>
  <si>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</si>
  <si>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</si>
  <si>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</si>
  <si>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</si>
  <si>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</si>
  <si>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</si>
  <si>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</si>
  <si>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</si>
  <si>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</si>
  <si>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</si>
  <si>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</si>
  <si>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</si>
  <si>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</si>
  <si>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</si>
  <si>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</si>
  <si>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</si>
  <si>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</si>
  <si>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</si>
  <si>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</si>
  <si>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</si>
  <si>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</si>
  <si>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</si>
  <si>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</si>
  <si>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</si>
  <si>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</si>
  <si>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</si>
  <si>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</si>
  <si>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</si>
  <si>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</si>
  <si>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</si>
  <si>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</si>
  <si>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</si>
  <si>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</si>
  <si>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</si>
  <si>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</si>
  <si>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</si>
  <si>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</si>
  <si>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</si>
  <si>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</si>
  <si>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</si>
  <si>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</si>
  <si>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</si>
  <si>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</si>
  <si>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</si>
  <si>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</si>
  <si>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</si>
  <si>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</si>
  <si>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</si>
  <si>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</si>
  <si>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</si>
  <si>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</si>
  <si>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</si>
  <si>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</si>
  <si>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</si>
  <si>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</si>
  <si>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</si>
  <si>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</si>
  <si>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</si>
  <si>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</si>
  <si>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</si>
  <si>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</si>
  <si>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</si>
  <si>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</si>
  <si>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</si>
  <si>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</si>
  <si>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</si>
  <si>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</si>
  <si>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</si>
  <si>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</si>
  <si>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</si>
  <si>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</si>
  <si>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</si>
  <si>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</si>
  <si>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</si>
  <si>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</si>
  <si>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</si>
  <si>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</si>
  <si>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</si>
  <si>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</si>
  <si>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</si>
  <si>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</si>
  <si>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</si>
  <si>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</si>
  <si>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</si>
  <si>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</si>
  <si>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</si>
  <si>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</si>
  <si>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</si>
  <si>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</si>
  <si>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</si>
  <si>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</si>
  <si>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</si>
  <si>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</si>
  <si>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</si>
  <si>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</si>
  <si>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</si>
  <si>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</si>
  <si>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</si>
  <si>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</si>
  <si>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</si>
  <si>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</si>
  <si>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</si>
  <si>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</si>
  <si>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</si>
  <si>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</si>
  <si>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</si>
  <si>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</si>
  <si>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</si>
  <si>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</si>
  <si>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</si>
  <si>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</si>
  <si>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</si>
  <si>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</si>
  <si>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</si>
  <si>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</si>
  <si>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</si>
  <si>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</si>
  <si>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</si>
  <si>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</si>
  <si>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</si>
  <si>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</si>
  <si>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</si>
  <si>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</si>
  <si>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</si>
  <si>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</si>
  <si>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</si>
  <si>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</si>
  <si>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</si>
  <si>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</si>
  <si>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</si>
  <si>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</si>
  <si>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</si>
  <si>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</si>
  <si>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</si>
  <si>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</si>
  <si>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</si>
  <si>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</si>
  <si>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</si>
  <si>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</si>
  <si>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</si>
  <si>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</si>
  <si>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</si>
  <si>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</si>
  <si>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</si>
  <si>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</si>
  <si>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</si>
  <si>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</si>
  <si>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</si>
  <si>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</si>
  <si>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</si>
  <si>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</si>
  <si>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</si>
  <si>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</si>
  <si>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</si>
  <si>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</si>
  <si>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</si>
  <si>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</si>
  <si>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</si>
  <si>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</si>
  <si>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</si>
  <si>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</si>
  <si>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</si>
  <si>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</si>
  <si>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</si>
  <si>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</si>
  <si>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</si>
  <si>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</si>
  <si>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</si>
  <si>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</si>
  <si>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</si>
  <si>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</si>
  <si>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</si>
  <si>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</si>
  <si>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</si>
  <si>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</si>
  <si>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</si>
  <si>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</si>
  <si>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</si>
  <si>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</si>
  <si>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</si>
  <si>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</si>
  <si>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</si>
  <si>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</si>
  <si>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</si>
  <si>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</si>
  <si>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</si>
  <si>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</si>
  <si>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</si>
  <si>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</si>
  <si>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</si>
  <si>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</si>
  <si>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</si>
  <si>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</si>
  <si>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</si>
  <si>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</si>
  <si>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</si>
  <si>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</si>
  <si>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</si>
  <si>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</si>
  <si>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</si>
  <si>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</si>
  <si>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</si>
  <si>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</si>
  <si>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</si>
  <si>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</si>
  <si>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</si>
  <si>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</si>
  <si>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</si>
  <si>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</si>
  <si>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</si>
  <si>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</si>
  <si>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</si>
  <si>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</si>
  <si>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</si>
  <si>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</si>
  <si>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</si>
  <si>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</si>
  <si>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</si>
  <si>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</si>
  <si>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</si>
  <si>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</si>
  <si>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</si>
  <si>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</si>
  <si>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</si>
  <si>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</si>
  <si>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</si>
  <si>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</si>
  <si>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</si>
  <si>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</si>
  <si>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</si>
  <si>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</si>
  <si>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</si>
  <si>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</si>
  <si>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</si>
  <si>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</si>
  <si>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</si>
  <si>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</si>
  <si>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</si>
  <si>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</si>
  <si>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</si>
  <si>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</si>
  <si>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</si>
  <si>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</si>
  <si>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</si>
  <si>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</si>
  <si>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</si>
  <si>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</si>
  <si>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</si>
  <si>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</si>
  <si>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</si>
  <si>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</si>
  <si>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</si>
  <si>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</si>
  <si>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</si>
  <si>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</si>
  <si>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</si>
  <si>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</si>
  <si>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</si>
  <si>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</si>
  <si>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</si>
  <si>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</si>
  <si>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</si>
  <si>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</si>
  <si>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</si>
  <si>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</si>
  <si>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</si>
  <si>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</si>
  <si>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</si>
  <si>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</si>
  <si>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</si>
  <si>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</si>
  <si>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</si>
  <si>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</si>
  <si>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</si>
  <si>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</si>
  <si>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</si>
  <si>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</si>
  <si>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</si>
  <si>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</si>
  <si>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</si>
  <si>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</si>
  <si>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</si>
  <si>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</si>
  <si>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</si>
  <si>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</si>
  <si>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</si>
  <si>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</si>
  <si>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</si>
  <si>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</si>
  <si>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</si>
  <si>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</si>
  <si>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</si>
  <si>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</si>
  <si>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</si>
  <si>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</si>
  <si>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</si>
  <si>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</si>
  <si>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</si>
  <si>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</si>
  <si>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</si>
  <si>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</si>
  <si>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</si>
  <si>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</si>
  <si>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</si>
  <si>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</si>
  <si>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</si>
  <si>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</si>
  <si>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</si>
  <si>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</si>
  <si>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</si>
  <si>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</si>
  <si>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</si>
  <si>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</si>
  <si>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</si>
  <si>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</si>
  <si>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</si>
  <si>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</si>
  <si>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</si>
  <si>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</si>
  <si>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</si>
  <si>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</si>
  <si>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</si>
  <si>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</si>
  <si>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</si>
  <si>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</si>
  <si>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</si>
  <si>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</si>
  <si>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</si>
  <si>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</si>
  <si>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</si>
  <si>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</si>
  <si>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</si>
  <si>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</si>
  <si>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</si>
  <si>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</si>
  <si>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</si>
  <si>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</si>
  <si>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</si>
  <si>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</si>
  <si>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</si>
  <si>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</si>
  <si>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</si>
  <si>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</si>
  <si>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</si>
  <si>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</si>
  <si>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</si>
  <si>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</si>
  <si>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</si>
  <si>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</si>
  <si>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</si>
  <si>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</si>
  <si>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</si>
  <si>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</si>
  <si>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</si>
  <si>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</si>
  <si>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</si>
  <si>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</si>
  <si>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</si>
  <si>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</si>
  <si>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</si>
  <si>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</si>
  <si>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</si>
  <si>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</si>
  <si>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</si>
  <si>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</si>
  <si>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</si>
  <si>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</si>
  <si>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</si>
  <si>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</si>
  <si>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</si>
  <si>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</si>
  <si>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</si>
  <si>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</si>
  <si>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</si>
  <si>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</si>
  <si>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</si>
  <si>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</si>
  <si>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</si>
  <si>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</si>
  <si>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</si>
  <si>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</si>
  <si>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</si>
  <si>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</si>
  <si>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</si>
  <si>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</si>
  <si>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</si>
  <si>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</si>
  <si>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</si>
  <si>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</si>
  <si>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</si>
  <si>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</si>
  <si>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</si>
  <si>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</si>
  <si>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</si>
  <si>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</si>
  <si>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</si>
  <si>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</si>
  <si>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</si>
  <si>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</si>
  <si>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</si>
  <si>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</si>
  <si>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</si>
  <si>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</si>
  <si>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</si>
  <si>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</si>
  <si>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</si>
  <si>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</si>
  <si>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</si>
  <si>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</si>
  <si>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</si>
  <si>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</si>
  <si>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</si>
  <si>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</si>
  <si>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</si>
  <si>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</si>
  <si>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</si>
  <si>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</si>
  <si>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</si>
  <si>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</si>
  <si>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</si>
  <si>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</si>
  <si>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</si>
  <si>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</si>
  <si>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</si>
  <si>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</si>
  <si>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</si>
  <si>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</si>
  <si>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</si>
  <si>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</si>
  <si>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</si>
  <si>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</si>
  <si>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</si>
  <si>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</si>
  <si>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</si>
  <si>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</si>
  <si>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</si>
  <si>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</si>
  <si>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</si>
  <si>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</si>
  <si>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</si>
  <si>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</si>
  <si>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</si>
  <si>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</si>
  <si>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</si>
  <si>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</si>
  <si>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</si>
  <si>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</si>
  <si>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</si>
  <si>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</si>
  <si>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</si>
  <si>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</si>
  <si>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</si>
  <si>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</si>
  <si>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</si>
  <si>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</si>
  <si>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</si>
  <si>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</si>
  <si>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</si>
  <si>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</si>
  <si>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</si>
  <si>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</si>
  <si>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</si>
  <si>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</si>
  <si>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</si>
  <si>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</si>
  <si>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</si>
  <si>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</si>
  <si>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</si>
  <si>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</si>
  <si>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</si>
  <si>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</si>
  <si>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</si>
  <si>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</si>
  <si>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</si>
  <si>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</si>
  <si>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72018</t>
  </si>
  <si>
    <t>KINROOI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</si>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</sst>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72018</v>
      </c>
      <c r="B6" s="396"/>
      <c r="C6" s="397"/>
    </row>
    <row r="7" spans="1:7" s="394" customFormat="1" ht="15.75" customHeight="1">
      <c r="A7" s="398" t="str">
        <f>txtMunicipality</f>
        <v>KINROOI</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0.20441565145381996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0.20441565145381996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72018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4640</v>
      </c>
      <c r="C9" s="336">
        <v>4939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3039</v>
      </c>
    </row>
    <row r="15" spans="1:6">
      <c r="A15" s="1277" t="s">
        <v>184</v>
      </c>
      <c r="B15" s="333">
        <v>449</v>
      </c>
    </row>
    <row r="16" spans="1:6">
      <c r="A16" s="1277" t="s">
        <v>6</v>
      </c>
      <c r="B16" s="333">
        <v>2476</v>
      </c>
    </row>
    <row r="17" spans="1:6">
      <c r="A17" s="1277" t="s">
        <v>7</v>
      </c>
      <c r="B17" s="333">
        <v>226</v>
      </c>
    </row>
    <row r="18" spans="1:6">
      <c r="A18" s="1277" t="s">
        <v>8</v>
      </c>
      <c r="B18" s="333">
        <v>1253</v>
      </c>
    </row>
    <row r="19" spans="1:6">
      <c r="A19" s="1277" t="s">
        <v>9</v>
      </c>
      <c r="B19" s="333">
        <v>1221</v>
      </c>
    </row>
    <row r="20" spans="1:6">
      <c r="A20" s="1277" t="s">
        <v>10</v>
      </c>
      <c r="B20" s="333">
        <v>833</v>
      </c>
    </row>
    <row r="21" spans="1:6">
      <c r="A21" s="1277" t="s">
        <v>11</v>
      </c>
      <c r="B21" s="333">
        <v>7943</v>
      </c>
    </row>
    <row r="22" spans="1:6">
      <c r="A22" s="1277" t="s">
        <v>12</v>
      </c>
      <c r="B22" s="333">
        <v>21781</v>
      </c>
    </row>
    <row r="23" spans="1:6">
      <c r="A23" s="1277" t="s">
        <v>13</v>
      </c>
      <c r="B23" s="333">
        <v>283</v>
      </c>
    </row>
    <row r="24" spans="1:6">
      <c r="A24" s="1277" t="s">
        <v>14</v>
      </c>
      <c r="B24" s="333">
        <v>12</v>
      </c>
    </row>
    <row r="25" spans="1:6">
      <c r="A25" s="1277" t="s">
        <v>15</v>
      </c>
      <c r="B25" s="333">
        <v>1968</v>
      </c>
    </row>
    <row r="26" spans="1:6">
      <c r="A26" s="1277" t="s">
        <v>16</v>
      </c>
      <c r="B26" s="333">
        <v>291</v>
      </c>
    </row>
    <row r="27" spans="1:6">
      <c r="A27" s="1277" t="s">
        <v>17</v>
      </c>
      <c r="B27" s="333">
        <v>16</v>
      </c>
    </row>
    <row r="28" spans="1:6">
      <c r="A28" s="1277" t="s">
        <v>18</v>
      </c>
      <c r="B28" s="333">
        <v>526584</v>
      </c>
    </row>
    <row r="29" spans="1:6">
      <c r="A29" s="1277" t="s">
        <v>957</v>
      </c>
      <c r="B29" s="333">
        <v>122</v>
      </c>
    </row>
    <row r="30" spans="1:6">
      <c r="A30" s="1273" t="s">
        <v>958</v>
      </c>
      <c r="B30" s="1273">
        <v>43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9</v>
      </c>
      <c r="F36" s="333">
        <v>98592</v>
      </c>
    </row>
    <row r="37" spans="1:6">
      <c r="A37" s="1277" t="s">
        <v>25</v>
      </c>
      <c r="B37" s="1277" t="s">
        <v>28</v>
      </c>
      <c r="C37" s="333">
        <v>0</v>
      </c>
      <c r="D37" s="333">
        <v>0</v>
      </c>
      <c r="E37" s="333">
        <v>0</v>
      </c>
      <c r="F37" s="333">
        <v>0</v>
      </c>
    </row>
    <row r="38" spans="1:6">
      <c r="A38" s="1277" t="s">
        <v>25</v>
      </c>
      <c r="B38" s="1277" t="s">
        <v>29</v>
      </c>
      <c r="C38" s="333">
        <v>0</v>
      </c>
      <c r="D38" s="333">
        <v>0</v>
      </c>
      <c r="E38" s="333">
        <v>1</v>
      </c>
      <c r="F38" s="333">
        <v>4352</v>
      </c>
    </row>
    <row r="39" spans="1:6">
      <c r="A39" s="1277" t="s">
        <v>30</v>
      </c>
      <c r="B39" s="1277" t="s">
        <v>31</v>
      </c>
      <c r="C39" s="333">
        <v>1449</v>
      </c>
      <c r="D39" s="333">
        <v>27144989</v>
      </c>
      <c r="E39" s="333">
        <v>4588</v>
      </c>
      <c r="F39" s="333">
        <v>21717339</v>
      </c>
    </row>
    <row r="40" spans="1:6">
      <c r="A40" s="1277" t="s">
        <v>30</v>
      </c>
      <c r="B40" s="1277" t="s">
        <v>29</v>
      </c>
      <c r="C40" s="333">
        <v>0</v>
      </c>
      <c r="D40" s="333">
        <v>0</v>
      </c>
      <c r="E40" s="333">
        <v>0</v>
      </c>
      <c r="F40" s="333">
        <v>0</v>
      </c>
    </row>
    <row r="41" spans="1:6">
      <c r="A41" s="1277" t="s">
        <v>32</v>
      </c>
      <c r="B41" s="1277" t="s">
        <v>33</v>
      </c>
      <c r="C41" s="333">
        <v>16</v>
      </c>
      <c r="D41" s="333">
        <v>975336</v>
      </c>
      <c r="E41" s="333">
        <v>64</v>
      </c>
      <c r="F41" s="333">
        <v>1003191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440355</v>
      </c>
      <c r="E44" s="333">
        <v>17</v>
      </c>
      <c r="F44" s="333">
        <v>725826</v>
      </c>
    </row>
    <row r="45" spans="1:6">
      <c r="A45" s="1277" t="s">
        <v>32</v>
      </c>
      <c r="B45" s="1277" t="s">
        <v>37</v>
      </c>
      <c r="C45" s="333">
        <v>0</v>
      </c>
      <c r="D45" s="333">
        <v>0</v>
      </c>
      <c r="E45" s="333">
        <v>3</v>
      </c>
      <c r="F45" s="333">
        <v>2518245</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1506463</v>
      </c>
      <c r="E48" s="333">
        <v>1</v>
      </c>
      <c r="F48" s="333">
        <v>2632</v>
      </c>
    </row>
    <row r="49" spans="1:6">
      <c r="A49" s="1277" t="s">
        <v>32</v>
      </c>
      <c r="B49" s="1277" t="s">
        <v>40</v>
      </c>
      <c r="C49" s="333">
        <v>0</v>
      </c>
      <c r="D49" s="333">
        <v>0</v>
      </c>
      <c r="E49" s="333">
        <v>0</v>
      </c>
      <c r="F49" s="333">
        <v>0</v>
      </c>
    </row>
    <row r="50" spans="1:6">
      <c r="A50" s="1277" t="s">
        <v>32</v>
      </c>
      <c r="B50" s="1277" t="s">
        <v>41</v>
      </c>
      <c r="C50" s="333">
        <v>0</v>
      </c>
      <c r="D50" s="333">
        <v>0</v>
      </c>
      <c r="E50" s="333">
        <v>7</v>
      </c>
      <c r="F50" s="333">
        <v>336286</v>
      </c>
    </row>
    <row r="51" spans="1:6">
      <c r="A51" s="1277" t="s">
        <v>42</v>
      </c>
      <c r="B51" s="1277" t="s">
        <v>43</v>
      </c>
      <c r="C51" s="333">
        <v>5</v>
      </c>
      <c r="D51" s="333">
        <v>2319438</v>
      </c>
      <c r="E51" s="333">
        <v>119</v>
      </c>
      <c r="F51" s="333">
        <v>3086381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71</v>
      </c>
      <c r="F54" s="333">
        <v>641194</v>
      </c>
    </row>
    <row r="55" spans="1:6">
      <c r="A55" s="1277" t="s">
        <v>46</v>
      </c>
      <c r="B55" s="1277" t="s">
        <v>29</v>
      </c>
      <c r="C55" s="333">
        <v>0</v>
      </c>
      <c r="D55" s="333">
        <v>0</v>
      </c>
      <c r="E55" s="333">
        <v>0</v>
      </c>
      <c r="F55" s="333">
        <v>0</v>
      </c>
    </row>
    <row r="56" spans="1:6">
      <c r="A56" s="1277" t="s">
        <v>48</v>
      </c>
      <c r="B56" s="1277" t="s">
        <v>29</v>
      </c>
      <c r="C56" s="333">
        <v>15</v>
      </c>
      <c r="D56" s="333">
        <v>908090</v>
      </c>
      <c r="E56" s="333">
        <v>81</v>
      </c>
      <c r="F56" s="333">
        <v>1609425</v>
      </c>
    </row>
    <row r="57" spans="1:6">
      <c r="A57" s="1277" t="s">
        <v>49</v>
      </c>
      <c r="B57" s="1277" t="s">
        <v>50</v>
      </c>
      <c r="C57" s="333">
        <v>3</v>
      </c>
      <c r="D57" s="333">
        <v>46382</v>
      </c>
      <c r="E57" s="333">
        <v>51</v>
      </c>
      <c r="F57" s="333">
        <v>1827068</v>
      </c>
    </row>
    <row r="58" spans="1:6">
      <c r="A58" s="1277" t="s">
        <v>49</v>
      </c>
      <c r="B58" s="1277" t="s">
        <v>51</v>
      </c>
      <c r="C58" s="333">
        <v>3</v>
      </c>
      <c r="D58" s="333">
        <v>103627</v>
      </c>
      <c r="E58" s="333">
        <v>17</v>
      </c>
      <c r="F58" s="333">
        <v>661256</v>
      </c>
    </row>
    <row r="59" spans="1:6">
      <c r="A59" s="1277" t="s">
        <v>49</v>
      </c>
      <c r="B59" s="1277" t="s">
        <v>52</v>
      </c>
      <c r="C59" s="333">
        <v>27</v>
      </c>
      <c r="D59" s="333">
        <v>993044</v>
      </c>
      <c r="E59" s="333">
        <v>110</v>
      </c>
      <c r="F59" s="333">
        <v>2907797</v>
      </c>
    </row>
    <row r="60" spans="1:6">
      <c r="A60" s="1277" t="s">
        <v>49</v>
      </c>
      <c r="B60" s="1277" t="s">
        <v>53</v>
      </c>
      <c r="C60" s="333">
        <v>10</v>
      </c>
      <c r="D60" s="333">
        <v>649899</v>
      </c>
      <c r="E60" s="333">
        <v>38</v>
      </c>
      <c r="F60" s="333">
        <v>1235869</v>
      </c>
    </row>
    <row r="61" spans="1:6">
      <c r="A61" s="1277" t="s">
        <v>49</v>
      </c>
      <c r="B61" s="1277" t="s">
        <v>54</v>
      </c>
      <c r="C61" s="333">
        <v>21</v>
      </c>
      <c r="D61" s="333">
        <v>1627210</v>
      </c>
      <c r="E61" s="333">
        <v>128</v>
      </c>
      <c r="F61" s="333">
        <v>1646132</v>
      </c>
    </row>
    <row r="62" spans="1:6">
      <c r="A62" s="1277" t="s">
        <v>49</v>
      </c>
      <c r="B62" s="1277" t="s">
        <v>55</v>
      </c>
      <c r="C62" s="333">
        <v>4</v>
      </c>
      <c r="D62" s="333">
        <v>353382</v>
      </c>
      <c r="E62" s="333">
        <v>11</v>
      </c>
      <c r="F62" s="333">
        <v>145338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29712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126737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52508501</v>
      </c>
      <c r="E73" s="333">
        <v>54721714.208241783</v>
      </c>
      <c r="F73" s="333">
        <v>52779491</v>
      </c>
    </row>
    <row r="74" spans="1:6">
      <c r="A74" s="1277" t="s">
        <v>64</v>
      </c>
      <c r="B74" s="1277" t="s">
        <v>774</v>
      </c>
      <c r="C74" s="1288" t="s">
        <v>775</v>
      </c>
      <c r="D74" s="333">
        <v>4524689.4811825072</v>
      </c>
      <c r="E74" s="333">
        <v>4894688.4655794874</v>
      </c>
      <c r="F74" s="333">
        <v>4661821.1181544513</v>
      </c>
    </row>
    <row r="75" spans="1:6">
      <c r="A75" s="1277" t="s">
        <v>65</v>
      </c>
      <c r="B75" s="1277" t="s">
        <v>772</v>
      </c>
      <c r="C75" s="1288" t="s">
        <v>776</v>
      </c>
      <c r="D75" s="333">
        <v>11734732</v>
      </c>
      <c r="E75" s="333">
        <v>12229386.908470808</v>
      </c>
      <c r="F75" s="333">
        <v>11795317</v>
      </c>
    </row>
    <row r="76" spans="1:6">
      <c r="A76" s="1277" t="s">
        <v>65</v>
      </c>
      <c r="B76" s="1277" t="s">
        <v>774</v>
      </c>
      <c r="C76" s="1288" t="s">
        <v>777</v>
      </c>
      <c r="D76" s="333">
        <v>207435.48118250727</v>
      </c>
      <c r="E76" s="333">
        <v>235713.25685383991</v>
      </c>
      <c r="F76" s="333">
        <v>220257.11815445111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137867.03763498546</v>
      </c>
      <c r="C83" s="333">
        <v>126063.50382183086</v>
      </c>
      <c r="D83" s="333">
        <v>128249.7636910978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2190.7308837510118</v>
      </c>
    </row>
    <row r="92" spans="1:6">
      <c r="A92" s="1273" t="s">
        <v>69</v>
      </c>
      <c r="B92" s="336">
        <v>980.19826950891218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313</v>
      </c>
    </row>
    <row r="98" spans="1:6">
      <c r="A98" s="1277" t="s">
        <v>72</v>
      </c>
      <c r="B98" s="333">
        <v>4</v>
      </c>
    </row>
    <row r="99" spans="1:6">
      <c r="A99" s="1277" t="s">
        <v>73</v>
      </c>
      <c r="B99" s="333">
        <v>69</v>
      </c>
    </row>
    <row r="100" spans="1:6">
      <c r="A100" s="1277" t="s">
        <v>74</v>
      </c>
      <c r="B100" s="333">
        <v>97</v>
      </c>
    </row>
    <row r="101" spans="1:6">
      <c r="A101" s="1277" t="s">
        <v>75</v>
      </c>
      <c r="B101" s="333">
        <v>44</v>
      </c>
    </row>
    <row r="102" spans="1:6">
      <c r="A102" s="1277" t="s">
        <v>76</v>
      </c>
      <c r="B102" s="333">
        <v>36</v>
      </c>
    </row>
    <row r="103" spans="1:6">
      <c r="A103" s="1277" t="s">
        <v>77</v>
      </c>
      <c r="B103" s="333">
        <v>68</v>
      </c>
    </row>
    <row r="104" spans="1:6">
      <c r="A104" s="1277" t="s">
        <v>78</v>
      </c>
      <c r="B104" s="333">
        <v>3494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42255.222803542456</v>
      </c>
      <c r="C3" s="43" t="s">
        <v>170</v>
      </c>
      <c r="D3" s="43"/>
      <c r="E3" s="156"/>
      <c r="F3" s="43"/>
      <c r="G3" s="43"/>
      <c r="H3" s="43"/>
      <c r="I3" s="43"/>
      <c r="J3" s="43"/>
      <c r="K3" s="96"/>
    </row>
    <row r="4" spans="1:11">
      <c r="A4" s="364" t="s">
        <v>171</v>
      </c>
      <c r="B4" s="49">
        <f>IF(ISERROR('SEAP template'!B78),0,'SEAP template'!B78)</f>
        <v>3170.9291532599241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0.20441565145381996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641.19399999999996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641.19399999999996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0.20441565145381996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131.07008921828063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21717.339</v>
      </c>
      <c r="C5" s="17">
        <f>IF(ISERROR('Eigen informatie GS &amp; warmtenet'!B57),0,'Eigen informatie GS &amp; warmtenet'!B57)</f>
        <v>0</v>
      </c>
      <c r="D5" s="30">
        <f>(SUM(HH_hh_gas_kWh,HH_rest_gas_kWh)/1000)*0.902</f>
        <v>24484.780078000003</v>
      </c>
      <c r="E5" s="17">
        <f>B46*B57</f>
        <v>4781.0404541250691</v>
      </c>
      <c r="F5" s="17">
        <f>B51*B62</f>
        <v>56357.684845147567</v>
      </c>
      <c r="G5" s="18"/>
      <c r="H5" s="17"/>
      <c r="I5" s="17"/>
      <c r="J5" s="17">
        <f>B50*B61+C50*C61</f>
        <v>0</v>
      </c>
      <c r="K5" s="17"/>
      <c r="L5" s="17"/>
      <c r="M5" s="17"/>
      <c r="N5" s="17">
        <f>B48*B59+C48*C59</f>
        <v>8821.1641766471585</v>
      </c>
      <c r="O5" s="17">
        <f>B69*B70*B71</f>
        <v>48.463333333333338</v>
      </c>
      <c r="P5" s="17">
        <f>B77*B78*B79/1000-B77*B78*B79/1000/B80</f>
        <v>228.8</v>
      </c>
    </row>
    <row r="6" spans="1:16">
      <c r="A6" s="16" t="s">
        <v>632</v>
      </c>
      <c r="B6" s="779">
        <f>kWh_PV_kleiner_dan_10kW</f>
        <v>2190.7308837510118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23908.069883751014</v>
      </c>
      <c r="C8" s="21">
        <f>C5</f>
        <v>0</v>
      </c>
      <c r="D8" s="21">
        <f>D5</f>
        <v>24484.780078000003</v>
      </c>
      <c r="E8" s="21">
        <f>E5</f>
        <v>4781.0404541250691</v>
      </c>
      <c r="F8" s="21">
        <f>F5</f>
        <v>56357.684845147567</v>
      </c>
      <c r="G8" s="21"/>
      <c r="H8" s="21"/>
      <c r="I8" s="21"/>
      <c r="J8" s="21">
        <f>J5</f>
        <v>0</v>
      </c>
      <c r="K8" s="21"/>
      <c r="L8" s="21">
        <f>L5</f>
        <v>0</v>
      </c>
      <c r="M8" s="21">
        <f>M5</f>
        <v>0</v>
      </c>
      <c r="N8" s="21">
        <f>N5</f>
        <v>8821.1641766471585</v>
      </c>
      <c r="O8" s="21">
        <f>O5</f>
        <v>48.463333333333338</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0.20441565145381996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4887.1836802904172</v>
      </c>
      <c r="C12" s="23">
        <f ca="1">C10*C8</f>
        <v>0</v>
      </c>
      <c r="D12" s="23">
        <f>D8*D10</f>
        <v>4945.9255757560013</v>
      </c>
      <c r="E12" s="23">
        <f>E10*E8</f>
        <v>1085.2961830863908</v>
      </c>
      <c r="F12" s="23">
        <f>F10*F8</f>
        <v>15047.501853654401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313</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32.857142857142854</v>
      </c>
      <c r="D20" s="230"/>
      <c r="E20" s="15"/>
    </row>
    <row r="21" spans="1:7">
      <c r="A21" s="172" t="s">
        <v>74</v>
      </c>
      <c r="B21" s="37">
        <f>aantalw2001_elektriciteit</f>
        <v>97</v>
      </c>
      <c r="C21" s="168">
        <f>IF(ISERROR(B21/SUM($B$20,$B$21,$B$22)*100),0,B21/SUM($B$20,$B$21,$B$22)*100)</f>
        <v>46.19047619047619</v>
      </c>
      <c r="D21" s="230"/>
      <c r="E21" s="15"/>
    </row>
    <row r="22" spans="1:7">
      <c r="A22" s="172" t="s">
        <v>75</v>
      </c>
      <c r="B22" s="37">
        <f>aantalw2001_hout</f>
        <v>44</v>
      </c>
      <c r="C22" s="168">
        <f>IF(ISERROR(B22/SUM($B$20,$B$21,$B$22)*100),0,B22/SUM($B$20,$B$21,$B$22)*100)</f>
        <v>20.952380952380953</v>
      </c>
      <c r="D22" s="230"/>
      <c r="E22" s="15"/>
    </row>
    <row r="23" spans="1:7">
      <c r="A23" s="172" t="s">
        <v>76</v>
      </c>
      <c r="B23" s="37">
        <f>aantalw2001_niet_gespec</f>
        <v>36</v>
      </c>
      <c r="C23" s="167" t="s">
        <v>111</v>
      </c>
      <c r="D23" s="229"/>
      <c r="E23" s="15"/>
    </row>
    <row r="24" spans="1:7">
      <c r="A24" s="172" t="s">
        <v>77</v>
      </c>
      <c r="B24" s="37">
        <f>aantalw2001_steenkool</f>
        <v>68</v>
      </c>
      <c r="C24" s="167" t="s">
        <v>111</v>
      </c>
      <c r="D24" s="230"/>
      <c r="E24" s="15"/>
    </row>
    <row r="25" spans="1:7">
      <c r="A25" s="172" t="s">
        <v>78</v>
      </c>
      <c r="B25" s="37">
        <f>aantalw2001_stookolie</f>
        <v>3494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4640</v>
      </c>
      <c r="C28" s="36"/>
      <c r="D28" s="229"/>
    </row>
    <row r="29" spans="1:7" s="15" customFormat="1">
      <c r="A29" s="231" t="s">
        <v>713</v>
      </c>
      <c r="B29" s="37">
        <f>SUM(HH_hh_gas_aantal,HH_rest_gas_aantal)</f>
        <v>1449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1449</v>
      </c>
      <c r="C32" s="168">
        <f>IF(ISERROR(B32/SUM($B$32,$B$34,$B$35,$B$36,$B$38,$B$39)*100),0,B32/SUM($B$32,$B$34,$B$35,$B$36,$B$38,$B$39)*100)</f>
        <v>31.309420916162487</v>
      </c>
      <c r="D32" s="234"/>
      <c r="G32" s="15"/>
    </row>
    <row r="33" spans="1:7">
      <c r="A33" s="172" t="s">
        <v>72</v>
      </c>
      <c r="B33" s="34" t="s">
        <v>111</v>
      </c>
      <c r="C33" s="168"/>
      <c r="D33" s="234"/>
      <c r="G33" s="15"/>
    </row>
    <row r="34" spans="1:7">
      <c r="A34" s="172" t="s">
        <v>73</v>
      </c>
      <c r="B34" s="33">
        <f>IF((($B$28-$B$32-$B$39-$B$77-$B$38)*C20/100)&lt;0,0,($B$28-$B$32-$B$39-$B$77-$B$38)*C20/100)</f>
        <v>232.4314285714286</v>
      </c>
      <c r="C34" s="168">
        <f>IF(ISERROR(B34/SUM($B$32,$B$34,$B$35,$B$36,$B$38,$B$39)*100),0,B34/SUM($B$32,$B$34,$B$35,$B$36,$B$38,$B$39)*100)</f>
        <v>5.0222867020619839</v>
      </c>
      <c r="D34" s="234"/>
      <c r="G34" s="15"/>
    </row>
    <row r="35" spans="1:7">
      <c r="A35" s="172" t="s">
        <v>74</v>
      </c>
      <c r="B35" s="33">
        <f>IF((($B$28-$B$32-$B$39-$B$77-$B$38)*C21/100)&lt;0,0,($B$28-$B$32-$B$39-$B$77-$B$38)*C21/100)</f>
        <v>326.75142857142862</v>
      </c>
      <c r="C35" s="168">
        <f>IF(ISERROR(B35/SUM($B$32,$B$34,$B$35,$B$36,$B$38,$B$39)*100),0,B35/SUM($B$32,$B$34,$B$35,$B$36,$B$38,$B$39)*100)</f>
        <v>7.060316088405977</v>
      </c>
      <c r="D35" s="234"/>
      <c r="G35" s="15"/>
    </row>
    <row r="36" spans="1:7">
      <c r="A36" s="172" t="s">
        <v>75</v>
      </c>
      <c r="B36" s="33">
        <f>IF((($B$28-$B$32-$B$39-$B$77-$B$38)*C22/100)&lt;0,0,($B$28-$B$32-$B$39-$B$77-$B$38)*C22/100)</f>
        <v>148.21714285714287</v>
      </c>
      <c r="C36" s="168">
        <f>IF(ISERROR(B36/SUM($B$32,$B$34,$B$35,$B$36,$B$38,$B$39)*100),0,B36/SUM($B$32,$B$34,$B$35,$B$36,$B$38,$B$39)*100)</f>
        <v>3.2026176071119896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2471.6</v>
      </c>
      <c r="C39" s="168">
        <f>IF(ISERROR(B39/SUM($B$32,$B$34,$B$35,$B$36,$B$38,$B$39)*100),0,B39/SUM($B$32,$B$34,$B$35,$B$36,$B$38,$B$39)*100)</f>
        <v>53.405358686257564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232.4314285714286</v>
      </c>
      <c r="C46" s="34" t="s">
        <v>111</v>
      </c>
      <c r="D46" s="175"/>
    </row>
    <row r="47" spans="1:7">
      <c r="A47" s="172" t="s">
        <v>74</v>
      </c>
      <c r="B47" s="33">
        <f t="shared" si="0"/>
        <v>326.75142857142862</v>
      </c>
      <c r="C47" s="34" t="s">
        <v>111</v>
      </c>
      <c r="D47" s="175"/>
    </row>
    <row r="48" spans="1:7">
      <c r="A48" s="172" t="s">
        <v>75</v>
      </c>
      <c r="B48" s="33">
        <f t="shared" si="0"/>
        <v>148.21714285714287</v>
      </c>
      <c r="C48" s="33">
        <f>B48*10</f>
        <v>1482.1714285714288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2471.6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8423.4600000000009</v>
      </c>
      <c r="C5" s="17">
        <f>IF(ISERROR('Eigen informatie GS &amp; warmtenet'!B58),0,'Eigen informatie GS &amp; warmtenet'!B58)</f>
        <v>0</v>
      </c>
      <c r="D5" s="30">
        <f>SUM(D6:D12)</f>
        <v>3403.7366880000004</v>
      </c>
      <c r="E5" s="17">
        <f>SUM(E6:E12)</f>
        <v>153.79156712512767</v>
      </c>
      <c r="F5" s="17">
        <f>SUM(F6:F12)</f>
        <v>1665.6347053889153</v>
      </c>
      <c r="G5" s="18"/>
      <c r="H5" s="17"/>
      <c r="I5" s="17"/>
      <c r="J5" s="17">
        <f>SUM(J6:J12)</f>
        <v>0</v>
      </c>
      <c r="K5" s="17"/>
      <c r="L5" s="17"/>
      <c r="M5" s="17"/>
      <c r="N5" s="17">
        <f>SUM(N6:N12)</f>
        <v>441.32702560510461</v>
      </c>
      <c r="O5" s="17">
        <f>B38*B39*B40</f>
        <v>0</v>
      </c>
      <c r="P5" s="17">
        <f>B46*B47*B48/1000-B46*B47*B48/1000/B49</f>
        <v>0</v>
      </c>
      <c r="R5" s="32"/>
    </row>
    <row r="6" spans="1:18">
      <c r="A6" s="32" t="s">
        <v>54</v>
      </c>
      <c r="B6" s="37">
        <f>B26</f>
        <v>1646.1320000000001</v>
      </c>
      <c r="C6" s="33"/>
      <c r="D6" s="37">
        <f>IF(ISERROR(TER_kantoor_gas_kWh/1000),0,TER_kantoor_gas_kWh/1000)*0.902</f>
        <v>1467.74342</v>
      </c>
      <c r="E6" s="33">
        <f>$C$26*'E Balans VL '!I12/100/3.6*1000000</f>
        <v>57.621095466216168</v>
      </c>
      <c r="F6" s="33">
        <f>$C$26*('E Balans VL '!L12+'E Balans VL '!N12)/100/3.6*1000000</f>
        <v>249.58895330771909</v>
      </c>
      <c r="G6" s="34"/>
      <c r="H6" s="33"/>
      <c r="I6" s="33"/>
      <c r="J6" s="33">
        <f>$C$26*('E Balans VL '!D12+'E Balans VL '!E12)/100/3.6*1000000</f>
        <v>0</v>
      </c>
      <c r="K6" s="33"/>
      <c r="L6" s="33"/>
      <c r="M6" s="33"/>
      <c r="N6" s="33">
        <f>$C$26*'E Balans VL '!Y12/100/3.6*1000000</f>
        <v>12.724085134863634</v>
      </c>
      <c r="O6" s="33"/>
      <c r="P6" s="33"/>
      <c r="R6" s="32"/>
    </row>
    <row r="7" spans="1:18">
      <c r="A7" s="32" t="s">
        <v>53</v>
      </c>
      <c r="B7" s="37">
        <f t="shared" ref="B7:B12" si="0">B27</f>
        <v>1235.8689999999999</v>
      </c>
      <c r="C7" s="33"/>
      <c r="D7" s="37">
        <f>IF(ISERROR(TER_horeca_gas_kWh/1000),0,TER_horeca_gas_kWh/1000)*0.902</f>
        <v>586.20889799999998</v>
      </c>
      <c r="E7" s="33">
        <f>$C$27*'E Balans VL '!I9/100/3.6*1000000</f>
        <v>69.719444655572843</v>
      </c>
      <c r="F7" s="33">
        <f>$C$27*('E Balans VL '!L9+'E Balans VL '!N9)/100/3.6*1000000</f>
        <v>215.29521918685955</v>
      </c>
      <c r="G7" s="34"/>
      <c r="H7" s="33"/>
      <c r="I7" s="33"/>
      <c r="J7" s="33">
        <f>$C$27*('E Balans VL '!D9+'E Balans VL '!E9)/100/3.6*1000000</f>
        <v>0</v>
      </c>
      <c r="K7" s="33"/>
      <c r="L7" s="33"/>
      <c r="M7" s="33"/>
      <c r="N7" s="33">
        <f>$C$27*'E Balans VL '!Y9/100/3.6*1000000</f>
        <v>0</v>
      </c>
      <c r="O7" s="33"/>
      <c r="P7" s="33"/>
      <c r="R7" s="32"/>
    </row>
    <row r="8" spans="1:18">
      <c r="A8" s="6" t="s">
        <v>52</v>
      </c>
      <c r="B8" s="37">
        <f t="shared" si="0"/>
        <v>2907.797</v>
      </c>
      <c r="C8" s="33"/>
      <c r="D8" s="37">
        <f>IF(ISERROR(TER_handel_gas_kWh/1000),0,TER_handel_gas_kWh/1000)*0.902</f>
        <v>895.72568799999999</v>
      </c>
      <c r="E8" s="33">
        <f>$C$28*'E Balans VL '!I13/100/3.6*1000000</f>
        <v>14.9283343701095</v>
      </c>
      <c r="F8" s="33">
        <f>$C$28*('E Balans VL '!L13+'E Balans VL '!N13)/100/3.6*1000000</f>
        <v>448.33736732407624</v>
      </c>
      <c r="G8" s="34"/>
      <c r="H8" s="33"/>
      <c r="I8" s="33"/>
      <c r="J8" s="33">
        <f>$C$28*('E Balans VL '!D13+'E Balans VL '!E13)/100/3.6*1000000</f>
        <v>0</v>
      </c>
      <c r="K8" s="33"/>
      <c r="L8" s="33"/>
      <c r="M8" s="33"/>
      <c r="N8" s="33">
        <f>$C$28*'E Balans VL '!Y13/100/3.6*1000000</f>
        <v>1.3600121513400698</v>
      </c>
      <c r="O8" s="33"/>
      <c r="P8" s="33"/>
      <c r="R8" s="32"/>
    </row>
    <row r="9" spans="1:18">
      <c r="A9" s="32" t="s">
        <v>51</v>
      </c>
      <c r="B9" s="37">
        <f t="shared" si="0"/>
        <v>661.25599999999997</v>
      </c>
      <c r="C9" s="33"/>
      <c r="D9" s="37">
        <f>IF(ISERROR(TER_gezond_gas_kWh/1000),0,TER_gezond_gas_kWh/1000)*0.902</f>
        <v>93.471553999999998</v>
      </c>
      <c r="E9" s="33">
        <f>$C$29*'E Balans VL '!I10/100/3.6*1000000</f>
        <v>0.27408590270354827</v>
      </c>
      <c r="F9" s="33">
        <f>$C$29*('E Balans VL '!L10+'E Balans VL '!N10)/100/3.6*1000000</f>
        <v>162.85786912390853</v>
      </c>
      <c r="G9" s="34"/>
      <c r="H9" s="33"/>
      <c r="I9" s="33"/>
      <c r="J9" s="33">
        <f>$C$29*('E Balans VL '!D10+'E Balans VL '!E10)/100/3.6*1000000</f>
        <v>0</v>
      </c>
      <c r="K9" s="33"/>
      <c r="L9" s="33"/>
      <c r="M9" s="33"/>
      <c r="N9" s="33">
        <f>$C$29*'E Balans VL '!Y10/100/3.6*1000000</f>
        <v>5.7148885313349282</v>
      </c>
      <c r="O9" s="33"/>
      <c r="P9" s="33"/>
      <c r="R9" s="32"/>
    </row>
    <row r="10" spans="1:18">
      <c r="A10" s="32" t="s">
        <v>50</v>
      </c>
      <c r="B10" s="37">
        <f t="shared" si="0"/>
        <v>1827.068</v>
      </c>
      <c r="C10" s="33"/>
      <c r="D10" s="37">
        <f>IF(ISERROR(TER_ander_gas_kWh/1000),0,TER_ander_gas_kWh/1000)*0.902</f>
        <v>41.836564000000003</v>
      </c>
      <c r="E10" s="33">
        <f>$C$30*'E Balans VL '!I14/100/3.6*1000000</f>
        <v>11.137851606695987</v>
      </c>
      <c r="F10" s="33">
        <f>$C$30*('E Balans VL '!L14+'E Balans VL '!N14)/100/3.6*1000000</f>
        <v>484.38075479255144</v>
      </c>
      <c r="G10" s="34"/>
      <c r="H10" s="33"/>
      <c r="I10" s="33"/>
      <c r="J10" s="33">
        <f>$C$30*('E Balans VL '!D14+'E Balans VL '!E14)/100/3.6*1000000</f>
        <v>0</v>
      </c>
      <c r="K10" s="33"/>
      <c r="L10" s="33"/>
      <c r="M10" s="33"/>
      <c r="N10" s="33">
        <f>$C$30*'E Balans VL '!Y14/100/3.6*1000000</f>
        <v>421.09969396641696</v>
      </c>
      <c r="O10" s="33"/>
      <c r="P10" s="33"/>
      <c r="R10" s="32"/>
    </row>
    <row r="11" spans="1:18">
      <c r="A11" s="32" t="s">
        <v>55</v>
      </c>
      <c r="B11" s="37">
        <f t="shared" si="0"/>
        <v>145.33799999999999</v>
      </c>
      <c r="C11" s="33"/>
      <c r="D11" s="37">
        <f>IF(ISERROR(TER_onderwijs_gas_kWh/1000),0,TER_onderwijs_gas_kWh/1000)*0.902</f>
        <v>318.750564</v>
      </c>
      <c r="E11" s="33">
        <f>$C$31*'E Balans VL '!I11/100/3.6*1000000</f>
        <v>0.11075512382960909</v>
      </c>
      <c r="F11" s="33">
        <f>$C$31*('E Balans VL '!L11+'E Balans VL '!N11)/100/3.6*1000000</f>
        <v>105.17454165380028</v>
      </c>
      <c r="G11" s="34"/>
      <c r="H11" s="33"/>
      <c r="I11" s="33"/>
      <c r="J11" s="33">
        <f>$C$31*('E Balans VL '!D11+'E Balans VL '!E11)/100/3.6*1000000</f>
        <v>0</v>
      </c>
      <c r="K11" s="33"/>
      <c r="L11" s="33"/>
      <c r="M11" s="33"/>
      <c r="N11" s="33">
        <f>$C$31*'E Balans VL '!Y11/100/3.6*1000000</f>
        <v>0.42834582114905728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8423.4600000000009</v>
      </c>
      <c r="C16" s="21">
        <f ca="1">C5+C13+C14</f>
        <v>0</v>
      </c>
      <c r="D16" s="21">
        <f t="shared" ref="D16:N16" ca="1" si="1">MAX((D5+D13+D14),0)</f>
        <v>3403.7366880000004</v>
      </c>
      <c r="E16" s="21">
        <f t="shared" si="1"/>
        <v>153.79156712512767</v>
      </c>
      <c r="F16" s="21">
        <f t="shared" ca="1" si="1"/>
        <v>1665.6347053889153</v>
      </c>
      <c r="G16" s="21">
        <f t="shared" si="1"/>
        <v>0</v>
      </c>
      <c r="H16" s="21">
        <f t="shared" si="1"/>
        <v>0</v>
      </c>
      <c r="I16" s="21">
        <f t="shared" si="1"/>
        <v>0</v>
      </c>
      <c r="J16" s="21">
        <f t="shared" si="1"/>
        <v>0</v>
      </c>
      <c r="K16" s="21">
        <f t="shared" si="1"/>
        <v>0</v>
      </c>
      <c r="L16" s="21">
        <f t="shared" ca="1" si="1"/>
        <v>0</v>
      </c>
      <c r="M16" s="21">
        <f t="shared" si="1"/>
        <v>0</v>
      </c>
      <c r="N16" s="21">
        <f t="shared" ca="1" si="1"/>
        <v>441.32702560510461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0.20441565145381996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1721.8870633951944</v>
      </c>
      <c r="C20" s="23">
        <f t="shared" ref="C20:P20" ca="1" si="2">C16*C18</f>
        <v>0</v>
      </c>
      <c r="D20" s="23">
        <f t="shared" ca="1" si="2"/>
        <v>687.55481097600011</v>
      </c>
      <c r="E20" s="23">
        <f t="shared" si="2"/>
        <v>34.910685737403981</v>
      </c>
      <c r="F20" s="23">
        <f t="shared" ca="1" si="2"/>
        <v>444.72446633884044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1646.1320000000001</v>
      </c>
      <c r="C26" s="39">
        <f>IF(ISERROR(B26*3.6/1000000/'E Balans VL '!Z12*100),0,B26*3.6/1000000/'E Balans VL '!Z12*100)</f>
        <v>3.46401180355645E-2</v>
      </c>
      <c r="D26" s="238" t="s">
        <v>719</v>
      </c>
      <c r="F26" s="6"/>
    </row>
    <row r="27" spans="1:18">
      <c r="A27" s="232" t="s">
        <v>53</v>
      </c>
      <c r="B27" s="33">
        <f>IF(ISERROR(TER_horeca_ele_kWh/1000),0,TER_horeca_ele_kWh/1000)</f>
        <v>1235.8689999999999</v>
      </c>
      <c r="C27" s="39">
        <f>IF(ISERROR(B27*3.6/1000000/'E Balans VL '!Z9*100),0,B27*3.6/1000000/'E Balans VL '!Z9*100)</f>
        <v>0.10463755547026991</v>
      </c>
      <c r="D27" s="238" t="s">
        <v>719</v>
      </c>
      <c r="F27" s="6"/>
    </row>
    <row r="28" spans="1:18">
      <c r="A28" s="172" t="s">
        <v>52</v>
      </c>
      <c r="B28" s="33">
        <f>IF(ISERROR(TER_handel_ele_kWh/1000),0,TER_handel_ele_kWh/1000)</f>
        <v>2907.797</v>
      </c>
      <c r="C28" s="39">
        <f>IF(ISERROR(B28*3.6/1000000/'E Balans VL '!Z13*100),0,B28*3.6/1000000/'E Balans VL '!Z13*100)</f>
        <v>8.0501957857605722E-2</v>
      </c>
      <c r="D28" s="238" t="s">
        <v>719</v>
      </c>
      <c r="F28" s="6"/>
    </row>
    <row r="29" spans="1:18">
      <c r="A29" s="232" t="s">
        <v>51</v>
      </c>
      <c r="B29" s="33">
        <f>IF(ISERROR(TER_gezond_ele_kWh/1000),0,TER_gezond_ele_kWh/1000)</f>
        <v>661.25599999999997</v>
      </c>
      <c r="C29" s="39">
        <f>IF(ISERROR(B29*3.6/1000000/'E Balans VL '!Z10*100),0,B29*3.6/1000000/'E Balans VL '!Z10*100)</f>
        <v>8.5955949122535069E-2</v>
      </c>
      <c r="D29" s="238" t="s">
        <v>719</v>
      </c>
      <c r="F29" s="6"/>
    </row>
    <row r="30" spans="1:18">
      <c r="A30" s="232" t="s">
        <v>50</v>
      </c>
      <c r="B30" s="33">
        <f>IF(ISERROR(TER_ander_ele_kWh/1000),0,TER_ander_ele_kWh/1000)</f>
        <v>1827.068</v>
      </c>
      <c r="C30" s="39">
        <f>IF(ISERROR(B30*3.6/1000000/'E Balans VL '!Z14*100),0,B30*3.6/1000000/'E Balans VL '!Z14*100)</f>
        <v>0.14161452549352921</v>
      </c>
      <c r="D30" s="238" t="s">
        <v>719</v>
      </c>
      <c r="F30" s="6"/>
    </row>
    <row r="31" spans="1:18">
      <c r="A31" s="232" t="s">
        <v>55</v>
      </c>
      <c r="B31" s="33">
        <f>IF(ISERROR(TER_onderwijs_ele_kWh/1000),0,TER_onderwijs_ele_kWh/1000)</f>
        <v>145.33799999999999</v>
      </c>
      <c r="C31" s="39">
        <f>IF(ISERROR(B31*3.6/1000000/'E Balans VL '!Z11*100),0,B31*3.6/1000000/'E Balans VL '!Z11*100)</f>
        <v>2.7805635907111804E-2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4586.1799999999994</v>
      </c>
      <c r="C5" s="17">
        <f>IF(ISERROR('Eigen informatie GS &amp; warmtenet'!B59),0,'Eigen informatie GS &amp; warmtenet'!B59)</f>
        <v>0</v>
      </c>
      <c r="D5" s="30">
        <f>SUM(D6:D15)</f>
        <v>2635.7829080000001</v>
      </c>
      <c r="E5" s="17">
        <f>SUM(E6:E15)</f>
        <v>87.50259078303408</v>
      </c>
      <c r="F5" s="17">
        <f>SUM(F6:F15)</f>
        <v>1186.2962861884262</v>
      </c>
      <c r="G5" s="18"/>
      <c r="H5" s="17"/>
      <c r="I5" s="17"/>
      <c r="J5" s="17">
        <f>SUM(J6:J15)</f>
        <v>30.773711413841848</v>
      </c>
      <c r="K5" s="17"/>
      <c r="L5" s="17"/>
      <c r="M5" s="17"/>
      <c r="N5" s="17">
        <f>SUM(N6:N15)</f>
        <v>82.039960111063095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725.82600000000002</v>
      </c>
      <c r="C8" s="33"/>
      <c r="D8" s="37">
        <f>IF( ISERROR(IND_metaal_Gas_kWH/1000),0,IND_metaal_Gas_kWH/1000)*0.902</f>
        <v>397.20021000000003</v>
      </c>
      <c r="E8" s="33">
        <f>C30*'E Balans VL '!I18/100/3.6*1000000</f>
        <v>5.1002191557573751</v>
      </c>
      <c r="F8" s="33">
        <f>C30*'E Balans VL '!L18/100/3.6*1000000+C30*'E Balans VL '!N18/100/3.6*1000000</f>
        <v>79.691448299923209</v>
      </c>
      <c r="G8" s="34"/>
      <c r="H8" s="33"/>
      <c r="I8" s="33"/>
      <c r="J8" s="40">
        <f>C30*'E Balans VL '!D18/100/3.6*1000000+C30*'E Balans VL '!E18/100/3.6*1000000</f>
        <v>14.975354819388601</v>
      </c>
      <c r="K8" s="33"/>
      <c r="L8" s="33"/>
      <c r="M8" s="33"/>
      <c r="N8" s="33">
        <f>C30*'E Balans VL '!Y18/100/3.6*1000000</f>
        <v>2.7204481219324506</v>
      </c>
      <c r="O8" s="33"/>
      <c r="P8" s="33"/>
      <c r="R8" s="32"/>
    </row>
    <row r="9" spans="1:18">
      <c r="A9" s="6" t="s">
        <v>33</v>
      </c>
      <c r="B9" s="37">
        <f t="shared" si="0"/>
        <v>1003.191</v>
      </c>
      <c r="C9" s="33"/>
      <c r="D9" s="37">
        <f>IF( ISERROR(IND_andere_gas_kWh/1000),0,IND_andere_gas_kWh/1000)*0.902</f>
        <v>879.75307200000009</v>
      </c>
      <c r="E9" s="33">
        <f>C31*'E Balans VL '!I19/100/3.6*1000000</f>
        <v>16.849821793213131</v>
      </c>
      <c r="F9" s="33">
        <f>C31*'E Balans VL '!L19/100/3.6*1000000+C31*'E Balans VL '!N19/100/3.6*1000000</f>
        <v>784.23758630695806</v>
      </c>
      <c r="G9" s="34"/>
      <c r="H9" s="33"/>
      <c r="I9" s="33"/>
      <c r="J9" s="40">
        <f>C31*'E Balans VL '!D19/100/3.6*1000000+C31*'E Balans VL '!E19/100/3.6*1000000</f>
        <v>9.047897264690101E-2</v>
      </c>
      <c r="K9" s="33"/>
      <c r="L9" s="33"/>
      <c r="M9" s="33"/>
      <c r="N9" s="33">
        <f>C31*'E Balans VL '!Y19/100/3.6*1000000</f>
        <v>74.352547882654321</v>
      </c>
      <c r="O9" s="33"/>
      <c r="P9" s="33"/>
      <c r="R9" s="32"/>
    </row>
    <row r="10" spans="1:18">
      <c r="A10" s="6" t="s">
        <v>41</v>
      </c>
      <c r="B10" s="37">
        <f t="shared" si="0"/>
        <v>336.286</v>
      </c>
      <c r="C10" s="33"/>
      <c r="D10" s="37">
        <f>IF( ISERROR(IND_voed_gas_kWh/1000),0,IND_voed_gas_kWh/1000)*0.902</f>
        <v>0</v>
      </c>
      <c r="E10" s="33">
        <f>C32*'E Balans VL '!I20/100/3.6*1000000</f>
        <v>3.0681337203594183</v>
      </c>
      <c r="F10" s="33">
        <f>C32*'E Balans VL '!L20/100/3.6*1000000+C32*'E Balans VL '!N20/100/3.6*1000000</f>
        <v>54.253450210521194</v>
      </c>
      <c r="G10" s="34"/>
      <c r="H10" s="33"/>
      <c r="I10" s="33"/>
      <c r="J10" s="40">
        <f>C32*'E Balans VL '!D20/100/3.6*1000000+C32*'E Balans VL '!E20/100/3.6*1000000</f>
        <v>1.385046227773941</v>
      </c>
      <c r="K10" s="33"/>
      <c r="L10" s="33"/>
      <c r="M10" s="33"/>
      <c r="N10" s="33">
        <f>C32*'E Balans VL '!Y20/100/3.6*1000000</f>
        <v>4.9195990110467509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2518.2449999999999</v>
      </c>
      <c r="C12" s="33"/>
      <c r="D12" s="37">
        <f>IF( ISERROR(IND_min_gas_kWh/1000),0,IND_min_gas_kWh/1000)*0.902</f>
        <v>0</v>
      </c>
      <c r="E12" s="33">
        <f>C34*'E Balans VL '!I22/100/3.6*1000000</f>
        <v>62.46066293616645</v>
      </c>
      <c r="F12" s="33">
        <f>C34*'E Balans VL '!L22/100/3.6*1000000+C34*'E Balans VL '!N22/100/3.6*1000000</f>
        <v>267.58764343645754</v>
      </c>
      <c r="G12" s="34"/>
      <c r="H12" s="33"/>
      <c r="I12" s="33"/>
      <c r="J12" s="40">
        <f>C34*'E Balans VL '!D22/100/3.6*1000000+C34*'E Balans VL '!E22/100/3.6*1000000</f>
        <v>14.305109210981744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2.6320000000000001</v>
      </c>
      <c r="C15" s="33"/>
      <c r="D15" s="37">
        <f>IF( ISERROR(IND_rest_gas_kWh/1000),0,IND_rest_gas_kWh/1000)*0.902</f>
        <v>1358.829626</v>
      </c>
      <c r="E15" s="33">
        <f>C37*'E Balans VL '!I15/100/3.6*1000000</f>
        <v>2.3753177537693456E-2</v>
      </c>
      <c r="F15" s="33">
        <f>C37*'E Balans VL '!L15/100/3.6*1000000+C37*'E Balans VL '!N15/100/3.6*1000000</f>
        <v>0.52615793456607451</v>
      </c>
      <c r="G15" s="34"/>
      <c r="H15" s="33"/>
      <c r="I15" s="33"/>
      <c r="J15" s="40">
        <f>C37*'E Balans VL '!D15/100/3.6*1000000+C37*'E Balans VL '!E15/100/3.6*1000000</f>
        <v>1.7722183050662841E-2</v>
      </c>
      <c r="K15" s="33"/>
      <c r="L15" s="33"/>
      <c r="M15" s="33"/>
      <c r="N15" s="33">
        <f>C37*'E Balans VL '!Y15/100/3.6*1000000</f>
        <v>4.7365095429562236E-2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4586.1799999999994</v>
      </c>
      <c r="C18" s="21">
        <f>C5+C16</f>
        <v>0</v>
      </c>
      <c r="D18" s="21">
        <f>MAX((D5+D16),0)</f>
        <v>2635.7829080000001</v>
      </c>
      <c r="E18" s="21">
        <f>MAX((E5+E16),0)</f>
        <v>87.50259078303408</v>
      </c>
      <c r="F18" s="21">
        <f>MAX((F5+F16),0)</f>
        <v>1186.2962861884262</v>
      </c>
      <c r="G18" s="21"/>
      <c r="H18" s="21"/>
      <c r="I18" s="21"/>
      <c r="J18" s="21">
        <f>MAX((J5+J16),0)</f>
        <v>30.773711413841848</v>
      </c>
      <c r="K18" s="21"/>
      <c r="L18" s="21">
        <f>MAX((L5+L16),0)</f>
        <v>0</v>
      </c>
      <c r="M18" s="21"/>
      <c r="N18" s="21">
        <f>MAX((N5+N16),0)</f>
        <v>82.039960111063095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0.20441565145381996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937.48697238447994</v>
      </c>
      <c r="C22" s="23">
        <f ca="1">C18*C20</f>
        <v>0</v>
      </c>
      <c r="D22" s="23">
        <f>D18*D20</f>
        <v>532.42814741600012</v>
      </c>
      <c r="E22" s="23">
        <f>E18*E20</f>
        <v>19.863088107748737</v>
      </c>
      <c r="F22" s="23">
        <f>F18*F20</f>
        <v>316.74110841230981</v>
      </c>
      <c r="G22" s="23"/>
      <c r="H22" s="23"/>
      <c r="I22" s="23"/>
      <c r="J22" s="23">
        <f>J18*J20</f>
        <v>10.893893840500013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725.82600000000002</v>
      </c>
      <c r="C30" s="39">
        <f>IF(ISERROR(B30*3.6/1000000/'E Balans VL '!Z18*100),0,B30*3.6/1000000/'E Balans VL '!Z18*100)</f>
        <v>4.8318680046497198E-2</v>
      </c>
      <c r="D30" s="238" t="s">
        <v>719</v>
      </c>
    </row>
    <row r="31" spans="1:18">
      <c r="A31" s="6" t="s">
        <v>33</v>
      </c>
      <c r="B31" s="37">
        <f>IF( ISERROR(IND_ander_ele_kWh/1000),0,IND_ander_ele_kWh/1000)</f>
        <v>1003.191</v>
      </c>
      <c r="C31" s="39">
        <f>IF(ISERROR(B31*3.6/1000000/'E Balans VL '!Z19*100),0,B31*3.6/1000000/'E Balans VL '!Z19*100)</f>
        <v>4.4467481437384805E-2</v>
      </c>
      <c r="D31" s="238" t="s">
        <v>719</v>
      </c>
    </row>
    <row r="32" spans="1:18">
      <c r="A32" s="172" t="s">
        <v>41</v>
      </c>
      <c r="B32" s="37">
        <f>IF( ISERROR(IND_voed_ele_kWh/1000),0,IND_voed_ele_kWh/1000)</f>
        <v>336.286</v>
      </c>
      <c r="C32" s="39">
        <f>IF(ISERROR(B32*3.6/1000000/'E Balans VL '!Z20*100),0,B32*3.6/1000000/'E Balans VL '!Z20*100)</f>
        <v>1.1232917079680049E-2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2518.2449999999999</v>
      </c>
      <c r="C34" s="39">
        <f>IF(ISERROR(B34*3.6/1000000/'E Balans VL '!Z22*100),0,B34*3.6/1000000/'E Balans VL '!Z22*100)</f>
        <v>0.48977099115104117</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2.6320000000000001</v>
      </c>
      <c r="C37" s="39">
        <f>IF(ISERROR(B37*3.6/1000000/'E Balans VL '!Z15*100),0,B37*3.6/1000000/'E Balans VL '!Z15*100)</f>
        <v>1.9577792105216724E-5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3086.3809999999999</v>
      </c>
      <c r="C5" s="17">
        <f>'Eigen informatie GS &amp; warmtenet'!B60</f>
        <v>0</v>
      </c>
      <c r="D5" s="30">
        <f>IF(ISERROR(SUM(LB_lb_gas_kWh,LB_rest_gas_kWh)/1000),0,SUM(LB_lb_gas_kWh,LB_rest_gas_kWh)/1000)*0.902</f>
        <v>2092.1330760000001</v>
      </c>
      <c r="E5" s="17">
        <f>B17*'E Balans VL '!I25/3.6*1000000/100</f>
        <v>32.321250006238508</v>
      </c>
      <c r="F5" s="17">
        <f>B17*('E Balans VL '!L25/3.6*1000000+'E Balans VL '!N25/3.6*1000000)/100</f>
        <v>13212.055831498357</v>
      </c>
      <c r="G5" s="18"/>
      <c r="H5" s="17"/>
      <c r="I5" s="17"/>
      <c r="J5" s="17">
        <f>('E Balans VL '!D25+'E Balans VL '!E25)/3.6*1000000*landbouw!B17/100</f>
        <v>275.64148700483639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3086.3809999999999</v>
      </c>
      <c r="C8" s="21">
        <f>C5+C6</f>
        <v>0</v>
      </c>
      <c r="D8" s="21">
        <f>MAX((D5+D6),0)</f>
        <v>2092.1330760000001</v>
      </c>
      <c r="E8" s="21">
        <f>MAX((E5+E6),0)</f>
        <v>32.321250006238508</v>
      </c>
      <c r="F8" s="21">
        <f>MAX((F5+F6),0)</f>
        <v>13212.055831498357</v>
      </c>
      <c r="G8" s="21"/>
      <c r="H8" s="21"/>
      <c r="I8" s="21"/>
      <c r="J8" s="21">
        <f>MAX((J5+J6),0)</f>
        <v>275.64148700483639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0.20441565145381996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630.90458274969228</v>
      </c>
      <c r="C12" s="23">
        <f ca="1">C8*C10</f>
        <v>0</v>
      </c>
      <c r="D12" s="23">
        <f>D8*D10</f>
        <v>422.61088135200004</v>
      </c>
      <c r="E12" s="23">
        <f>E8*E10</f>
        <v>7.3369237514161414</v>
      </c>
      <c r="F12" s="23">
        <f>F8*F10</f>
        <v>3527.6189070100618</v>
      </c>
      <c r="G12" s="23"/>
      <c r="H12" s="23"/>
      <c r="I12" s="23"/>
      <c r="J12" s="23">
        <f>J8*J10</f>
        <v>97.577086399712073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0.47505361406325147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574.55487719179314</v>
      </c>
      <c r="C26" s="248">
        <f>B26*'GWP N2O_CH4'!B5</f>
        <v>12065.652421027657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254.23086676726976</v>
      </c>
      <c r="C27" s="248">
        <f>B27*'GWP N2O_CH4'!B5</f>
        <v>5338.8482021126647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7.0014392716226741</v>
      </c>
      <c r="C28" s="248">
        <f>B28*'GWP N2O_CH4'!B4</f>
        <v>2170.4461742030289</v>
      </c>
      <c r="D28" s="50"/>
    </row>
    <row r="29" spans="1:4">
      <c r="A29" s="41" t="s">
        <v>277</v>
      </c>
      <c r="B29" s="248">
        <f>B34*'ha_N2O bodem landbouw'!B4</f>
        <v>27.342072529693048</v>
      </c>
      <c r="C29" s="248">
        <f>B29*'GWP N2O_CH4'!B4</f>
        <v>8476.0424842048451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4.5186365880204834E-3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1.8465112492018641E-6</v>
      </c>
      <c r="C5" s="446" t="s">
        <v>211</v>
      </c>
      <c r="D5" s="431">
        <f>SUM(D6:D11)</f>
        <v>9.1146058442880077E-6</v>
      </c>
      <c r="E5" s="431">
        <f>SUM(E6:E11)</f>
        <v>9.2472719476566234E-4</v>
      </c>
      <c r="F5" s="444" t="s">
        <v>211</v>
      </c>
      <c r="G5" s="431">
        <f>SUM(G6:G11)</f>
        <v>0.15718264222897504</v>
      </c>
      <c r="H5" s="431">
        <f>SUM(H6:H11)</f>
        <v>3.0326437249039689E-2</v>
      </c>
      <c r="I5" s="446" t="s">
        <v>211</v>
      </c>
      <c r="J5" s="446" t="s">
        <v>211</v>
      </c>
      <c r="K5" s="446" t="s">
        <v>211</v>
      </c>
      <c r="L5" s="446" t="s">
        <v>211</v>
      </c>
      <c r="M5" s="431">
        <f>SUM(M6:M11)</f>
        <v>8.1905635018758357E-3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1.5092256919141559E-6</v>
      </c>
      <c r="C6" s="432"/>
      <c r="D6" s="432">
        <f>vkm_2011_GW_PW*SUMIFS(TableVerdeelsleutelVkm[CNG],TableVerdeelsleutelVkm[Voertuigtype],"Lichte voertuigen")*SUMIFS(TableECFTransport[EnergieConsumptieFactor (PJ per km)],TableECFTransport[Index],CONCATENATE($A6,"_CNG_CNG"))</f>
        <v>6.506096525641194E-6</v>
      </c>
      <c r="E6" s="434">
        <f>vkm_2011_GW_PW*SUMIFS(TableVerdeelsleutelVkm[LPG],TableVerdeelsleutelVkm[Voertuigtype],"Lichte voertuigen")*SUMIFS(TableECFTransport[EnergieConsumptieFactor (PJ per km)],TableECFTransport[Index],CONCATENATE($A6,"_LPG_LPG"))</f>
        <v>6.7691942292254258E-4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8.3262947352072375E-2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2.1921408578071424E-2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4.6096827499860684E-3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4.2313603129662897E-2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1.4508748146174892E-5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1.8278683732575079E-3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3.3728555728770829E-7</v>
      </c>
      <c r="C8" s="432"/>
      <c r="D8" s="434">
        <f>vkm_2011_NGW_PW*SUMIFS(TableVerdeelsleutelVkm[CNG],TableVerdeelsleutelVkm[Voertuigtype],"Lichte voertuigen")*SUMIFS(TableECFTransport[EnergieConsumptieFactor (PJ per km)],TableECFTransport[Index],CONCATENATE($A8,"_CNG_CNG"))</f>
        <v>2.6085093186468128E-6</v>
      </c>
      <c r="E8" s="434">
        <f>vkm_2011_NGW_PW*SUMIFS(TableVerdeelsleutelVkm[LPG],TableVerdeelsleutelVkm[Voertuigtype],"Lichte voertuigen")*SUMIFS(TableECFTransport[EnergieConsumptieFactor (PJ per km)],TableECFTransport[Index],CONCATENATE($A8,"_LPG_LPG"))</f>
        <v>2.4780777184311981E-4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2.8910568831657532E-2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8.3897169973598373E-3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1.6365764526728452E-3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2.6955229155822364E-3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8.02925462256716E-7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1.1643592595941349E-4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0.51291979144496225</v>
      </c>
      <c r="C14" s="21"/>
      <c r="D14" s="21">
        <f t="shared" ref="D14:M14" si="0">((D5)*10^9/3600)+D12</f>
        <v>2.5318349567466689</v>
      </c>
      <c r="E14" s="21">
        <f t="shared" si="0"/>
        <v>256.86866521268399</v>
      </c>
      <c r="F14" s="21"/>
      <c r="G14" s="21">
        <f t="shared" si="0"/>
        <v>43661.845063604182</v>
      </c>
      <c r="H14" s="21">
        <f t="shared" si="0"/>
        <v>8424.0103469554706</v>
      </c>
      <c r="I14" s="21"/>
      <c r="J14" s="21"/>
      <c r="K14" s="21"/>
      <c r="L14" s="21"/>
      <c r="M14" s="21">
        <f t="shared" si="0"/>
        <v>2275.1565282988431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0.20441565145381996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0.10484883331177942</v>
      </c>
      <c r="C18" s="23"/>
      <c r="D18" s="23">
        <f t="shared" ref="D18:M18" si="1">D14*D16</f>
        <v>0.5114306612628271</v>
      </c>
      <c r="E18" s="23">
        <f t="shared" si="1"/>
        <v>58.30918700327927</v>
      </c>
      <c r="F18" s="23"/>
      <c r="G18" s="23">
        <f t="shared" si="1"/>
        <v>11657.712631982316</v>
      </c>
      <c r="H18" s="23">
        <f t="shared" si="1"/>
        <v>2097.5785763919121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1.8102472637934468E-3</v>
      </c>
      <c r="H50" s="322">
        <f t="shared" si="2"/>
        <v>0</v>
      </c>
      <c r="I50" s="322">
        <f t="shared" si="2"/>
        <v>0</v>
      </c>
      <c r="J50" s="322">
        <f t="shared" si="2"/>
        <v>0</v>
      </c>
      <c r="K50" s="322">
        <f t="shared" si="2"/>
        <v>0</v>
      </c>
      <c r="L50" s="322">
        <f t="shared" si="2"/>
        <v>0</v>
      </c>
      <c r="M50" s="322">
        <f t="shared" si="2"/>
        <v>7.7162976278696981E-5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1.8102472637934468E-3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7.7162976278696981E-5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502.84646216484634</v>
      </c>
      <c r="H54" s="21">
        <f t="shared" si="3"/>
        <v>0</v>
      </c>
      <c r="I54" s="21">
        <f t="shared" si="3"/>
        <v>0</v>
      </c>
      <c r="J54" s="21">
        <f t="shared" si="3"/>
        <v>0</v>
      </c>
      <c r="K54" s="21">
        <f t="shared" si="3"/>
        <v>0</v>
      </c>
      <c r="L54" s="21">
        <f t="shared" si="3"/>
        <v>0</v>
      </c>
      <c r="M54" s="21">
        <f t="shared" si="3"/>
        <v>21.434160077415829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0.20441565145381996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134.26000539801399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9064.6540000000005</v>
      </c>
      <c r="D10" s="687">
        <f ca="1">tertiair!C16</f>
        <v>0</v>
      </c>
      <c r="E10" s="687">
        <f ca="1">tertiair!D16</f>
        <v>3403.7366880000004</v>
      </c>
      <c r="F10" s="687">
        <f>tertiair!E16</f>
        <v>153.79156712512767</v>
      </c>
      <c r="G10" s="687">
        <f ca="1">tertiair!F16</f>
        <v>1665.6347053889153</v>
      </c>
      <c r="H10" s="687">
        <f>tertiair!G16</f>
        <v>0</v>
      </c>
      <c r="I10" s="687">
        <f>tertiair!H16</f>
        <v>0</v>
      </c>
      <c r="J10" s="687">
        <f>tertiair!I16</f>
        <v>0</v>
      </c>
      <c r="K10" s="687">
        <f>tertiair!J16</f>
        <v>0</v>
      </c>
      <c r="L10" s="687">
        <f>tertiair!K16</f>
        <v>0</v>
      </c>
      <c r="M10" s="687">
        <f ca="1">tertiair!L16</f>
        <v>0</v>
      </c>
      <c r="N10" s="687">
        <f>tertiair!M16</f>
        <v>0</v>
      </c>
      <c r="O10" s="687">
        <f ca="1">tertiair!N16</f>
        <v>441.32702560510461</v>
      </c>
      <c r="P10" s="687">
        <f>tertiair!O16</f>
        <v>0</v>
      </c>
      <c r="Q10" s="688">
        <f>tertiair!P16</f>
        <v>0</v>
      </c>
      <c r="R10" s="690">
        <f ca="1">SUM(C10:Q10)</f>
        <v>14729.14398611915</v>
      </c>
      <c r="S10" s="67"/>
    </row>
    <row r="11" spans="1:19" s="456" customFormat="1">
      <c r="A11" s="802" t="s">
        <v>225</v>
      </c>
      <c r="B11" s="807"/>
      <c r="C11" s="687">
        <f>huishoudens!B8</f>
        <v>23908.069883751014</v>
      </c>
      <c r="D11" s="687">
        <f>huishoudens!C8</f>
        <v>0</v>
      </c>
      <c r="E11" s="687">
        <f>huishoudens!D8</f>
        <v>24484.780078000003</v>
      </c>
      <c r="F11" s="687">
        <f>huishoudens!E8</f>
        <v>4781.0404541250691</v>
      </c>
      <c r="G11" s="687">
        <f>huishoudens!F8</f>
        <v>56357.684845147567</v>
      </c>
      <c r="H11" s="687">
        <f>huishoudens!G8</f>
        <v>0</v>
      </c>
      <c r="I11" s="687">
        <f>huishoudens!H8</f>
        <v>0</v>
      </c>
      <c r="J11" s="687">
        <f>huishoudens!I8</f>
        <v>0</v>
      </c>
      <c r="K11" s="687">
        <f>huishoudens!J8</f>
        <v>0</v>
      </c>
      <c r="L11" s="687">
        <f>huishoudens!K8</f>
        <v>0</v>
      </c>
      <c r="M11" s="687">
        <f>huishoudens!L8</f>
        <v>0</v>
      </c>
      <c r="N11" s="687">
        <f>huishoudens!M8</f>
        <v>0</v>
      </c>
      <c r="O11" s="687">
        <f>huishoudens!N8</f>
        <v>8821.1641766471585</v>
      </c>
      <c r="P11" s="687">
        <f>huishoudens!O8</f>
        <v>48.463333333333338</v>
      </c>
      <c r="Q11" s="688">
        <f>huishoudens!P8</f>
        <v>228.8</v>
      </c>
      <c r="R11" s="690">
        <f>SUM(C11:Q11)</f>
        <v>118630.00277100415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4586.1799999999994</v>
      </c>
      <c r="D13" s="687">
        <f>industrie!C18</f>
        <v>0</v>
      </c>
      <c r="E13" s="687">
        <f>industrie!D18</f>
        <v>2635.7829080000001</v>
      </c>
      <c r="F13" s="687">
        <f>industrie!E18</f>
        <v>87.50259078303408</v>
      </c>
      <c r="G13" s="687">
        <f>industrie!F18</f>
        <v>1186.2962861884262</v>
      </c>
      <c r="H13" s="687">
        <f>industrie!G18</f>
        <v>0</v>
      </c>
      <c r="I13" s="687">
        <f>industrie!H18</f>
        <v>0</v>
      </c>
      <c r="J13" s="687">
        <f>industrie!I18</f>
        <v>0</v>
      </c>
      <c r="K13" s="687">
        <f>industrie!J18</f>
        <v>30.773711413841848</v>
      </c>
      <c r="L13" s="687">
        <f>industrie!K18</f>
        <v>0</v>
      </c>
      <c r="M13" s="687">
        <f>industrie!L18</f>
        <v>0</v>
      </c>
      <c r="N13" s="687">
        <f>industrie!M18</f>
        <v>0</v>
      </c>
      <c r="O13" s="687">
        <f>industrie!N18</f>
        <v>82.039960111063095</v>
      </c>
      <c r="P13" s="687">
        <f>industrie!O18</f>
        <v>0</v>
      </c>
      <c r="Q13" s="688">
        <f>industrie!P18</f>
        <v>0</v>
      </c>
      <c r="R13" s="690">
        <f>SUM(C13:Q13)</f>
        <v>8608.5754564963645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37558.903883751016</v>
      </c>
      <c r="D16" s="720">
        <f t="shared" ref="D16:R16" ca="1" si="0">SUM(D9:D15)</f>
        <v>0</v>
      </c>
      <c r="E16" s="720">
        <f t="shared" ca="1" si="0"/>
        <v>30524.299674000005</v>
      </c>
      <c r="F16" s="720">
        <f t="shared" si="0"/>
        <v>5022.3346120332308</v>
      </c>
      <c r="G16" s="720">
        <f t="shared" ca="1" si="0"/>
        <v>59209.615836724915</v>
      </c>
      <c r="H16" s="720">
        <f t="shared" si="0"/>
        <v>0</v>
      </c>
      <c r="I16" s="720">
        <f t="shared" si="0"/>
        <v>0</v>
      </c>
      <c r="J16" s="720">
        <f t="shared" si="0"/>
        <v>0</v>
      </c>
      <c r="K16" s="720">
        <f t="shared" si="0"/>
        <v>30.773711413841848</v>
      </c>
      <c r="L16" s="720">
        <f t="shared" si="0"/>
        <v>0</v>
      </c>
      <c r="M16" s="720">
        <f t="shared" ca="1" si="0"/>
        <v>0</v>
      </c>
      <c r="N16" s="720">
        <f t="shared" si="0"/>
        <v>0</v>
      </c>
      <c r="O16" s="720">
        <f t="shared" ca="1" si="0"/>
        <v>9344.5311623633261</v>
      </c>
      <c r="P16" s="720">
        <f t="shared" si="0"/>
        <v>48.463333333333338</v>
      </c>
      <c r="Q16" s="720">
        <f t="shared" si="0"/>
        <v>228.8</v>
      </c>
      <c r="R16" s="720">
        <f t="shared" ca="1" si="0"/>
        <v>141967.72221361965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502.84646216484634</v>
      </c>
      <c r="I19" s="687">
        <f>transport!H54</f>
        <v>0</v>
      </c>
      <c r="J19" s="687">
        <f>transport!I54</f>
        <v>0</v>
      </c>
      <c r="K19" s="687">
        <f>transport!J54</f>
        <v>0</v>
      </c>
      <c r="L19" s="687">
        <f>transport!K54</f>
        <v>0</v>
      </c>
      <c r="M19" s="687">
        <f>transport!L54</f>
        <v>0</v>
      </c>
      <c r="N19" s="687">
        <f>transport!M54</f>
        <v>21.434160077415829</v>
      </c>
      <c r="O19" s="687">
        <f>transport!N54</f>
        <v>0</v>
      </c>
      <c r="P19" s="687">
        <f>transport!O54</f>
        <v>0</v>
      </c>
      <c r="Q19" s="688">
        <f>transport!P54</f>
        <v>0</v>
      </c>
      <c r="R19" s="690">
        <f>SUM(C19:Q19)</f>
        <v>524.28062224226221</v>
      </c>
      <c r="S19" s="67"/>
    </row>
    <row r="20" spans="1:19" s="456" customFormat="1">
      <c r="A20" s="802" t="s">
        <v>307</v>
      </c>
      <c r="B20" s="807"/>
      <c r="C20" s="687">
        <f>transport!B14</f>
        <v>0.51291979144496225</v>
      </c>
      <c r="D20" s="687">
        <f>transport!C14</f>
        <v>0</v>
      </c>
      <c r="E20" s="687">
        <f>transport!D14</f>
        <v>2.5318349567466689</v>
      </c>
      <c r="F20" s="687">
        <f>transport!E14</f>
        <v>256.86866521268399</v>
      </c>
      <c r="G20" s="687">
        <f>transport!F14</f>
        <v>0</v>
      </c>
      <c r="H20" s="687">
        <f>transport!G14</f>
        <v>43661.845063604182</v>
      </c>
      <c r="I20" s="687">
        <f>transport!H14</f>
        <v>8424.0103469554706</v>
      </c>
      <c r="J20" s="687">
        <f>transport!I14</f>
        <v>0</v>
      </c>
      <c r="K20" s="687">
        <f>transport!J14</f>
        <v>0</v>
      </c>
      <c r="L20" s="687">
        <f>transport!K14</f>
        <v>0</v>
      </c>
      <c r="M20" s="687">
        <f>transport!L14</f>
        <v>0</v>
      </c>
      <c r="N20" s="687">
        <f>transport!M14</f>
        <v>2275.1565282988431</v>
      </c>
      <c r="O20" s="687">
        <f>transport!N14</f>
        <v>0</v>
      </c>
      <c r="P20" s="687">
        <f>transport!O14</f>
        <v>0</v>
      </c>
      <c r="Q20" s="688">
        <f>transport!P14</f>
        <v>0</v>
      </c>
      <c r="R20" s="690">
        <f>SUM(C20:Q20)</f>
        <v>54620.925358819368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0.51291979144496225</v>
      </c>
      <c r="D22" s="805">
        <f t="shared" ref="D22:R22" si="1">SUM(D18:D21)</f>
        <v>0</v>
      </c>
      <c r="E22" s="805">
        <f t="shared" si="1"/>
        <v>2.5318349567466689</v>
      </c>
      <c r="F22" s="805">
        <f t="shared" si="1"/>
        <v>256.86866521268399</v>
      </c>
      <c r="G22" s="805">
        <f t="shared" si="1"/>
        <v>0</v>
      </c>
      <c r="H22" s="805">
        <f t="shared" si="1"/>
        <v>44164.691525769027</v>
      </c>
      <c r="I22" s="805">
        <f t="shared" si="1"/>
        <v>8424.0103469554706</v>
      </c>
      <c r="J22" s="805">
        <f t="shared" si="1"/>
        <v>0</v>
      </c>
      <c r="K22" s="805">
        <f t="shared" si="1"/>
        <v>0</v>
      </c>
      <c r="L22" s="805">
        <f t="shared" si="1"/>
        <v>0</v>
      </c>
      <c r="M22" s="805">
        <f t="shared" si="1"/>
        <v>0</v>
      </c>
      <c r="N22" s="805">
        <f t="shared" si="1"/>
        <v>2296.5906883762591</v>
      </c>
      <c r="O22" s="805">
        <f t="shared" si="1"/>
        <v>0</v>
      </c>
      <c r="P22" s="805">
        <f t="shared" si="1"/>
        <v>0</v>
      </c>
      <c r="Q22" s="805">
        <f t="shared" si="1"/>
        <v>0</v>
      </c>
      <c r="R22" s="805">
        <f t="shared" si="1"/>
        <v>55145.205981061627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3086.3809999999999</v>
      </c>
      <c r="D24" s="687">
        <f>+landbouw!C8</f>
        <v>0</v>
      </c>
      <c r="E24" s="687">
        <f>+landbouw!D8</f>
        <v>2092.1330760000001</v>
      </c>
      <c r="F24" s="687">
        <f>+landbouw!E8</f>
        <v>32.321250006238508</v>
      </c>
      <c r="G24" s="687">
        <f>+landbouw!F8</f>
        <v>13212.055831498357</v>
      </c>
      <c r="H24" s="687">
        <f>+landbouw!G8</f>
        <v>0</v>
      </c>
      <c r="I24" s="687">
        <f>+landbouw!H8</f>
        <v>0</v>
      </c>
      <c r="J24" s="687">
        <f>+landbouw!I8</f>
        <v>0</v>
      </c>
      <c r="K24" s="687">
        <f>+landbouw!J8</f>
        <v>275.64148700483639</v>
      </c>
      <c r="L24" s="687">
        <f>+landbouw!K8</f>
        <v>0</v>
      </c>
      <c r="M24" s="687">
        <f>+landbouw!L8</f>
        <v>0</v>
      </c>
      <c r="N24" s="687">
        <f>+landbouw!M8</f>
        <v>0</v>
      </c>
      <c r="O24" s="687">
        <f>+landbouw!N8</f>
        <v>0</v>
      </c>
      <c r="P24" s="687">
        <f>+landbouw!O8</f>
        <v>0</v>
      </c>
      <c r="Q24" s="688">
        <f>+landbouw!P8</f>
        <v>0</v>
      </c>
      <c r="R24" s="690">
        <f>SUM(C24:Q24)</f>
        <v>18698.532644509429</v>
      </c>
      <c r="S24" s="67"/>
    </row>
    <row r="25" spans="1:19" s="456" customFormat="1" ht="15" thickBot="1">
      <c r="A25" s="824" t="s">
        <v>925</v>
      </c>
      <c r="B25" s="988"/>
      <c r="C25" s="989">
        <f>IF(Onbekend_ele_kWh="---",0,Onbekend_ele_kWh)/1000+IF(REST_rest_ele_kWh="---",0,REST_rest_ele_kWh)/1000</f>
        <v>1609.425</v>
      </c>
      <c r="D25" s="989"/>
      <c r="E25" s="989">
        <f>IF(onbekend_gas_kWh="---",0,onbekend_gas_kWh)/1000+IF(REST_rest_gas_kWh="---",0,REST_rest_gas_kWh)/1000</f>
        <v>908.09</v>
      </c>
      <c r="F25" s="989"/>
      <c r="G25" s="989"/>
      <c r="H25" s="989"/>
      <c r="I25" s="989"/>
      <c r="J25" s="989"/>
      <c r="K25" s="989"/>
      <c r="L25" s="989"/>
      <c r="M25" s="989"/>
      <c r="N25" s="989"/>
      <c r="O25" s="989"/>
      <c r="P25" s="989"/>
      <c r="Q25" s="990"/>
      <c r="R25" s="690">
        <f>SUM(C25:Q25)</f>
        <v>2517.5149999999999</v>
      </c>
      <c r="S25" s="67"/>
    </row>
    <row r="26" spans="1:19" s="456" customFormat="1" ht="15.75" thickBot="1">
      <c r="A26" s="693" t="s">
        <v>926</v>
      </c>
      <c r="B26" s="810"/>
      <c r="C26" s="805">
        <f>SUM(C24:C25)</f>
        <v>4695.8059999999996</v>
      </c>
      <c r="D26" s="805">
        <f t="shared" ref="D26:R26" si="2">SUM(D24:D25)</f>
        <v>0</v>
      </c>
      <c r="E26" s="805">
        <f t="shared" si="2"/>
        <v>3000.2230760000002</v>
      </c>
      <c r="F26" s="805">
        <f t="shared" si="2"/>
        <v>32.321250006238508</v>
      </c>
      <c r="G26" s="805">
        <f t="shared" si="2"/>
        <v>13212.055831498357</v>
      </c>
      <c r="H26" s="805">
        <f t="shared" si="2"/>
        <v>0</v>
      </c>
      <c r="I26" s="805">
        <f t="shared" si="2"/>
        <v>0</v>
      </c>
      <c r="J26" s="805">
        <f t="shared" si="2"/>
        <v>0</v>
      </c>
      <c r="K26" s="805">
        <f t="shared" si="2"/>
        <v>275.64148700483639</v>
      </c>
      <c r="L26" s="805">
        <f t="shared" si="2"/>
        <v>0</v>
      </c>
      <c r="M26" s="805">
        <f t="shared" si="2"/>
        <v>0</v>
      </c>
      <c r="N26" s="805">
        <f t="shared" si="2"/>
        <v>0</v>
      </c>
      <c r="O26" s="805">
        <f t="shared" si="2"/>
        <v>0</v>
      </c>
      <c r="P26" s="805">
        <f t="shared" si="2"/>
        <v>0</v>
      </c>
      <c r="Q26" s="805">
        <f t="shared" si="2"/>
        <v>0</v>
      </c>
      <c r="R26" s="805">
        <f t="shared" si="2"/>
        <v>21216.047644509428</v>
      </c>
      <c r="S26" s="67"/>
    </row>
    <row r="27" spans="1:19" s="456" customFormat="1" ht="17.25" thickTop="1" thickBot="1">
      <c r="A27" s="694" t="s">
        <v>116</v>
      </c>
      <c r="B27" s="797"/>
      <c r="C27" s="695">
        <f ca="1">C22+C16+C26</f>
        <v>42255.222803542456</v>
      </c>
      <c r="D27" s="695">
        <f t="shared" ref="D27:R27" ca="1" si="3">D22+D16+D26</f>
        <v>0</v>
      </c>
      <c r="E27" s="695">
        <f t="shared" ca="1" si="3"/>
        <v>33527.05458495675</v>
      </c>
      <c r="F27" s="695">
        <f t="shared" si="3"/>
        <v>5311.5245272521533</v>
      </c>
      <c r="G27" s="695">
        <f t="shared" ca="1" si="3"/>
        <v>72421.67166822328</v>
      </c>
      <c r="H27" s="695">
        <f t="shared" si="3"/>
        <v>44164.691525769027</v>
      </c>
      <c r="I27" s="695">
        <f t="shared" si="3"/>
        <v>8424.0103469554706</v>
      </c>
      <c r="J27" s="695">
        <f t="shared" si="3"/>
        <v>0</v>
      </c>
      <c r="K27" s="695">
        <f t="shared" si="3"/>
        <v>306.41519841867824</v>
      </c>
      <c r="L27" s="695">
        <f t="shared" si="3"/>
        <v>0</v>
      </c>
      <c r="M27" s="695">
        <f t="shared" ca="1" si="3"/>
        <v>0</v>
      </c>
      <c r="N27" s="695">
        <f t="shared" si="3"/>
        <v>2296.5906883762591</v>
      </c>
      <c r="O27" s="695">
        <f t="shared" ca="1" si="3"/>
        <v>9344.5311623633261</v>
      </c>
      <c r="P27" s="695">
        <f t="shared" si="3"/>
        <v>48.463333333333338</v>
      </c>
      <c r="Q27" s="695">
        <f t="shared" si="3"/>
        <v>228.8</v>
      </c>
      <c r="R27" s="695">
        <f t="shared" ca="1" si="3"/>
        <v>218328.97583919071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1852.957152613475</v>
      </c>
      <c r="D40" s="687">
        <f ca="1">tertiair!C20</f>
        <v>0</v>
      </c>
      <c r="E40" s="687">
        <f ca="1">tertiair!D20</f>
        <v>687.55481097600011</v>
      </c>
      <c r="F40" s="687">
        <f>tertiair!E20</f>
        <v>34.910685737403981</v>
      </c>
      <c r="G40" s="687">
        <f ca="1">tertiair!F20</f>
        <v>444.72446633884044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3020.1471156657199</v>
      </c>
    </row>
    <row r="41" spans="1:18">
      <c r="A41" s="815" t="s">
        <v>225</v>
      </c>
      <c r="B41" s="822"/>
      <c r="C41" s="687">
        <f ca="1">huishoudens!B12</f>
        <v>4887.1836802904172</v>
      </c>
      <c r="D41" s="687">
        <f ca="1">huishoudens!C12</f>
        <v>0</v>
      </c>
      <c r="E41" s="687">
        <f>huishoudens!D12</f>
        <v>4945.9255757560013</v>
      </c>
      <c r="F41" s="687">
        <f>huishoudens!E12</f>
        <v>1085.2961830863908</v>
      </c>
      <c r="G41" s="687">
        <f>huishoudens!F12</f>
        <v>15047.501853654401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25965.907292787211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937.48697238447994</v>
      </c>
      <c r="D43" s="687">
        <f ca="1">industrie!C22</f>
        <v>0</v>
      </c>
      <c r="E43" s="687">
        <f>industrie!D22</f>
        <v>532.42814741600012</v>
      </c>
      <c r="F43" s="687">
        <f>industrie!E22</f>
        <v>19.863088107748737</v>
      </c>
      <c r="G43" s="687">
        <f>industrie!F22</f>
        <v>316.74110841230981</v>
      </c>
      <c r="H43" s="687">
        <f>industrie!G22</f>
        <v>0</v>
      </c>
      <c r="I43" s="687">
        <f>industrie!H22</f>
        <v>0</v>
      </c>
      <c r="J43" s="687">
        <f>industrie!I22</f>
        <v>0</v>
      </c>
      <c r="K43" s="687">
        <f>industrie!J22</f>
        <v>10.893893840500013</v>
      </c>
      <c r="L43" s="687">
        <f>industrie!K22</f>
        <v>0</v>
      </c>
      <c r="M43" s="687">
        <f>industrie!L22</f>
        <v>0</v>
      </c>
      <c r="N43" s="687">
        <f>industrie!M22</f>
        <v>0</v>
      </c>
      <c r="O43" s="687">
        <f>industrie!N22</f>
        <v>0</v>
      </c>
      <c r="P43" s="687">
        <f>industrie!O22</f>
        <v>0</v>
      </c>
      <c r="Q43" s="762">
        <f>industrie!P22</f>
        <v>0</v>
      </c>
      <c r="R43" s="842">
        <f t="shared" ca="1" si="4"/>
        <v>1817.4132101610387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7677.6278052883717</v>
      </c>
      <c r="D46" s="720">
        <f t="shared" ref="D46:Q46" ca="1" si="5">SUM(D39:D45)</f>
        <v>0</v>
      </c>
      <c r="E46" s="720">
        <f t="shared" ca="1" si="5"/>
        <v>6165.9085341480013</v>
      </c>
      <c r="F46" s="720">
        <f t="shared" si="5"/>
        <v>1140.0699569315436</v>
      </c>
      <c r="G46" s="720">
        <f t="shared" ca="1" si="5"/>
        <v>15808.967428405553</v>
      </c>
      <c r="H46" s="720">
        <f t="shared" si="5"/>
        <v>0</v>
      </c>
      <c r="I46" s="720">
        <f t="shared" si="5"/>
        <v>0</v>
      </c>
      <c r="J46" s="720">
        <f t="shared" si="5"/>
        <v>0</v>
      </c>
      <c r="K46" s="720">
        <f t="shared" si="5"/>
        <v>10.893893840500013</v>
      </c>
      <c r="L46" s="720">
        <f t="shared" si="5"/>
        <v>0</v>
      </c>
      <c r="M46" s="720">
        <f t="shared" ca="1" si="5"/>
        <v>0</v>
      </c>
      <c r="N46" s="720">
        <f t="shared" si="5"/>
        <v>0</v>
      </c>
      <c r="O46" s="720">
        <f t="shared" ca="1" si="5"/>
        <v>0</v>
      </c>
      <c r="P46" s="720">
        <f t="shared" si="5"/>
        <v>0</v>
      </c>
      <c r="Q46" s="720">
        <f t="shared" si="5"/>
        <v>0</v>
      </c>
      <c r="R46" s="720">
        <f ca="1">SUM(R39:R45)</f>
        <v>30803.46761861397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134.26000539801399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134.26000539801399</v>
      </c>
    </row>
    <row r="50" spans="1:18">
      <c r="A50" s="818" t="s">
        <v>307</v>
      </c>
      <c r="B50" s="828"/>
      <c r="C50" s="995">
        <f ca="1">transport!B18</f>
        <v>0.10484883331177942</v>
      </c>
      <c r="D50" s="995">
        <f>transport!C18</f>
        <v>0</v>
      </c>
      <c r="E50" s="995">
        <f>transport!D18</f>
        <v>0.5114306612628271</v>
      </c>
      <c r="F50" s="995">
        <f>transport!E18</f>
        <v>58.30918700327927</v>
      </c>
      <c r="G50" s="995">
        <f>transport!F18</f>
        <v>0</v>
      </c>
      <c r="H50" s="995">
        <f>transport!G18</f>
        <v>11657.712631982316</v>
      </c>
      <c r="I50" s="995">
        <f>transport!H18</f>
        <v>2097.5785763919121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13814.216674872083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0.10484883331177942</v>
      </c>
      <c r="D52" s="720">
        <f t="shared" ref="D52:Q52" ca="1" si="6">SUM(D48:D51)</f>
        <v>0</v>
      </c>
      <c r="E52" s="720">
        <f t="shared" si="6"/>
        <v>0.5114306612628271</v>
      </c>
      <c r="F52" s="720">
        <f t="shared" si="6"/>
        <v>58.30918700327927</v>
      </c>
      <c r="G52" s="720">
        <f t="shared" si="6"/>
        <v>0</v>
      </c>
      <c r="H52" s="720">
        <f t="shared" si="6"/>
        <v>11791.97263738033</v>
      </c>
      <c r="I52" s="720">
        <f t="shared" si="6"/>
        <v>2097.5785763919121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13948.476680270096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630.90458274969228</v>
      </c>
      <c r="D54" s="995">
        <f ca="1">+landbouw!C12</f>
        <v>0</v>
      </c>
      <c r="E54" s="995">
        <f>+landbouw!D12</f>
        <v>422.61088135200004</v>
      </c>
      <c r="F54" s="995">
        <f>+landbouw!E12</f>
        <v>7.3369237514161414</v>
      </c>
      <c r="G54" s="995">
        <f>+landbouw!F12</f>
        <v>3527.6189070100618</v>
      </c>
      <c r="H54" s="995">
        <f>+landbouw!G12</f>
        <v>0</v>
      </c>
      <c r="I54" s="995">
        <f>+landbouw!H12</f>
        <v>0</v>
      </c>
      <c r="J54" s="995">
        <f>+landbouw!I12</f>
        <v>0</v>
      </c>
      <c r="K54" s="995">
        <f>+landbouw!J12</f>
        <v>97.577086399712073</v>
      </c>
      <c r="L54" s="995">
        <f>+landbouw!K12</f>
        <v>0</v>
      </c>
      <c r="M54" s="995">
        <f>+landbouw!L12</f>
        <v>0</v>
      </c>
      <c r="N54" s="995">
        <f>+landbouw!M12</f>
        <v>0</v>
      </c>
      <c r="O54" s="995">
        <f>+landbouw!N12</f>
        <v>0</v>
      </c>
      <c r="P54" s="995">
        <f>+landbouw!O12</f>
        <v>0</v>
      </c>
      <c r="Q54" s="996">
        <f>+landbouw!P12</f>
        <v>0</v>
      </c>
      <c r="R54" s="719">
        <f ca="1">SUM(C54:Q54)</f>
        <v>4686.0483812628827</v>
      </c>
    </row>
    <row r="55" spans="1:18" ht="15" thickBot="1">
      <c r="A55" s="818" t="s">
        <v>925</v>
      </c>
      <c r="B55" s="828"/>
      <c r="C55" s="995">
        <f ca="1">C25*'EF ele_warmte'!B12</f>
        <v>328.99165984106418</v>
      </c>
      <c r="D55" s="995"/>
      <c r="E55" s="995">
        <f>E25*EF_CO2_aardgas</f>
        <v>183.43418000000003</v>
      </c>
      <c r="F55" s="995"/>
      <c r="G55" s="995"/>
      <c r="H55" s="995"/>
      <c r="I55" s="995"/>
      <c r="J55" s="995"/>
      <c r="K55" s="995"/>
      <c r="L55" s="995"/>
      <c r="M55" s="995"/>
      <c r="N55" s="995"/>
      <c r="O55" s="995"/>
      <c r="P55" s="995"/>
      <c r="Q55" s="996"/>
      <c r="R55" s="719">
        <f ca="1">SUM(C55:Q55)</f>
        <v>512.4258398410642</v>
      </c>
    </row>
    <row r="56" spans="1:18" ht="15.75" thickBot="1">
      <c r="A56" s="816" t="s">
        <v>926</v>
      </c>
      <c r="B56" s="829"/>
      <c r="C56" s="720">
        <f ca="1">SUM(C54:C55)</f>
        <v>959.8962425907564</v>
      </c>
      <c r="D56" s="720">
        <f t="shared" ref="D56:Q56" ca="1" si="7">SUM(D54:D55)</f>
        <v>0</v>
      </c>
      <c r="E56" s="720">
        <f t="shared" si="7"/>
        <v>606.04506135200006</v>
      </c>
      <c r="F56" s="720">
        <f t="shared" si="7"/>
        <v>7.3369237514161414</v>
      </c>
      <c r="G56" s="720">
        <f t="shared" si="7"/>
        <v>3527.6189070100618</v>
      </c>
      <c r="H56" s="720">
        <f t="shared" si="7"/>
        <v>0</v>
      </c>
      <c r="I56" s="720">
        <f t="shared" si="7"/>
        <v>0</v>
      </c>
      <c r="J56" s="720">
        <f t="shared" si="7"/>
        <v>0</v>
      </c>
      <c r="K56" s="720">
        <f t="shared" si="7"/>
        <v>97.577086399712073</v>
      </c>
      <c r="L56" s="720">
        <f t="shared" si="7"/>
        <v>0</v>
      </c>
      <c r="M56" s="720">
        <f t="shared" si="7"/>
        <v>0</v>
      </c>
      <c r="N56" s="720">
        <f t="shared" si="7"/>
        <v>0</v>
      </c>
      <c r="O56" s="720">
        <f t="shared" si="7"/>
        <v>0</v>
      </c>
      <c r="P56" s="720">
        <f t="shared" si="7"/>
        <v>0</v>
      </c>
      <c r="Q56" s="721">
        <f t="shared" si="7"/>
        <v>0</v>
      </c>
      <c r="R56" s="722">
        <f ca="1">SUM(R54:R55)</f>
        <v>5198.4742211039465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8637.6288967124401</v>
      </c>
      <c r="D61" s="728">
        <f t="shared" ref="D61:Q61" ca="1" si="8">D46+D52+D56</f>
        <v>0</v>
      </c>
      <c r="E61" s="728">
        <f t="shared" ca="1" si="8"/>
        <v>6772.4650261612642</v>
      </c>
      <c r="F61" s="728">
        <f t="shared" si="8"/>
        <v>1205.7160676862391</v>
      </c>
      <c r="G61" s="728">
        <f t="shared" ca="1" si="8"/>
        <v>19336.586335415614</v>
      </c>
      <c r="H61" s="728">
        <f t="shared" si="8"/>
        <v>11791.97263738033</v>
      </c>
      <c r="I61" s="728">
        <f t="shared" si="8"/>
        <v>2097.5785763919121</v>
      </c>
      <c r="J61" s="728">
        <f t="shared" si="8"/>
        <v>0</v>
      </c>
      <c r="K61" s="728">
        <f t="shared" si="8"/>
        <v>108.47098024021209</v>
      </c>
      <c r="L61" s="728">
        <f t="shared" si="8"/>
        <v>0</v>
      </c>
      <c r="M61" s="728">
        <f t="shared" ca="1" si="8"/>
        <v>0</v>
      </c>
      <c r="N61" s="728">
        <f t="shared" si="8"/>
        <v>0</v>
      </c>
      <c r="O61" s="728">
        <f t="shared" ca="1" si="8"/>
        <v>0</v>
      </c>
      <c r="P61" s="728">
        <f t="shared" si="8"/>
        <v>0</v>
      </c>
      <c r="Q61" s="728">
        <f t="shared" si="8"/>
        <v>0</v>
      </c>
      <c r="R61" s="728">
        <f ca="1">R46+R52+R56</f>
        <v>49950.418519988016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0.20441565145381996</v>
      </c>
      <c r="D63" s="772">
        <f t="shared" ca="1" si="9"/>
        <v>0</v>
      </c>
      <c r="E63" s="997">
        <f t="shared" ca="1" si="9"/>
        <v>0.20200000000000001</v>
      </c>
      <c r="F63" s="772">
        <f t="shared" si="9"/>
        <v>0.22700000000000004</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3170.9291532599241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3170.9291532599241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3170.9291532599241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3170.9291532599241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23908.069883751014</v>
      </c>
      <c r="C4" s="460">
        <f>huishoudens!C8</f>
        <v>0</v>
      </c>
      <c r="D4" s="460">
        <f>huishoudens!D8</f>
        <v>24484.780078000003</v>
      </c>
      <c r="E4" s="460">
        <f>huishoudens!E8</f>
        <v>4781.0404541250691</v>
      </c>
      <c r="F4" s="460">
        <f>huishoudens!F8</f>
        <v>56357.684845147567</v>
      </c>
      <c r="G4" s="460">
        <f>huishoudens!G8</f>
        <v>0</v>
      </c>
      <c r="H4" s="460">
        <f>huishoudens!H8</f>
        <v>0</v>
      </c>
      <c r="I4" s="460">
        <f>huishoudens!I8</f>
        <v>0</v>
      </c>
      <c r="J4" s="460">
        <f>huishoudens!J8</f>
        <v>0</v>
      </c>
      <c r="K4" s="460">
        <f>huishoudens!K8</f>
        <v>0</v>
      </c>
      <c r="L4" s="460">
        <f>huishoudens!L8</f>
        <v>0</v>
      </c>
      <c r="M4" s="460">
        <f>huishoudens!M8</f>
        <v>0</v>
      </c>
      <c r="N4" s="460">
        <f>huishoudens!N8</f>
        <v>8821.1641766471585</v>
      </c>
      <c r="O4" s="460">
        <f>huishoudens!O8</f>
        <v>48.463333333333338</v>
      </c>
      <c r="P4" s="461">
        <f>huishoudens!P8</f>
        <v>228.8</v>
      </c>
      <c r="Q4" s="462">
        <f>SUM(B4:P4)</f>
        <v>118630.00277100415</v>
      </c>
    </row>
    <row r="5" spans="1:17">
      <c r="A5" s="459" t="s">
        <v>156</v>
      </c>
      <c r="B5" s="460">
        <f ca="1">tertiair!B16</f>
        <v>8423.4600000000009</v>
      </c>
      <c r="C5" s="460">
        <f ca="1">tertiair!C16</f>
        <v>0</v>
      </c>
      <c r="D5" s="460">
        <f ca="1">tertiair!D16</f>
        <v>3403.7366880000004</v>
      </c>
      <c r="E5" s="460">
        <f>tertiair!E16</f>
        <v>153.79156712512767</v>
      </c>
      <c r="F5" s="460">
        <f ca="1">tertiair!F16</f>
        <v>1665.6347053889153</v>
      </c>
      <c r="G5" s="460">
        <f>tertiair!G16</f>
        <v>0</v>
      </c>
      <c r="H5" s="460">
        <f>tertiair!H16</f>
        <v>0</v>
      </c>
      <c r="I5" s="460">
        <f>tertiair!I16</f>
        <v>0</v>
      </c>
      <c r="J5" s="460">
        <f>tertiair!J16</f>
        <v>0</v>
      </c>
      <c r="K5" s="460">
        <f>tertiair!K16</f>
        <v>0</v>
      </c>
      <c r="L5" s="460">
        <f ca="1">tertiair!L16</f>
        <v>0</v>
      </c>
      <c r="M5" s="460">
        <f>tertiair!M16</f>
        <v>0</v>
      </c>
      <c r="N5" s="460">
        <f ca="1">tertiair!N16</f>
        <v>441.32702560510461</v>
      </c>
      <c r="O5" s="460">
        <f>tertiair!O16</f>
        <v>0</v>
      </c>
      <c r="P5" s="461">
        <f>tertiair!P16</f>
        <v>0</v>
      </c>
      <c r="Q5" s="459">
        <f t="shared" ref="Q5:Q14" ca="1" si="0">SUM(B5:P5)</f>
        <v>14087.949986119151</v>
      </c>
    </row>
    <row r="6" spans="1:17">
      <c r="A6" s="459" t="s">
        <v>194</v>
      </c>
      <c r="B6" s="460">
        <f>'openbare verlichting'!B8</f>
        <v>641.19399999999996</v>
      </c>
      <c r="C6" s="460"/>
      <c r="D6" s="460"/>
      <c r="E6" s="460"/>
      <c r="F6" s="460"/>
      <c r="G6" s="460"/>
      <c r="H6" s="460"/>
      <c r="I6" s="460"/>
      <c r="J6" s="460"/>
      <c r="K6" s="460"/>
      <c r="L6" s="460"/>
      <c r="M6" s="460"/>
      <c r="N6" s="460"/>
      <c r="O6" s="460"/>
      <c r="P6" s="461"/>
      <c r="Q6" s="459">
        <f t="shared" si="0"/>
        <v>641.19399999999996</v>
      </c>
    </row>
    <row r="7" spans="1:17">
      <c r="A7" s="459" t="s">
        <v>112</v>
      </c>
      <c r="B7" s="460">
        <f>landbouw!B8</f>
        <v>3086.3809999999999</v>
      </c>
      <c r="C7" s="460">
        <f>landbouw!C8</f>
        <v>0</v>
      </c>
      <c r="D7" s="460">
        <f>landbouw!D8</f>
        <v>2092.1330760000001</v>
      </c>
      <c r="E7" s="460">
        <f>landbouw!E8</f>
        <v>32.321250006238508</v>
      </c>
      <c r="F7" s="460">
        <f>landbouw!F8</f>
        <v>13212.055831498357</v>
      </c>
      <c r="G7" s="460">
        <f>landbouw!G8</f>
        <v>0</v>
      </c>
      <c r="H7" s="460">
        <f>landbouw!H8</f>
        <v>0</v>
      </c>
      <c r="I7" s="460">
        <f>landbouw!I8</f>
        <v>0</v>
      </c>
      <c r="J7" s="460">
        <f>landbouw!J8</f>
        <v>275.64148700483639</v>
      </c>
      <c r="K7" s="460">
        <f>landbouw!K8</f>
        <v>0</v>
      </c>
      <c r="L7" s="460">
        <f>landbouw!L8</f>
        <v>0</v>
      </c>
      <c r="M7" s="460">
        <f>landbouw!M8</f>
        <v>0</v>
      </c>
      <c r="N7" s="460">
        <f>landbouw!N8</f>
        <v>0</v>
      </c>
      <c r="O7" s="460">
        <f>landbouw!O8</f>
        <v>0</v>
      </c>
      <c r="P7" s="461">
        <f>landbouw!P8</f>
        <v>0</v>
      </c>
      <c r="Q7" s="459">
        <f t="shared" si="0"/>
        <v>18698.532644509429</v>
      </c>
    </row>
    <row r="8" spans="1:17">
      <c r="A8" s="459" t="s">
        <v>655</v>
      </c>
      <c r="B8" s="460">
        <f>industrie!B18</f>
        <v>4586.1799999999994</v>
      </c>
      <c r="C8" s="460">
        <f>industrie!C18</f>
        <v>0</v>
      </c>
      <c r="D8" s="460">
        <f>industrie!D18</f>
        <v>2635.7829080000001</v>
      </c>
      <c r="E8" s="460">
        <f>industrie!E18</f>
        <v>87.50259078303408</v>
      </c>
      <c r="F8" s="460">
        <f>industrie!F18</f>
        <v>1186.2962861884262</v>
      </c>
      <c r="G8" s="460">
        <f>industrie!G18</f>
        <v>0</v>
      </c>
      <c r="H8" s="460">
        <f>industrie!H18</f>
        <v>0</v>
      </c>
      <c r="I8" s="460">
        <f>industrie!I18</f>
        <v>0</v>
      </c>
      <c r="J8" s="460">
        <f>industrie!J18</f>
        <v>30.773711413841848</v>
      </c>
      <c r="K8" s="460">
        <f>industrie!K18</f>
        <v>0</v>
      </c>
      <c r="L8" s="460">
        <f>industrie!L18</f>
        <v>0</v>
      </c>
      <c r="M8" s="460">
        <f>industrie!M18</f>
        <v>0</v>
      </c>
      <c r="N8" s="460">
        <f>industrie!N18</f>
        <v>82.039960111063095</v>
      </c>
      <c r="O8" s="460">
        <f>industrie!O18</f>
        <v>0</v>
      </c>
      <c r="P8" s="461">
        <f>industrie!P18</f>
        <v>0</v>
      </c>
      <c r="Q8" s="459">
        <f t="shared" si="0"/>
        <v>8608.5754564963645</v>
      </c>
    </row>
    <row r="9" spans="1:17" s="465" customFormat="1">
      <c r="A9" s="463" t="s">
        <v>573</v>
      </c>
      <c r="B9" s="464">
        <f>transport!B14</f>
        <v>0.51291979144496225</v>
      </c>
      <c r="C9" s="464">
        <f>transport!C14</f>
        <v>0</v>
      </c>
      <c r="D9" s="464">
        <f>transport!D14</f>
        <v>2.5318349567466689</v>
      </c>
      <c r="E9" s="464">
        <f>transport!E14</f>
        <v>256.86866521268399</v>
      </c>
      <c r="F9" s="464">
        <f>transport!F14</f>
        <v>0</v>
      </c>
      <c r="G9" s="464">
        <f>transport!G14</f>
        <v>43661.845063604182</v>
      </c>
      <c r="H9" s="464">
        <f>transport!H14</f>
        <v>8424.0103469554706</v>
      </c>
      <c r="I9" s="464">
        <f>transport!I14</f>
        <v>0</v>
      </c>
      <c r="J9" s="464">
        <f>transport!J14</f>
        <v>0</v>
      </c>
      <c r="K9" s="464">
        <f>transport!K14</f>
        <v>0</v>
      </c>
      <c r="L9" s="464">
        <f>transport!L14</f>
        <v>0</v>
      </c>
      <c r="M9" s="464">
        <f>transport!M14</f>
        <v>2275.1565282988431</v>
      </c>
      <c r="N9" s="464">
        <f>transport!N14</f>
        <v>0</v>
      </c>
      <c r="O9" s="464">
        <f>transport!O14</f>
        <v>0</v>
      </c>
      <c r="P9" s="464">
        <f>transport!P14</f>
        <v>0</v>
      </c>
      <c r="Q9" s="463">
        <f>SUM(B9:P9)</f>
        <v>54620.925358819368</v>
      </c>
    </row>
    <row r="10" spans="1:17">
      <c r="A10" s="459" t="s">
        <v>563</v>
      </c>
      <c r="B10" s="460">
        <f>transport!B54</f>
        <v>0</v>
      </c>
      <c r="C10" s="460">
        <f>transport!C54</f>
        <v>0</v>
      </c>
      <c r="D10" s="460">
        <f>transport!D54</f>
        <v>0</v>
      </c>
      <c r="E10" s="460">
        <f>transport!E54</f>
        <v>0</v>
      </c>
      <c r="F10" s="460">
        <f>transport!F54</f>
        <v>0</v>
      </c>
      <c r="G10" s="460">
        <f>transport!G54</f>
        <v>502.84646216484634</v>
      </c>
      <c r="H10" s="460">
        <f>transport!H54</f>
        <v>0</v>
      </c>
      <c r="I10" s="460">
        <f>transport!I54</f>
        <v>0</v>
      </c>
      <c r="J10" s="460">
        <f>transport!J54</f>
        <v>0</v>
      </c>
      <c r="K10" s="460">
        <f>transport!K54</f>
        <v>0</v>
      </c>
      <c r="L10" s="460">
        <f>transport!L54</f>
        <v>0</v>
      </c>
      <c r="M10" s="460">
        <f>transport!M54</f>
        <v>21.434160077415829</v>
      </c>
      <c r="N10" s="460">
        <f>transport!N54</f>
        <v>0</v>
      </c>
      <c r="O10" s="460">
        <f>transport!O54</f>
        <v>0</v>
      </c>
      <c r="P10" s="461">
        <f>transport!P54</f>
        <v>0</v>
      </c>
      <c r="Q10" s="459">
        <f t="shared" si="0"/>
        <v>524.28062224226221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1609.425</v>
      </c>
      <c r="C14" s="467"/>
      <c r="D14" s="467">
        <f>'SEAP template'!E25</f>
        <v>908.09</v>
      </c>
      <c r="E14" s="467"/>
      <c r="F14" s="467"/>
      <c r="G14" s="467"/>
      <c r="H14" s="467"/>
      <c r="I14" s="467"/>
      <c r="J14" s="467"/>
      <c r="K14" s="467"/>
      <c r="L14" s="467"/>
      <c r="M14" s="467"/>
      <c r="N14" s="467"/>
      <c r="O14" s="467"/>
      <c r="P14" s="468"/>
      <c r="Q14" s="459">
        <f t="shared" si="0"/>
        <v>2517.5149999999999</v>
      </c>
    </row>
    <row r="15" spans="1:17" s="472" customFormat="1">
      <c r="A15" s="469" t="s">
        <v>567</v>
      </c>
      <c r="B15" s="470">
        <f ca="1">SUM(B4:B14)</f>
        <v>42255.222803542463</v>
      </c>
      <c r="C15" s="470">
        <f t="shared" ref="C15:Q15" ca="1" si="1">SUM(C4:C14)</f>
        <v>0</v>
      </c>
      <c r="D15" s="470">
        <f t="shared" ca="1" si="1"/>
        <v>33527.05458495675</v>
      </c>
      <c r="E15" s="470">
        <f t="shared" si="1"/>
        <v>5311.5245272521533</v>
      </c>
      <c r="F15" s="470">
        <f t="shared" ca="1" si="1"/>
        <v>72421.671668223265</v>
      </c>
      <c r="G15" s="470">
        <f t="shared" si="1"/>
        <v>44164.691525769027</v>
      </c>
      <c r="H15" s="470">
        <f t="shared" si="1"/>
        <v>8424.0103469554706</v>
      </c>
      <c r="I15" s="470">
        <f t="shared" si="1"/>
        <v>0</v>
      </c>
      <c r="J15" s="470">
        <f t="shared" si="1"/>
        <v>306.41519841867824</v>
      </c>
      <c r="K15" s="470">
        <f t="shared" si="1"/>
        <v>0</v>
      </c>
      <c r="L15" s="470">
        <f t="shared" ca="1" si="1"/>
        <v>0</v>
      </c>
      <c r="M15" s="470">
        <f t="shared" si="1"/>
        <v>2296.5906883762591</v>
      </c>
      <c r="N15" s="470">
        <f t="shared" ca="1" si="1"/>
        <v>9344.5311623633261</v>
      </c>
      <c r="O15" s="470">
        <f t="shared" si="1"/>
        <v>48.463333333333338</v>
      </c>
      <c r="P15" s="470">
        <f t="shared" si="1"/>
        <v>228.8</v>
      </c>
      <c r="Q15" s="470">
        <f t="shared" ca="1" si="1"/>
        <v>218328.97583919071</v>
      </c>
    </row>
    <row r="17" spans="1:17">
      <c r="A17" s="473" t="s">
        <v>568</v>
      </c>
      <c r="B17" s="777">
        <f ca="1">huishoudens!B10</f>
        <v>0.20441565145381996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4887.1836802904172</v>
      </c>
      <c r="C22" s="460">
        <f t="shared" ref="C22:C32" ca="1" si="3">C4*$C$17</f>
        <v>0</v>
      </c>
      <c r="D22" s="460">
        <f t="shared" ref="D22:D32" si="4">D4*$D$17</f>
        <v>4945.9255757560013</v>
      </c>
      <c r="E22" s="460">
        <f t="shared" ref="E22:E32" si="5">E4*$E$17</f>
        <v>1085.2961830863908</v>
      </c>
      <c r="F22" s="460">
        <f t="shared" ref="F22:F32" si="6">F4*$F$17</f>
        <v>15047.501853654401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25965.907292787211</v>
      </c>
    </row>
    <row r="23" spans="1:17">
      <c r="A23" s="459" t="s">
        <v>156</v>
      </c>
      <c r="B23" s="460">
        <f t="shared" ca="1" si="2"/>
        <v>1721.8870633951944</v>
      </c>
      <c r="C23" s="460">
        <f t="shared" ca="1" si="3"/>
        <v>0</v>
      </c>
      <c r="D23" s="460">
        <f t="shared" ca="1" si="4"/>
        <v>687.55481097600011</v>
      </c>
      <c r="E23" s="460">
        <f t="shared" si="5"/>
        <v>34.910685737403981</v>
      </c>
      <c r="F23" s="460">
        <f t="shared" ca="1" si="6"/>
        <v>444.72446633884044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2889.077026447439</v>
      </c>
    </row>
    <row r="24" spans="1:17">
      <c r="A24" s="459" t="s">
        <v>194</v>
      </c>
      <c r="B24" s="460">
        <f t="shared" ca="1" si="2"/>
        <v>131.07008921828063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131.07008921828063</v>
      </c>
    </row>
    <row r="25" spans="1:17">
      <c r="A25" s="459" t="s">
        <v>112</v>
      </c>
      <c r="B25" s="460">
        <f t="shared" ca="1" si="2"/>
        <v>630.90458274969228</v>
      </c>
      <c r="C25" s="460">
        <f t="shared" ca="1" si="3"/>
        <v>0</v>
      </c>
      <c r="D25" s="460">
        <f t="shared" si="4"/>
        <v>422.61088135200004</v>
      </c>
      <c r="E25" s="460">
        <f t="shared" si="5"/>
        <v>7.3369237514161414</v>
      </c>
      <c r="F25" s="460">
        <f t="shared" si="6"/>
        <v>3527.6189070100618</v>
      </c>
      <c r="G25" s="460">
        <f t="shared" si="7"/>
        <v>0</v>
      </c>
      <c r="H25" s="460">
        <f t="shared" si="8"/>
        <v>0</v>
      </c>
      <c r="I25" s="460">
        <f t="shared" si="9"/>
        <v>0</v>
      </c>
      <c r="J25" s="460">
        <f t="shared" si="10"/>
        <v>97.577086399712073</v>
      </c>
      <c r="K25" s="460">
        <f t="shared" si="11"/>
        <v>0</v>
      </c>
      <c r="L25" s="460">
        <f t="shared" si="12"/>
        <v>0</v>
      </c>
      <c r="M25" s="460">
        <f t="shared" si="13"/>
        <v>0</v>
      </c>
      <c r="N25" s="460">
        <f t="shared" si="14"/>
        <v>0</v>
      </c>
      <c r="O25" s="460">
        <f t="shared" si="15"/>
        <v>0</v>
      </c>
      <c r="P25" s="461">
        <f t="shared" si="16"/>
        <v>0</v>
      </c>
      <c r="Q25" s="459">
        <f t="shared" ca="1" si="17"/>
        <v>4686.0483812628827</v>
      </c>
    </row>
    <row r="26" spans="1:17">
      <c r="A26" s="459" t="s">
        <v>655</v>
      </c>
      <c r="B26" s="460">
        <f t="shared" ca="1" si="2"/>
        <v>937.48697238447994</v>
      </c>
      <c r="C26" s="460">
        <f t="shared" ca="1" si="3"/>
        <v>0</v>
      </c>
      <c r="D26" s="460">
        <f t="shared" si="4"/>
        <v>532.42814741600012</v>
      </c>
      <c r="E26" s="460">
        <f t="shared" si="5"/>
        <v>19.863088107748737</v>
      </c>
      <c r="F26" s="460">
        <f t="shared" si="6"/>
        <v>316.74110841230981</v>
      </c>
      <c r="G26" s="460">
        <f t="shared" si="7"/>
        <v>0</v>
      </c>
      <c r="H26" s="460">
        <f t="shared" si="8"/>
        <v>0</v>
      </c>
      <c r="I26" s="460">
        <f t="shared" si="9"/>
        <v>0</v>
      </c>
      <c r="J26" s="460">
        <f t="shared" si="10"/>
        <v>10.893893840500013</v>
      </c>
      <c r="K26" s="460">
        <f t="shared" si="11"/>
        <v>0</v>
      </c>
      <c r="L26" s="460">
        <f t="shared" si="12"/>
        <v>0</v>
      </c>
      <c r="M26" s="460">
        <f t="shared" si="13"/>
        <v>0</v>
      </c>
      <c r="N26" s="460">
        <f t="shared" si="14"/>
        <v>0</v>
      </c>
      <c r="O26" s="460">
        <f t="shared" si="15"/>
        <v>0</v>
      </c>
      <c r="P26" s="461">
        <f t="shared" si="16"/>
        <v>0</v>
      </c>
      <c r="Q26" s="459">
        <f t="shared" ca="1" si="17"/>
        <v>1817.4132101610387</v>
      </c>
    </row>
    <row r="27" spans="1:17" s="465" customFormat="1">
      <c r="A27" s="463" t="s">
        <v>573</v>
      </c>
      <c r="B27" s="771">
        <f t="shared" ca="1" si="2"/>
        <v>0.10484883331177942</v>
      </c>
      <c r="C27" s="464">
        <f t="shared" ca="1" si="3"/>
        <v>0</v>
      </c>
      <c r="D27" s="464">
        <f t="shared" si="4"/>
        <v>0.5114306612628271</v>
      </c>
      <c r="E27" s="464">
        <f t="shared" si="5"/>
        <v>58.30918700327927</v>
      </c>
      <c r="F27" s="464">
        <f t="shared" si="6"/>
        <v>0</v>
      </c>
      <c r="G27" s="464">
        <f t="shared" si="7"/>
        <v>11657.712631982316</v>
      </c>
      <c r="H27" s="464">
        <f t="shared" si="8"/>
        <v>2097.5785763919121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13814.216674872083</v>
      </c>
    </row>
    <row r="28" spans="1:17">
      <c r="A28" s="459" t="s">
        <v>563</v>
      </c>
      <c r="B28" s="460">
        <f t="shared" ca="1" si="2"/>
        <v>0</v>
      </c>
      <c r="C28" s="460">
        <f t="shared" ca="1" si="3"/>
        <v>0</v>
      </c>
      <c r="D28" s="460">
        <f t="shared" si="4"/>
        <v>0</v>
      </c>
      <c r="E28" s="460">
        <f t="shared" si="5"/>
        <v>0</v>
      </c>
      <c r="F28" s="460">
        <f t="shared" si="6"/>
        <v>0</v>
      </c>
      <c r="G28" s="460">
        <f t="shared" si="7"/>
        <v>134.26000539801399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134.26000539801399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328.99165984106418</v>
      </c>
      <c r="C32" s="460">
        <f t="shared" ca="1" si="3"/>
        <v>0</v>
      </c>
      <c r="D32" s="460">
        <f t="shared" si="4"/>
        <v>183.43418000000003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512.4258398410642</v>
      </c>
    </row>
    <row r="33" spans="1:17" s="472" customFormat="1">
      <c r="A33" s="469" t="s">
        <v>567</v>
      </c>
      <c r="B33" s="470">
        <f ca="1">SUM(B22:B32)</f>
        <v>8637.6288967124401</v>
      </c>
      <c r="C33" s="470">
        <f t="shared" ref="C33:Q33" ca="1" si="19">SUM(C22:C32)</f>
        <v>0</v>
      </c>
      <c r="D33" s="470">
        <f t="shared" ca="1" si="19"/>
        <v>6772.4650261612651</v>
      </c>
      <c r="E33" s="470">
        <f t="shared" si="19"/>
        <v>1205.7160676862391</v>
      </c>
      <c r="F33" s="470">
        <f t="shared" ca="1" si="19"/>
        <v>19336.586335415614</v>
      </c>
      <c r="G33" s="470">
        <f t="shared" si="19"/>
        <v>11791.97263738033</v>
      </c>
      <c r="H33" s="470">
        <f t="shared" si="19"/>
        <v>2097.5785763919121</v>
      </c>
      <c r="I33" s="470">
        <f t="shared" si="19"/>
        <v>0</v>
      </c>
      <c r="J33" s="470">
        <f t="shared" si="19"/>
        <v>108.47098024021209</v>
      </c>
      <c r="K33" s="470">
        <f t="shared" si="19"/>
        <v>0</v>
      </c>
      <c r="L33" s="470">
        <f t="shared" ca="1" si="19"/>
        <v>0</v>
      </c>
      <c r="M33" s="470">
        <f t="shared" si="19"/>
        <v>0</v>
      </c>
      <c r="N33" s="470">
        <f t="shared" ca="1" si="19"/>
        <v>0</v>
      </c>
      <c r="O33" s="470">
        <f t="shared" si="19"/>
        <v>0</v>
      </c>
      <c r="P33" s="470">
        <f t="shared" si="19"/>
        <v>0</v>
      </c>
      <c r="Q33" s="470">
        <f t="shared" ca="1" si="19"/>
        <v>49950.418519988016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3170.9291532599241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3170.9291532599241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0.20441565145381996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0.20441565145381996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2019-06-29T16:07:19Z</dcterms:modified>
</cp:coreProperties>
</file>