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8"/>
  <c r="B6"/>
  <c r="B5"/>
  <c r="B4"/>
  <c r="O9" l="1"/>
  <c r="O19"/>
  <c r="C98"/>
  <c r="D101" s="1"/>
  <c r="B17"/>
  <c r="B20" s="1"/>
  <c r="G20"/>
  <c r="F20"/>
  <c r="O18"/>
  <c r="B10"/>
  <c r="I101"/>
  <c r="H8" s="1"/>
  <c r="H10" s="1"/>
  <c r="E101"/>
  <c r="E8" s="1"/>
  <c r="E10" s="1"/>
  <c r="H10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Q26"/>
  <c r="N26"/>
  <c r="J26"/>
  <c r="I26"/>
  <c r="R12"/>
  <c r="D5" i="17"/>
  <c r="Q76" i="14" l="1"/>
  <c r="P8" i="55" s="1"/>
  <c r="D8"/>
  <c r="D10" s="1"/>
  <c r="E55" i="14"/>
  <c r="D14" i="48"/>
  <c r="Q14"/>
  <c r="C77" i="14"/>
  <c r="C9" i="55" s="1"/>
  <c r="F9"/>
  <c r="F10" s="1"/>
  <c r="N78" i="14"/>
  <c r="N9" i="55"/>
  <c r="M90" i="14"/>
  <c r="M17" i="55"/>
  <c r="M20" s="1"/>
  <c r="F90" i="14"/>
  <c r="F18" i="55"/>
  <c r="F20" s="1"/>
  <c r="N90" i="14"/>
  <c r="N18" i="55"/>
  <c r="N20" s="1"/>
  <c r="E90" i="14"/>
  <c r="E18" i="55"/>
  <c r="L78" i="14"/>
  <c r="L8" i="55"/>
  <c r="G78" i="14"/>
  <c r="G9" i="55"/>
  <c r="G10" s="1"/>
  <c r="O78" i="14"/>
  <c r="O9" i="55"/>
  <c r="P32" i="48"/>
  <c r="F78" i="14"/>
  <c r="D22"/>
  <c r="L22"/>
  <c r="P31" i="48"/>
  <c r="L10" i="55"/>
  <c r="K20"/>
  <c r="R9" i="14"/>
  <c r="E10" i="55"/>
  <c r="O10"/>
  <c r="H20"/>
  <c r="P24" i="48"/>
  <c r="M22" i="14"/>
  <c r="N10" i="55"/>
  <c r="O29" i="48"/>
  <c r="O28"/>
  <c r="O25"/>
  <c r="G22" i="14"/>
  <c r="O22"/>
  <c r="P22"/>
  <c r="M76"/>
  <c r="M8" i="55" s="1"/>
  <c r="M10" s="1"/>
  <c r="L90" i="14"/>
  <c r="H10" i="55"/>
  <c r="E20"/>
  <c r="G20"/>
  <c r="O20"/>
  <c r="H90" i="14"/>
  <c r="Q52"/>
  <c r="K10" i="55"/>
  <c r="O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I10"/>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78" i="14" l="1"/>
  <c r="C8" i="55"/>
  <c r="C10" s="1"/>
  <c r="B78" i="14"/>
  <c r="B4" i="6" s="1"/>
  <c r="B8" i="55"/>
  <c r="B10"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E11"/>
  <c r="D4" i="48"/>
  <c r="H30"/>
  <c r="H32"/>
  <c r="H26"/>
  <c r="H22"/>
  <c r="H25"/>
  <c r="H24"/>
  <c r="H29"/>
  <c r="H28"/>
  <c r="H23"/>
  <c r="C4"/>
  <c r="D11" i="14"/>
  <c r="G30" i="48"/>
  <c r="G32"/>
  <c r="G29"/>
  <c r="G25"/>
  <c r="G26"/>
  <c r="G24"/>
  <c r="G22"/>
  <c r="G23"/>
  <c r="M5"/>
  <c r="N10" i="14"/>
  <c r="N16" s="1"/>
  <c r="B4" i="48"/>
  <c r="C11" i="14"/>
  <c r="F32" i="48"/>
  <c r="F27"/>
  <c r="F29"/>
  <c r="F24"/>
  <c r="F31"/>
  <c r="F30"/>
  <c r="F28"/>
  <c r="N32"/>
  <c r="N29"/>
  <c r="N24"/>
  <c r="N31"/>
  <c r="N30"/>
  <c r="N28"/>
  <c r="N27"/>
  <c r="B7"/>
  <c r="C24" i="14"/>
  <c r="C26" s="1"/>
  <c r="E30" i="48"/>
  <c r="E24"/>
  <c r="E32"/>
  <c r="E28"/>
  <c r="E31"/>
  <c r="E29"/>
  <c r="M32"/>
  <c r="M30"/>
  <c r="M24"/>
  <c r="M25"/>
  <c r="M26"/>
  <c r="M22"/>
  <c r="M29"/>
  <c r="L10" i="14"/>
  <c r="L16" s="1"/>
  <c r="L27" s="1"/>
  <c r="K5" i="48"/>
  <c r="D22"/>
  <c r="D30"/>
  <c r="D28"/>
  <c r="D24"/>
  <c r="D31"/>
  <c r="D29"/>
  <c r="D32"/>
  <c r="L30"/>
  <c r="L28"/>
  <c r="L24"/>
  <c r="L32"/>
  <c r="L27"/>
  <c r="L22"/>
  <c r="L31"/>
  <c r="L29"/>
  <c r="P5"/>
  <c r="P23" s="1"/>
  <c r="Q10" i="14"/>
  <c r="K30" i="48"/>
  <c r="K32"/>
  <c r="K31"/>
  <c r="K29"/>
  <c r="K28"/>
  <c r="K25"/>
  <c r="K24"/>
  <c r="K22"/>
  <c r="K27"/>
  <c r="K26"/>
  <c r="B10"/>
  <c r="C19" i="14"/>
  <c r="J10"/>
  <c r="J16" s="1"/>
  <c r="J27" s="1"/>
  <c r="I5" i="48"/>
  <c r="J32"/>
  <c r="J31"/>
  <c r="J24"/>
  <c r="J30"/>
  <c r="J28"/>
  <c r="J29"/>
  <c r="J27"/>
  <c r="P4"/>
  <c r="Q11" i="14"/>
  <c r="O4" i="48"/>
  <c r="P11" i="14"/>
  <c r="I30" i="48"/>
  <c r="I24"/>
  <c r="I25"/>
  <c r="I32"/>
  <c r="I27"/>
  <c r="I29"/>
  <c r="I31"/>
  <c r="I26"/>
  <c r="I22"/>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5"/>
  <c r="O23" s="1"/>
  <c r="P10" i="14"/>
  <c r="M13" i="48"/>
  <c r="M31" s="1"/>
  <c r="N18" i="14"/>
  <c r="M23" i="48"/>
  <c r="P22"/>
  <c r="I15"/>
  <c r="I23"/>
  <c r="F4"/>
  <c r="F22" s="1"/>
  <c r="G11" i="14"/>
  <c r="K15" i="48"/>
  <c r="K23"/>
  <c r="G12" i="22"/>
  <c r="G13" i="48"/>
  <c r="H18" i="14"/>
  <c r="O22" i="48"/>
  <c r="P22" i="16"/>
  <c r="Q43" i="14" s="1"/>
  <c r="Q13"/>
  <c r="Q16" s="1"/>
  <c r="Q27" s="1"/>
  <c r="P8" i="48"/>
  <c r="P26" s="1"/>
  <c r="J63" i="14"/>
  <c r="D16" i="15"/>
  <c r="E10" i="14" s="1"/>
  <c r="L46"/>
  <c r="L61" s="1"/>
  <c r="L63" s="1"/>
  <c r="I22"/>
  <c r="I27" s="1"/>
  <c r="K33" i="48"/>
  <c r="G31" i="20"/>
  <c r="H48" i="14" s="1"/>
  <c r="I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F11"/>
  <c r="R11" s="1"/>
  <c r="E4" i="48"/>
  <c r="J4"/>
  <c r="J22" s="1"/>
  <c r="K11" i="14"/>
  <c r="G10" i="48"/>
  <c r="H19" i="14"/>
  <c r="R19" s="1"/>
  <c r="H27" i="48"/>
  <c r="H33" s="1"/>
  <c r="H15"/>
  <c r="H20" i="14"/>
  <c r="H22" s="1"/>
  <c r="H27" s="1"/>
  <c r="G9" i="48"/>
  <c r="C20" i="14"/>
  <c r="B9" i="48"/>
  <c r="G31"/>
  <c r="Q13"/>
  <c r="F20" i="14"/>
  <c r="F22" s="1"/>
  <c r="E9" i="48"/>
  <c r="E27" s="1"/>
  <c r="D9"/>
  <c r="D27" s="1"/>
  <c r="E20" i="14"/>
  <c r="E22" s="1"/>
  <c r="P13"/>
  <c r="P16" s="1"/>
  <c r="P27" s="1"/>
  <c r="O8" i="48"/>
  <c r="O26" s="1"/>
  <c r="O33" s="1"/>
  <c r="P15"/>
  <c r="H52" i="14"/>
  <c r="H61" s="1"/>
  <c r="P33" i="48"/>
  <c r="C15"/>
  <c r="R18" i="14"/>
  <c r="Q46"/>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N52"/>
  <c r="N61" s="1"/>
  <c r="M18" i="22"/>
  <c r="N50" i="14" s="1"/>
  <c r="N20"/>
  <c r="N22" s="1"/>
  <c r="N27" s="1"/>
  <c r="M9" i="48"/>
  <c r="G27"/>
  <c r="G15"/>
  <c r="E22"/>
  <c r="Q4"/>
  <c r="R20" i="14"/>
  <c r="C22"/>
  <c r="G28" i="48"/>
  <c r="Q10"/>
  <c r="H63" i="14"/>
  <c r="Q9" i="48"/>
  <c r="R22" i="14"/>
  <c r="O15" i="48"/>
  <c r="B15"/>
  <c r="J5"/>
  <c r="K10" i="14"/>
  <c r="E20" i="15"/>
  <c r="F40" i="14" s="1"/>
  <c r="E5" i="48"/>
  <c r="F10" i="14"/>
  <c r="L15" i="48"/>
  <c r="Q7"/>
  <c r="R24" i="14"/>
  <c r="R26" s="1"/>
  <c r="J18" i="16"/>
  <c r="N18"/>
  <c r="E18"/>
  <c r="F18"/>
  <c r="F22"/>
  <c r="G43" i="14" s="1"/>
  <c r="M27" i="48" l="1"/>
  <c r="M33" s="1"/>
  <c r="M15"/>
  <c r="N63" i="14"/>
  <c r="G33"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<sst xmlns="http://schemas.openxmlformats.org/spreadsheetml/2006/main" count="2538" uniqueCount="984">
  <si>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</si>
  <si>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</si>
  <si>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</si>
  <si>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</si>
  <si>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</si>
  <si>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</si>
  <si>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</si>
  <si>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</si>
  <si>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</si>
  <si>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</si>
  <si>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</si>
  <si>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</si>
  <si>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</si>
  <si>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</si>
  <si>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</si>
  <si>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</si>
  <si>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</si>
  <si>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</si>
  <si>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</si>
  <si>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</si>
  <si>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</si>
  <si>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</si>
  <si>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</si>
  <si>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</si>
  <si>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</si>
  <si>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</si>
  <si>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</si>
  <si>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</si>
  <si>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</si>
  <si>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</si>
  <si>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</si>
  <si>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</si>
  <si>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</si>
  <si>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</si>
  <si>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</si>
  <si>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</si>
  <si>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</si>
  <si>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</si>
  <si>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</si>
  <si>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</si>
  <si>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</si>
  <si>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</si>
  <si>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</si>
  <si>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</si>
  <si>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</si>
  <si>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</si>
  <si>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</si>
  <si>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</si>
  <si>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</si>
  <si>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</si>
  <si>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</si>
  <si>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</si>
  <si>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</si>
  <si>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</si>
  <si>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</si>
  <si>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</si>
  <si>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</si>
  <si>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</si>
  <si>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</si>
  <si>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</si>
  <si>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</si>
  <si>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</si>
  <si>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</si>
  <si>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</si>
  <si>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</si>
  <si>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</si>
  <si>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</si>
  <si>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</si>
  <si>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</si>
  <si>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</si>
  <si>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</si>
  <si>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</si>
  <si>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</si>
  <si>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</si>
  <si>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</si>
  <si>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</si>
  <si>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</si>
  <si>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</si>
  <si>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</si>
  <si>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</si>
  <si>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</si>
  <si>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</si>
  <si>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</si>
  <si>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</si>
  <si>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</si>
  <si>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</si>
  <si>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</si>
  <si>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</si>
  <si>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</si>
  <si>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</si>
  <si>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</si>
  <si>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</si>
  <si>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</si>
  <si>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</si>
  <si>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</si>
  <si>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</si>
  <si>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</si>
  <si>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</si>
  <si>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</si>
  <si>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</si>
  <si>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</si>
  <si>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</si>
  <si>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</si>
  <si>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</si>
  <si>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</si>
  <si>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</si>
  <si>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</si>
  <si>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</si>
  <si>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</si>
  <si>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</si>
  <si>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</si>
  <si>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</si>
  <si>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</si>
  <si>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</si>
  <si>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</si>
  <si>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</si>
  <si>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</si>
  <si>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</si>
  <si>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</si>
  <si>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</si>
  <si>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</si>
  <si>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</si>
  <si>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</si>
  <si>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</si>
  <si>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</si>
  <si>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</si>
  <si>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</si>
  <si>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</si>
  <si>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</si>
  <si>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</si>
  <si>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</si>
  <si>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</si>
  <si>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</si>
  <si>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</si>
  <si>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</si>
  <si>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</si>
  <si>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</si>
  <si>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</si>
  <si>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</si>
  <si>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</si>
  <si>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</si>
  <si>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</si>
  <si>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</si>
  <si>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</si>
  <si>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</si>
  <si>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</si>
  <si>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</si>
  <si>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</si>
  <si>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</si>
  <si>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</si>
  <si>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</si>
  <si>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</si>
  <si>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</si>
  <si>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</si>
  <si>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</si>
  <si>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</si>
  <si>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</si>
  <si>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</si>
  <si>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</si>
  <si>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</si>
  <si>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</si>
  <si>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</si>
  <si>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</si>
  <si>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</si>
  <si>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</si>
  <si>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</si>
  <si>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</si>
  <si>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</si>
  <si>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</si>
  <si>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</si>
  <si>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</si>
  <si>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</si>
  <si>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</si>
  <si>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</si>
  <si>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</si>
  <si>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</si>
  <si>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</si>
  <si>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</si>
  <si>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</si>
  <si>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</si>
  <si>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</si>
  <si>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</si>
  <si>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</si>
  <si>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</si>
  <si>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</si>
  <si>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</si>
  <si>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</si>
  <si>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</si>
  <si>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</si>
  <si>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</si>
  <si>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</si>
  <si>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</si>
  <si>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</si>
  <si>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</si>
  <si>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</si>
  <si>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</si>
  <si>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</si>
  <si>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</si>
  <si>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</si>
  <si>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</si>
  <si>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</si>
  <si>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</si>
  <si>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</si>
  <si>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</si>
  <si>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</si>
  <si>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</si>
  <si>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</si>
  <si>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</si>
  <si>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</si>
  <si>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</si>
  <si>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</si>
  <si>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</si>
  <si>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</si>
  <si>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</si>
  <si>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</si>
  <si>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</si>
  <si>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</si>
  <si>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</si>
  <si>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</si>
  <si>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</si>
  <si>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</si>
  <si>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</si>
  <si>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</si>
  <si>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</si>
  <si>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</si>
  <si>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</si>
  <si>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</si>
  <si>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</si>
  <si>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</si>
  <si>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</si>
  <si>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</si>
  <si>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</si>
  <si>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</si>
  <si>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</si>
  <si>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</si>
  <si>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</si>
  <si>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</si>
  <si>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</si>
  <si>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</si>
  <si>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</si>
  <si>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</si>
  <si>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</si>
  <si>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</si>
  <si>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</si>
  <si>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</si>
  <si>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</si>
  <si>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</si>
  <si>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</si>
  <si>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</si>
  <si>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</si>
  <si>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</si>
  <si>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</si>
  <si>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</si>
  <si>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</si>
  <si>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</si>
  <si>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</si>
  <si>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</si>
  <si>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</si>
  <si>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</si>
  <si>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</si>
  <si>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</si>
  <si>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</si>
  <si>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</si>
  <si>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</si>
  <si>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</si>
  <si>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</si>
  <si>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</si>
  <si>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</si>
  <si>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</si>
  <si>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</si>
  <si>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</si>
  <si>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</si>
  <si>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</si>
  <si>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</si>
  <si>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</si>
  <si>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</si>
  <si>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</si>
  <si>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</si>
  <si>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</si>
  <si>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</si>
  <si>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</si>
  <si>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</si>
  <si>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</si>
  <si>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</si>
  <si>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</si>
  <si>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</si>
  <si>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</si>
  <si>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</si>
  <si>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</si>
  <si>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</si>
  <si>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</si>
  <si>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</si>
  <si>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</si>
  <si>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</si>
  <si>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</si>
  <si>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</si>
  <si>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</si>
  <si>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</si>
  <si>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</si>
  <si>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</si>
  <si>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</si>
  <si>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</si>
  <si>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</si>
  <si>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</si>
  <si>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</si>
  <si>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</si>
  <si>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</si>
  <si>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</si>
  <si>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</si>
  <si>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</si>
  <si>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</si>
  <si>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</si>
  <si>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</si>
  <si>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</si>
  <si>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</si>
  <si>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</si>
  <si>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</si>
  <si>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</si>
  <si>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</si>
  <si>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</si>
  <si>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</si>
  <si>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</si>
  <si>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</si>
  <si>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</si>
  <si>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</si>
  <si>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</si>
  <si>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</si>
  <si>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</si>
  <si>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</si>
  <si>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</si>
  <si>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</si>
  <si>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</si>
  <si>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</si>
  <si>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</si>
  <si>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</si>
  <si>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</si>
  <si>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</si>
  <si>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</si>
  <si>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</si>
  <si>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</si>
  <si>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</si>
  <si>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</si>
  <si>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</si>
  <si>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</si>
  <si>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</si>
  <si>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</si>
  <si>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</si>
  <si>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</si>
  <si>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</si>
  <si>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</si>
  <si>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</si>
  <si>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</si>
  <si>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</si>
  <si>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</si>
  <si>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</si>
  <si>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</si>
  <si>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</si>
  <si>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</si>
  <si>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</si>
  <si>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</si>
  <si>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</si>
  <si>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</si>
  <si>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</si>
  <si>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</si>
  <si>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</si>
  <si>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</si>
  <si>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</si>
  <si>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</si>
  <si>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</si>
  <si>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</si>
  <si>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</si>
  <si>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</si>
  <si>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</si>
  <si>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</si>
  <si>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</si>
  <si>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</si>
  <si>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</si>
  <si>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</si>
  <si>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</si>
  <si>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</si>
  <si>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</si>
  <si>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</si>
  <si>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</si>
  <si>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</si>
  <si>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</si>
  <si>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</si>
  <si>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</si>
  <si>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</si>
  <si>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</si>
  <si>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</si>
  <si>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</si>
  <si>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</si>
  <si>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</si>
  <si>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</si>
  <si>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</si>
  <si>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</si>
  <si>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</si>
  <si>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</si>
  <si>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</si>
  <si>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</si>
  <si>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</si>
  <si>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</si>
  <si>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</si>
  <si>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</si>
  <si>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</si>
  <si>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</si>
  <si>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</si>
  <si>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</si>
  <si>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</si>
  <si>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</si>
  <si>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</si>
  <si>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</si>
  <si>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</si>
  <si>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</si>
  <si>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</si>
  <si>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</si>
  <si>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</si>
  <si>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</si>
  <si>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</si>
  <si>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</si>
  <si>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</si>
  <si>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</si>
  <si>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</si>
  <si>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</si>
  <si>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</si>
  <si>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</si>
  <si>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</si>
  <si>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</si>
  <si>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</si>
  <si>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</si>
  <si>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</si>
  <si>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</si>
  <si>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</si>
  <si>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</si>
  <si>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</si>
  <si>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</si>
  <si>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</si>
  <si>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</si>
  <si>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</si>
  <si>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</si>
  <si>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</si>
  <si>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</si>
  <si>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</si>
  <si>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</si>
  <si>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</si>
  <si>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</si>
  <si>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</si>
  <si>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</si>
  <si>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</si>
  <si>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</si>
  <si>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</si>
  <si>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</si>
  <si>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</si>
  <si>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</si>
  <si>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</si>
  <si>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</si>
  <si>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</si>
  <si>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</si>
  <si>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</si>
  <si>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</si>
  <si>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</si>
  <si>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</si>
  <si>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</si>
  <si>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</si>
  <si>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</si>
  <si>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</si>
  <si>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</si>
  <si>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</si>
  <si>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</si>
  <si>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</si>
  <si>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</si>
  <si>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</si>
  <si>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</si>
  <si>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</si>
  <si>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</si>
  <si>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</si>
  <si>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</si>
  <si>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</si>
  <si>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</si>
  <si>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</si>
  <si>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</si>
  <si>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</si>
  <si>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</si>
  <si>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</si>
  <si>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</si>
  <si>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</si>
  <si>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</si>
  <si>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</si>
  <si>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</si>
  <si>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</si>
  <si>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</si>
  <si>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</si>
  <si>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</si>
  <si>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</si>
  <si>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</si>
  <si>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</si>
  <si>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</si>
  <si>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</si>
  <si>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</si>
  <si>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</si>
  <si>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</si>
  <si>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</si>
  <si>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</si>
  <si>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</si>
  <si>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</si>
  <si>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</si>
  <si>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</si>
  <si>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</si>
  <si>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</si>
  <si>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</si>
  <si>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</si>
  <si>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</si>
  <si>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</si>
  <si>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</si>
  <si>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</si>
  <si>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</si>
  <si>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</si>
  <si>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</si>
  <si>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</si>
  <si>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</si>
  <si>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</si>
  <si>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</si>
  <si>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</si>
  <si>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</si>
  <si>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</si>
  <si>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</si>
  <si>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</si>
  <si>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</si>
  <si>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</si>
  <si>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</si>
  <si>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</si>
  <si>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</si>
  <si>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</si>
  <si>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</si>
  <si>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</si>
  <si>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</si>
  <si>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</si>
  <si>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</si>
  <si>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</si>
  <si>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</si>
  <si>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</si>
  <si>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</si>
  <si>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</si>
  <si>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</si>
  <si>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</si>
  <si>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</si>
  <si>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</si>
  <si>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</si>
  <si>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</si>
  <si>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</si>
  <si>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</si>
  <si>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</si>
  <si>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</si>
  <si>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</si>
  <si>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</si>
  <si>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</si>
  <si>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</si>
  <si>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</si>
  <si>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</si>
  <si>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</si>
  <si>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</si>
  <si>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</si>
  <si>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</si>
  <si>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</si>
  <si>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</si>
  <si>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</si>
  <si>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</si>
  <si>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</si>
  <si>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</si>
  <si>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</si>
  <si>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</si>
  <si>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</si>
  <si>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</si>
  <si>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</si>
  <si>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</si>
  <si>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</si>
  <si>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</si>
  <si>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</si>
  <si>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</si>
  <si>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</si>
  <si>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</si>
  <si>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</si>
  <si>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</si>
  <si>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</si>
  <si>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</si>
  <si>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</si>
  <si>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</si>
  <si>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</si>
  <si>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</si>
  <si>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</si>
  <si>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</si>
  <si>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</si>
  <si>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</si>
  <si>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</si>
  <si>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</si>
  <si>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</si>
  <si>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</si>
  <si>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</si>
  <si>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</si>
  <si>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</si>
  <si>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</si>
  <si>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</si>
  <si>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</si>
  <si>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</si>
  <si>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</si>
  <si>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</si>
  <si>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</si>
  <si>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</si>
  <si>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</si>
  <si>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</si>
  <si>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</si>
  <si>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</si>
  <si>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</si>
  <si>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</si>
  <si>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</si>
  <si>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</si>
  <si>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</si>
  <si>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</si>
  <si>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</si>
  <si>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</si>
  <si>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</si>
  <si>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</si>
  <si>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</si>
  <si>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</si>
  <si>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</si>
  <si>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</si>
  <si>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</si>
  <si>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</si>
  <si>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</si>
  <si>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</si>
  <si>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</si>
  <si>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</si>
  <si>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</si>
  <si>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</si>
  <si>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</si>
  <si>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</si>
  <si>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</si>
  <si>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</si>
  <si>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</si>
  <si>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</si>
  <si>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</si>
  <si>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</si>
  <si>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</si>
  <si>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</si>
  <si>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</si>
  <si>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</si>
  <si>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</si>
  <si>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</si>
  <si>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</si>
  <si>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</si>
  <si>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</si>
  <si>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</si>
  <si>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</si>
  <si>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</si>
  <si>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</si>
  <si>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</si>
  <si>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</si>
  <si>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</si>
  <si>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</si>
  <si>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</si>
  <si>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</si>
  <si>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</si>
  <si>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</si>
  <si>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</si>
  <si>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</si>
  <si>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</si>
  <si>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</si>
  <si>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</si>
  <si>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</si>
  <si>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</si>
  <si>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</si>
  <si>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</si>
  <si>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</si>
  <si>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</si>
  <si>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</si>
  <si>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</si>
  <si>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</si>
  <si>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</si>
  <si>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</si>
  <si>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</si>
  <si>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</si>
  <si>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</si>
  <si>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</si>
  <si>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</si>
  <si>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</si>
  <si>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</si>
  <si>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</si>
  <si>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</si>
  <si>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</si>
  <si>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</si>
  <si>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</si>
  <si>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</si>
  <si>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</si>
  <si>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</si>
  <si>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</si>
  <si>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</si>
  <si>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</si>
  <si>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</si>
  <si>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</si>
  <si>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</si>
  <si>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</si>
  <si>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</si>
  <si>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</si>
  <si>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</si>
  <si>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</si>
  <si>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</si>
  <si>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</si>
  <si>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</si>
  <si>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</si>
  <si>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</si>
  <si>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</si>
  <si>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</si>
  <si>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</si>
  <si>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</si>
  <si>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</si>
  <si>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</si>
  <si>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</si>
  <si>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</si>
  <si>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</si>
  <si>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</si>
  <si>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</si>
  <si>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</si>
  <si>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</si>
  <si>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</si>
  <si>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</si>
  <si>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</si>
  <si>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</si>
  <si>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</si>
  <si>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</si>
  <si>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</si>
  <si>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</si>
  <si>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</si>
  <si>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</si>
  <si>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</si>
  <si>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</si>
  <si>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</si>
  <si>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</si>
  <si>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</si>
  <si>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</si>
  <si>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</si>
  <si>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</si>
  <si>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</si>
  <si>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</si>
  <si>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</si>
  <si>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</si>
  <si>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</si>
  <si>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</si>
  <si>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</si>
  <si>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</si>
  <si>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</si>
  <si>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</si>
  <si>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</si>
  <si>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</si>
  <si>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</si>
  <si>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</si>
  <si>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</si>
  <si>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</si>
  <si>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</si>
  <si>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</si>
  <si>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</si>
  <si>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</si>
  <si>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</si>
  <si>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</si>
  <si>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</si>
  <si>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</si>
  <si>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</si>
  <si>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</si>
  <si>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</si>
  <si>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</si>
  <si>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</si>
  <si>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</si>
  <si>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</si>
  <si>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</si>
  <si>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</si>
  <si>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</si>
  <si>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</si>
  <si>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</si>
  <si>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</si>
  <si>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</si>
  <si>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</si>
  <si>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</si>
  <si>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</si>
  <si>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</si>
  <si>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</si>
  <si>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</si>
  <si>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</si>
  <si>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</si>
  <si>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</si>
  <si>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</si>
  <si>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</si>
  <si>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</si>
  <si>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</si>
  <si>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</si>
  <si>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</si>
  <si>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</si>
  <si>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</si>
  <si>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</si>
  <si>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</si>
  <si>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</si>
  <si>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</si>
  <si>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</si>
  <si>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</si>
  <si>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</si>
  <si>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</si>
  <si>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</si>
  <si>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</si>
  <si>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</si>
  <si>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</si>
  <si>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</si>
  <si>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</si>
  <si>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</si>
  <si>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</si>
  <si>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</si>
  <si>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</si>
  <si>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</si>
  <si>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</si>
  <si>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</si>
  <si>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</si>
  <si>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</si>
  <si>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</si>
  <si>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</si>
  <si>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</si>
  <si>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</si>
  <si>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</si>
  <si>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</si>
  <si>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</si>
  <si>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</si>
  <si>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</si>
  <si>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</si>
  <si>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</si>
  <si>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</si>
  <si>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</si>
  <si>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</si>
  <si>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</si>
  <si>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</si>
  <si>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</si>
  <si>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</si>
  <si>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</si>
  <si>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</si>
  <si>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</si>
  <si>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</si>
  <si>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</si>
  <si>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</si>
  <si>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</si>
  <si>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</si>
  <si>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</si>
  <si>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</si>
  <si>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</si>
  <si>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</si>
  <si>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</si>
  <si>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</si>
  <si>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</si>
  <si>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</si>
  <si>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</si>
  <si>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</si>
  <si>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</si>
  <si>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</si>
  <si>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</si>
  <si>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</si>
  <si>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</si>
  <si>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</si>
  <si>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</si>
  <si>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</si>
  <si>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</si>
  <si>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</si>
  <si>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</si>
  <si>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</si>
  <si>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</si>
  <si>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</si>
  <si>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</si>
  <si>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</si>
  <si>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</si>
  <si>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</si>
  <si>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</si>
  <si>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</si>
  <si>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</si>
  <si>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</si>
  <si>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</si>
  <si>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</si>
  <si>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</si>
  <si>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</si>
  <si>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</si>
  <si>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</si>
  <si>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</si>
  <si>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</si>
  <si>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</si>
  <si>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</si>
  <si>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</si>
  <si>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</si>
  <si>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</si>
  <si>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</si>
  <si>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</si>
  <si>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</si>
  <si>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</si>
  <si>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</si>
  <si>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</si>
  <si>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</si>
  <si>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</si>
  <si>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</si>
  <si>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</si>
  <si>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</si>
  <si>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</si>
  <si>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</si>
  <si>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</si>
  <si>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</si>
  <si>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</si>
  <si>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</si>
  <si>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</si>
  <si>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</si>
  <si>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</si>
  <si>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</si>
  <si>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</si>
  <si>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</si>
  <si>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</si>
  <si>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</si>
  <si>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</si>
  <si>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</si>
  <si>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</si>
  <si>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</si>
  <si>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</si>
  <si>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</si>
  <si>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</si>
  <si>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</si>
  <si>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</si>
  <si>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</si>
  <si>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</si>
  <si>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</si>
  <si>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</si>
  <si>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</si>
  <si>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</si>
  <si>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</si>
  <si>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</si>
  <si>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</si>
  <si>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</si>
  <si>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</si>
  <si>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</si>
  <si>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</si>
  <si>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</si>
  <si>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</si>
  <si>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</si>
  <si>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</si>
  <si>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</si>
  <si>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</si>
  <si>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</si>
  <si>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</si>
  <si>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</si>
  <si>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</si>
  <si>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</si>
  <si>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</si>
  <si>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</si>
  <si>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</si>
  <si>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</si>
  <si>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</si>
  <si>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</si>
  <si>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</si>
  <si>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</si>
  <si>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</si>
  <si>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</si>
  <si>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</si>
  <si>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</si>
  <si>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</si>
  <si>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</si>
  <si>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</si>
  <si>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Roebben-Hendrickx</t>
  </si>
  <si>
    <t>Rapertingenstraat 5, 3500 Hasselt</t>
  </si>
  <si>
    <t>WKK-0093 Roebben-hendrickx</t>
  </si>
  <si>
    <t>interne verbrandingsmotor</t>
  </si>
  <si>
    <t>WKK interne verbrandinsgmotor (gas)</t>
  </si>
  <si>
    <t>Inter-Energa</t>
  </si>
  <si>
    <t>Limburgs Galvano Technisch Bedrijf nv</t>
  </si>
  <si>
    <t>Albertkanaalstraat 139 , 3511 Kuringen</t>
  </si>
  <si>
    <t>WKK-0345 Limburgs Galvano Technisch Bedrijf</t>
  </si>
  <si>
    <t>Salvatorrusthuis VZW</t>
  </si>
  <si>
    <t>Ekkelgaarden 17 , 3500 Hasselt</t>
  </si>
  <si>
    <t>WKK-0387 Salvatorrusthuis</t>
  </si>
  <si>
    <t>vzw Jessa Ziekenhuis</t>
  </si>
  <si>
    <t>Salvatorstraat 20, 3500 Hasselt</t>
  </si>
  <si>
    <t>WKK-0097 vzw Jessa Ziekenhuis (voorheen CAZ Midden-Limburg)</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</si>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</sst>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726</v>
      </c>
      <c r="B2" s="400"/>
      <c r="C2" s="401"/>
    </row>
    <row r="3" spans="1:7" s="11" customFormat="1" ht="15" customHeight="1">
      <c r="A3" s="93"/>
      <c r="B3" s="74"/>
      <c r="C3" s="94"/>
    </row>
    <row r="4" spans="1:7" s="11" customFormat="1" ht="15.75" customHeight="1" thickBot="1">
      <c r="A4" s="105" t="s">
        <v>934</v>
      </c>
      <c r="B4" s="106"/>
      <c r="C4" s="107"/>
    </row>
    <row r="5" spans="1:7" s="394" customFormat="1" ht="15.75" customHeight="1">
      <c r="A5" s="391" t="s">
        <v>0</v>
      </c>
      <c r="B5" s="392"/>
      <c r="C5" s="393"/>
    </row>
    <row r="6" spans="1:7" s="394" customFormat="1" ht="15" customHeight="1">
      <c r="A6" s="395" t="str">
        <f>txtNIS</f>
        <v>71022</v>
      </c>
      <c r="B6" s="396"/>
      <c r="C6" s="397"/>
    </row>
    <row r="7" spans="1:7" s="394" customFormat="1" ht="15.75" customHeight="1">
      <c r="A7" s="398" t="str">
        <f>txtMunicipality</f>
        <v>HASSELT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725</v>
      </c>
      <c r="B10" s="1049"/>
      <c r="C10" s="1050"/>
    </row>
    <row r="11" spans="1:7" s="388" customFormat="1" ht="15.75" thickBot="1">
      <c r="A11" s="411" t="s">
        <v>360</v>
      </c>
      <c r="B11" s="414"/>
      <c r="C11" s="415"/>
      <c r="G11" s="389"/>
    </row>
    <row r="12" spans="1:7">
      <c r="A12" s="44"/>
      <c r="B12" s="43"/>
      <c r="C12" s="96"/>
    </row>
    <row r="13" spans="1:7" s="388" customFormat="1">
      <c r="A13" s="766" t="s">
        <v>629</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709</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586</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589</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616</v>
      </c>
      <c r="B17" s="509">
        <f ca="1">'EF ele_warmte'!B12</f>
        <v>0.21146764592673734</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589</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607</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616</v>
      </c>
      <c r="B29" s="510">
        <f ca="1">'EF ele_warmte'!B12</f>
        <v>0.21146764592673734</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577</v>
      </c>
      <c r="B10" s="512"/>
      <c r="C10" s="142" t="s">
        <v>182</v>
      </c>
      <c r="D10" s="145" t="s">
        <v>393</v>
      </c>
      <c r="I10" s="1173"/>
      <c r="K10" s="58"/>
    </row>
    <row r="11" spans="1:11" s="43" customFormat="1">
      <c r="A11" s="44" t="s">
        <v>578</v>
      </c>
      <c r="B11" s="47"/>
      <c r="D11" s="143" t="s">
        <v>394</v>
      </c>
      <c r="I11" s="1173"/>
      <c r="K11" s="58"/>
    </row>
    <row r="12" spans="1:11" s="43" customFormat="1">
      <c r="A12" s="44" t="s">
        <v>579</v>
      </c>
      <c r="B12" s="47"/>
      <c r="D12" s="143" t="s">
        <v>394</v>
      </c>
      <c r="I12" s="1173"/>
      <c r="K12" s="58"/>
    </row>
    <row r="13" spans="1:11" s="43" customFormat="1">
      <c r="A13" s="44"/>
      <c r="B13" s="460"/>
      <c r="D13" s="96"/>
      <c r="I13" s="1173"/>
    </row>
    <row r="14" spans="1:11" s="43" customFormat="1">
      <c r="A14" s="305" t="s">
        <v>576</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587</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577</v>
      </c>
      <c r="B31" s="512"/>
      <c r="C31" s="142" t="s">
        <v>182</v>
      </c>
      <c r="D31" s="145" t="s">
        <v>393</v>
      </c>
    </row>
    <row r="32" spans="1:11">
      <c r="A32" s="450" t="s">
        <v>578</v>
      </c>
      <c r="B32" s="47"/>
      <c r="C32" s="48"/>
      <c r="D32" s="143" t="s">
        <v>394</v>
      </c>
    </row>
    <row r="33" spans="1:11">
      <c r="A33" s="44"/>
      <c r="B33" s="48"/>
      <c r="C33" s="48"/>
      <c r="D33" s="143"/>
    </row>
    <row r="34" spans="1:11" s="43" customFormat="1">
      <c r="A34" s="305" t="s">
        <v>576</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580</v>
      </c>
      <c r="B50" s="47"/>
      <c r="C50" s="32"/>
      <c r="D50" s="144" t="s">
        <v>395</v>
      </c>
    </row>
    <row r="51" spans="1:4">
      <c r="A51" s="44" t="s">
        <v>581</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582</v>
      </c>
      <c r="B57" s="47"/>
      <c r="C57" s="32"/>
      <c r="D57" s="143" t="s">
        <v>155</v>
      </c>
    </row>
    <row r="58" spans="1:4">
      <c r="A58" s="44" t="s">
        <v>583</v>
      </c>
      <c r="B58" s="47"/>
      <c r="C58" s="32"/>
      <c r="D58" s="143" t="s">
        <v>156</v>
      </c>
    </row>
    <row r="59" spans="1:4">
      <c r="A59" s="44" t="s">
        <v>584</v>
      </c>
      <c r="B59" s="47"/>
      <c r="C59" s="48"/>
      <c r="D59" s="143" t="s">
        <v>391</v>
      </c>
    </row>
    <row r="60" spans="1:4">
      <c r="A60" s="44" t="s">
        <v>585</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602</v>
      </c>
      <c r="B1" s="647"/>
      <c r="C1" s="647"/>
      <c r="D1" s="647"/>
      <c r="E1" s="648"/>
    </row>
    <row r="2" spans="1:5">
      <c r="A2" s="659" t="s">
        <v>396</v>
      </c>
      <c r="B2" s="664" t="s">
        <v>526</v>
      </c>
      <c r="C2" s="660"/>
      <c r="D2" s="660"/>
      <c r="E2" s="661"/>
    </row>
    <row r="3" spans="1:5">
      <c r="A3" s="662"/>
      <c r="B3" s="663"/>
      <c r="C3" s="651"/>
      <c r="D3" s="651"/>
      <c r="E3" s="652"/>
    </row>
    <row r="4" spans="1:5" s="333" customFormat="1" ht="45">
      <c r="A4" s="650" t="s">
        <v>606</v>
      </c>
      <c r="B4" s="658" t="s">
        <v>595</v>
      </c>
      <c r="C4" s="679" t="s">
        <v>617</v>
      </c>
      <c r="D4" s="680" t="s">
        <v>618</v>
      </c>
      <c r="E4" s="681" t="s">
        <v>619</v>
      </c>
    </row>
    <row r="5" spans="1:5">
      <c r="A5" s="653" t="s">
        <v>596</v>
      </c>
      <c r="B5" s="645" t="s">
        <v>597</v>
      </c>
      <c r="C5" s="676">
        <v>3.678273E-2</v>
      </c>
      <c r="D5" s="677">
        <v>0.27778000000000003</v>
      </c>
      <c r="E5" s="669">
        <f>C5*D5</f>
        <v>1.0217506739400001E-2</v>
      </c>
    </row>
    <row r="6" spans="1:5">
      <c r="A6" s="653" t="s">
        <v>596</v>
      </c>
      <c r="B6" s="645" t="s">
        <v>598</v>
      </c>
      <c r="C6" s="676">
        <v>4.2278999999999997E-2</v>
      </c>
      <c r="D6" s="677">
        <v>0.27778000000000003</v>
      </c>
      <c r="E6" s="669">
        <f t="shared" ref="E6:E21" si="0">C6*D6</f>
        <v>1.174426062E-2</v>
      </c>
    </row>
    <row r="7" spans="1:5">
      <c r="A7" s="653" t="s">
        <v>596</v>
      </c>
      <c r="B7" s="645" t="s">
        <v>599</v>
      </c>
      <c r="C7" s="676">
        <v>42.279000000000003</v>
      </c>
      <c r="D7" s="677">
        <v>0.27778000000000003</v>
      </c>
      <c r="E7" s="669">
        <f t="shared" si="0"/>
        <v>11.744260620000002</v>
      </c>
    </row>
    <row r="8" spans="1:5">
      <c r="A8" s="653" t="s">
        <v>600</v>
      </c>
      <c r="B8" s="645" t="s">
        <v>597</v>
      </c>
      <c r="C8" s="676">
        <v>3.8573799999999998E-2</v>
      </c>
      <c r="D8" s="677">
        <v>0.27778000000000003</v>
      </c>
      <c r="E8" s="669">
        <f t="shared" si="0"/>
        <v>1.0715030164E-2</v>
      </c>
    </row>
    <row r="9" spans="1:5">
      <c r="A9" s="653" t="s">
        <v>600</v>
      </c>
      <c r="B9" s="645" t="s">
        <v>598</v>
      </c>
      <c r="C9" s="676">
        <v>4.0604000000000001E-2</v>
      </c>
      <c r="D9" s="677">
        <v>0.27778000000000003</v>
      </c>
      <c r="E9" s="669">
        <f t="shared" si="0"/>
        <v>1.1278979120000001E-2</v>
      </c>
    </row>
    <row r="10" spans="1:5">
      <c r="A10" s="653" t="s">
        <v>600</v>
      </c>
      <c r="B10" s="645" t="s">
        <v>599</v>
      </c>
      <c r="C10" s="676">
        <v>40.603999999999999</v>
      </c>
      <c r="D10" s="677">
        <v>0.27778000000000003</v>
      </c>
      <c r="E10" s="669">
        <f t="shared" si="0"/>
        <v>11.278979120000001</v>
      </c>
    </row>
    <row r="11" spans="1:5">
      <c r="A11" s="653" t="s">
        <v>620</v>
      </c>
      <c r="B11" s="645" t="s">
        <v>597</v>
      </c>
      <c r="C11" s="676">
        <v>2.3511000000000001E-2</v>
      </c>
      <c r="D11" s="677">
        <v>0.27778000000000003</v>
      </c>
      <c r="E11" s="669">
        <f t="shared" si="0"/>
        <v>6.5308855800000004E-3</v>
      </c>
    </row>
    <row r="12" spans="1:5">
      <c r="A12" s="653" t="s">
        <v>620</v>
      </c>
      <c r="B12" s="645" t="s">
        <v>598</v>
      </c>
      <c r="C12" s="676">
        <v>4.6100000000000002E-2</v>
      </c>
      <c r="D12" s="677">
        <v>0.27778000000000003</v>
      </c>
      <c r="E12" s="669">
        <f t="shared" si="0"/>
        <v>1.2805658000000001E-2</v>
      </c>
    </row>
    <row r="13" spans="1:5">
      <c r="A13" s="653" t="s">
        <v>620</v>
      </c>
      <c r="B13" s="645" t="s">
        <v>599</v>
      </c>
      <c r="C13" s="676">
        <v>46.1</v>
      </c>
      <c r="D13" s="677">
        <v>0.27778000000000003</v>
      </c>
      <c r="E13" s="669">
        <f t="shared" si="0"/>
        <v>12.805658000000001</v>
      </c>
    </row>
    <row r="14" spans="1:5">
      <c r="A14" s="653" t="s">
        <v>621</v>
      </c>
      <c r="B14" s="645" t="s">
        <v>597</v>
      </c>
      <c r="C14" s="676">
        <v>2.6525139999999999E-2</v>
      </c>
      <c r="D14" s="677">
        <v>0.27778000000000003</v>
      </c>
      <c r="E14" s="669">
        <f t="shared" si="0"/>
        <v>7.3681533892000009E-3</v>
      </c>
    </row>
    <row r="15" spans="1:5">
      <c r="A15" s="653" t="s">
        <v>621</v>
      </c>
      <c r="B15" s="645" t="s">
        <v>598</v>
      </c>
      <c r="C15" s="676">
        <v>4.5733000000000003E-2</v>
      </c>
      <c r="D15" s="677">
        <v>0.27778000000000003</v>
      </c>
      <c r="E15" s="669">
        <f t="shared" si="0"/>
        <v>1.2703712740000001E-2</v>
      </c>
    </row>
    <row r="16" spans="1:5">
      <c r="A16" s="653" t="s">
        <v>621</v>
      </c>
      <c r="B16" s="645" t="s">
        <v>599</v>
      </c>
      <c r="C16" s="676">
        <v>45.732999999999997</v>
      </c>
      <c r="D16" s="677">
        <v>0.27778000000000003</v>
      </c>
      <c r="E16" s="669">
        <f t="shared" si="0"/>
        <v>12.70371274</v>
      </c>
    </row>
    <row r="17" spans="1:10">
      <c r="A17" s="653" t="s">
        <v>604</v>
      </c>
      <c r="B17" s="645" t="s">
        <v>601</v>
      </c>
      <c r="C17" s="676">
        <v>3.2923000000000001E-2</v>
      </c>
      <c r="D17" s="677">
        <f>0.27778</f>
        <v>0.27778000000000003</v>
      </c>
      <c r="E17" s="669">
        <f t="shared" si="0"/>
        <v>9.1453509400000015E-3</v>
      </c>
    </row>
    <row r="18" spans="1:10">
      <c r="A18" s="653" t="s">
        <v>605</v>
      </c>
      <c r="B18" s="645" t="s">
        <v>601</v>
      </c>
      <c r="C18" s="676">
        <v>3.8852400000000002E-2</v>
      </c>
      <c r="D18" s="677">
        <f>0.27778</f>
        <v>0.27778000000000003</v>
      </c>
      <c r="E18" s="669">
        <f t="shared" si="0"/>
        <v>1.0792419672000002E-2</v>
      </c>
    </row>
    <row r="19" spans="1:10">
      <c r="A19" s="653" t="s">
        <v>608</v>
      </c>
      <c r="B19" s="645" t="s">
        <v>597</v>
      </c>
      <c r="C19" s="676">
        <v>2.4812460000000001E-2</v>
      </c>
      <c r="D19" s="677">
        <v>0.27778000000000003</v>
      </c>
      <c r="E19" s="669">
        <f t="shared" si="0"/>
        <v>6.8924051388000009E-3</v>
      </c>
    </row>
    <row r="20" spans="1:10">
      <c r="A20" s="653" t="s">
        <v>608</v>
      </c>
      <c r="B20" s="645" t="s">
        <v>598</v>
      </c>
      <c r="C20" s="676">
        <v>4.5948999999999997E-2</v>
      </c>
      <c r="D20" s="677">
        <v>0.27778000000000003</v>
      </c>
      <c r="E20" s="669">
        <f t="shared" si="0"/>
        <v>1.276371322E-2</v>
      </c>
    </row>
    <row r="21" spans="1:10">
      <c r="A21" s="653" t="s">
        <v>608</v>
      </c>
      <c r="B21" s="645" t="s">
        <v>599</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603</v>
      </c>
      <c r="B24" s="647"/>
      <c r="C24" s="647"/>
      <c r="D24" s="647"/>
      <c r="E24" s="648"/>
    </row>
    <row r="25" spans="1:10">
      <c r="A25" s="673" t="s">
        <v>396</v>
      </c>
      <c r="B25" s="651" t="s">
        <v>750</v>
      </c>
      <c r="C25" s="651"/>
      <c r="D25" s="651"/>
      <c r="E25" s="652"/>
    </row>
    <row r="26" spans="1:10">
      <c r="A26" s="44"/>
      <c r="B26" s="43"/>
      <c r="C26" s="43"/>
      <c r="D26" s="43"/>
      <c r="E26" s="96"/>
    </row>
    <row r="27" spans="1:10" s="333" customFormat="1">
      <c r="A27" s="650" t="s">
        <v>606</v>
      </c>
      <c r="B27" s="658" t="s">
        <v>595</v>
      </c>
      <c r="C27" s="666"/>
      <c r="D27" s="665"/>
      <c r="E27" s="681" t="s">
        <v>610</v>
      </c>
    </row>
    <row r="28" spans="1:10">
      <c r="A28" s="653" t="s">
        <v>202</v>
      </c>
      <c r="B28" s="645" t="s">
        <v>597</v>
      </c>
      <c r="C28" s="667"/>
      <c r="D28" s="668"/>
      <c r="E28" s="675">
        <f>E29*0.853</f>
        <v>1.0116343055555555E-2</v>
      </c>
      <c r="G28" s="789"/>
      <c r="H28" s="884"/>
      <c r="I28" s="789"/>
      <c r="J28" s="789"/>
    </row>
    <row r="29" spans="1:10">
      <c r="A29" s="653" t="s">
        <v>202</v>
      </c>
      <c r="B29" s="645" t="s">
        <v>598</v>
      </c>
      <c r="C29" s="667"/>
      <c r="D29" s="668"/>
      <c r="E29" s="675">
        <f>0.042695/3.6</f>
        <v>1.1859722222222221E-2</v>
      </c>
      <c r="G29" s="882"/>
      <c r="H29" s="884"/>
      <c r="I29" s="789"/>
      <c r="J29" s="789"/>
    </row>
    <row r="30" spans="1:10">
      <c r="A30" s="653" t="s">
        <v>120</v>
      </c>
      <c r="B30" s="645" t="s">
        <v>597</v>
      </c>
      <c r="C30" s="667"/>
      <c r="D30" s="668"/>
      <c r="E30" s="675">
        <f>E31*0.755</f>
        <v>9.1803805555555566E-3</v>
      </c>
      <c r="G30" s="789"/>
      <c r="H30" s="884"/>
      <c r="I30" s="789"/>
      <c r="J30" s="789"/>
    </row>
    <row r="31" spans="1:10">
      <c r="A31" s="653" t="s">
        <v>120</v>
      </c>
      <c r="B31" s="645" t="s">
        <v>598</v>
      </c>
      <c r="C31" s="667"/>
      <c r="D31" s="668"/>
      <c r="E31" s="675">
        <f>0.043774/3.6</f>
        <v>1.2159444444444445E-2</v>
      </c>
      <c r="G31" s="789"/>
      <c r="H31" s="789"/>
      <c r="I31" s="789"/>
      <c r="J31" s="789"/>
    </row>
    <row r="32" spans="1:10">
      <c r="A32" s="653" t="s">
        <v>608</v>
      </c>
      <c r="B32" s="645" t="s">
        <v>597</v>
      </c>
      <c r="C32" s="667"/>
      <c r="D32" s="668"/>
      <c r="E32" s="675">
        <f>E33*0.55</f>
        <v>7.1139444444444453E-3</v>
      </c>
      <c r="G32" s="789"/>
      <c r="H32" s="884"/>
    </row>
    <row r="33" spans="1:8">
      <c r="A33" s="653" t="s">
        <v>608</v>
      </c>
      <c r="B33" s="645" t="s">
        <v>598</v>
      </c>
      <c r="C33" s="667"/>
      <c r="D33" s="668"/>
      <c r="E33" s="675">
        <f>0.046564/3.6</f>
        <v>1.2934444444444445E-2</v>
      </c>
      <c r="G33" s="789"/>
      <c r="H33" s="884"/>
    </row>
    <row r="34" spans="1:8">
      <c r="A34" s="653" t="s">
        <v>609</v>
      </c>
      <c r="B34" s="645" t="s">
        <v>597</v>
      </c>
      <c r="C34" s="667"/>
      <c r="D34" s="668"/>
      <c r="E34" s="675">
        <f>E35*0.0007</f>
        <v>9.3333333333333326E-6</v>
      </c>
      <c r="G34" s="789"/>
      <c r="H34" s="883"/>
    </row>
    <row r="35" spans="1:8">
      <c r="A35" s="653" t="s">
        <v>609</v>
      </c>
      <c r="B35" s="645" t="s">
        <v>598</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622</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712</v>
      </c>
      <c r="C21" s="131" t="s">
        <v>590</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71022</v>
      </c>
      <c r="B1" s="1266"/>
      <c r="C1" s="1266"/>
      <c r="D1" s="1266"/>
      <c r="E1" s="1266"/>
      <c r="F1" s="1267"/>
    </row>
    <row r="3" spans="1:6" ht="19.5">
      <c r="A3" s="1268" t="s">
        <v>0</v>
      </c>
    </row>
    <row r="4" spans="1:6" ht="22.5">
      <c r="A4" s="1269" t="s">
        <v>560</v>
      </c>
    </row>
    <row r="5" spans="1:6" ht="22.5">
      <c r="A5" s="1269" t="s">
        <v>561</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33234</v>
      </c>
      <c r="C9" s="336">
        <v>36094</v>
      </c>
      <c r="D9" s="336"/>
      <c r="E9" s="336"/>
      <c r="F9" s="336"/>
    </row>
    <row r="10" spans="1:6">
      <c r="A10" s="337"/>
    </row>
    <row r="11" spans="1:6" ht="15.75" thickBot="1">
      <c r="A11" s="337"/>
    </row>
    <row r="12" spans="1:6" ht="20.25" thickBot="1">
      <c r="A12" s="1270" t="s">
        <v>3</v>
      </c>
      <c r="B12" s="334" t="s">
        <v>396</v>
      </c>
      <c r="C12" s="334" t="s">
        <v>637</v>
      </c>
      <c r="D12" s="334"/>
      <c r="E12" s="334"/>
      <c r="F12" s="338"/>
    </row>
    <row r="13" spans="1:6" ht="16.5" thickTop="1" thickBot="1">
      <c r="A13" s="1274" t="s">
        <v>4</v>
      </c>
      <c r="B13" s="1275" t="s">
        <v>5</v>
      </c>
      <c r="C13" s="1275"/>
      <c r="D13" s="1275"/>
      <c r="E13" s="1275"/>
      <c r="F13" s="1276"/>
    </row>
    <row r="14" spans="1:6">
      <c r="A14" s="1277" t="s">
        <v>795</v>
      </c>
      <c r="B14" s="333">
        <v>3041</v>
      </c>
    </row>
    <row r="15" spans="1:6">
      <c r="A15" s="1277" t="s">
        <v>184</v>
      </c>
      <c r="B15" s="333">
        <v>3769</v>
      </c>
    </row>
    <row r="16" spans="1:6">
      <c r="A16" s="1277" t="s">
        <v>6</v>
      </c>
      <c r="B16" s="333">
        <v>549</v>
      </c>
    </row>
    <row r="17" spans="1:6">
      <c r="A17" s="1277" t="s">
        <v>7</v>
      </c>
      <c r="B17" s="333">
        <v>318</v>
      </c>
    </row>
    <row r="18" spans="1:6">
      <c r="A18" s="1277" t="s">
        <v>8</v>
      </c>
      <c r="B18" s="333">
        <v>510</v>
      </c>
    </row>
    <row r="19" spans="1:6">
      <c r="A19" s="1277" t="s">
        <v>9</v>
      </c>
      <c r="B19" s="333">
        <v>444</v>
      </c>
    </row>
    <row r="20" spans="1:6">
      <c r="A20" s="1277" t="s">
        <v>10</v>
      </c>
      <c r="B20" s="333">
        <v>532</v>
      </c>
    </row>
    <row r="21" spans="1:6">
      <c r="A21" s="1277" t="s">
        <v>11</v>
      </c>
      <c r="B21" s="333">
        <v>1904</v>
      </c>
    </row>
    <row r="22" spans="1:6">
      <c r="A22" s="1277" t="s">
        <v>12</v>
      </c>
      <c r="B22" s="333">
        <v>3496</v>
      </c>
    </row>
    <row r="23" spans="1:6">
      <c r="A23" s="1277" t="s">
        <v>13</v>
      </c>
      <c r="B23" s="333">
        <v>33</v>
      </c>
    </row>
    <row r="24" spans="1:6">
      <c r="A24" s="1277" t="s">
        <v>14</v>
      </c>
      <c r="B24" s="333">
        <v>24</v>
      </c>
    </row>
    <row r="25" spans="1:6">
      <c r="A25" s="1277" t="s">
        <v>15</v>
      </c>
      <c r="B25" s="333">
        <v>425</v>
      </c>
    </row>
    <row r="26" spans="1:6">
      <c r="A26" s="1277" t="s">
        <v>16</v>
      </c>
      <c r="B26" s="333">
        <v>701</v>
      </c>
    </row>
    <row r="27" spans="1:6">
      <c r="A27" s="1277" t="s">
        <v>17</v>
      </c>
      <c r="B27" s="333">
        <v>266</v>
      </c>
    </row>
    <row r="28" spans="1:6">
      <c r="A28" s="1277" t="s">
        <v>18</v>
      </c>
      <c r="B28" s="333">
        <v>47010</v>
      </c>
    </row>
    <row r="29" spans="1:6">
      <c r="A29" s="1277" t="s">
        <v>957</v>
      </c>
      <c r="B29" s="333">
        <v>381</v>
      </c>
    </row>
    <row r="30" spans="1:6">
      <c r="A30" s="1273" t="s">
        <v>958</v>
      </c>
      <c r="B30" s="1273">
        <v>141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1666879</v>
      </c>
      <c r="E36" s="333">
        <v>34</v>
      </c>
      <c r="F36" s="333">
        <v>8640615</v>
      </c>
    </row>
    <row r="37" spans="1:6">
      <c r="A37" s="1277" t="s">
        <v>25</v>
      </c>
      <c r="B37" s="1277" t="s">
        <v>28</v>
      </c>
      <c r="C37" s="333">
        <v>0</v>
      </c>
      <c r="D37" s="333">
        <v>0</v>
      </c>
      <c r="E37" s="333">
        <v>0</v>
      </c>
      <c r="F37" s="333">
        <v>0</v>
      </c>
    </row>
    <row r="38" spans="1:6">
      <c r="A38" s="1277" t="s">
        <v>25</v>
      </c>
      <c r="B38" s="1277" t="s">
        <v>29</v>
      </c>
      <c r="C38" s="333">
        <v>0</v>
      </c>
      <c r="D38" s="333">
        <v>0</v>
      </c>
      <c r="E38" s="333">
        <v>1</v>
      </c>
      <c r="F38" s="333">
        <v>560664</v>
      </c>
    </row>
    <row r="39" spans="1:6">
      <c r="A39" s="1277" t="s">
        <v>30</v>
      </c>
      <c r="B39" s="1277" t="s">
        <v>31</v>
      </c>
      <c r="C39" s="333">
        <v>21204</v>
      </c>
      <c r="D39" s="333">
        <v>352637301</v>
      </c>
      <c r="E39" s="333">
        <v>34382</v>
      </c>
      <c r="F39" s="333">
        <v>135154645</v>
      </c>
    </row>
    <row r="40" spans="1:6">
      <c r="A40" s="1277" t="s">
        <v>30</v>
      </c>
      <c r="B40" s="1277" t="s">
        <v>29</v>
      </c>
      <c r="C40" s="333">
        <v>0</v>
      </c>
      <c r="D40" s="333">
        <v>0</v>
      </c>
      <c r="E40" s="333">
        <v>0</v>
      </c>
      <c r="F40" s="333">
        <v>0</v>
      </c>
    </row>
    <row r="41" spans="1:6">
      <c r="A41" s="1277" t="s">
        <v>32</v>
      </c>
      <c r="B41" s="1277" t="s">
        <v>33</v>
      </c>
      <c r="C41" s="333">
        <v>222</v>
      </c>
      <c r="D41" s="333">
        <v>26051958</v>
      </c>
      <c r="E41" s="333">
        <v>492</v>
      </c>
      <c r="F41" s="333">
        <v>30137705</v>
      </c>
    </row>
    <row r="42" spans="1:6">
      <c r="A42" s="1277" t="s">
        <v>32</v>
      </c>
      <c r="B42" s="1277" t="s">
        <v>34</v>
      </c>
      <c r="C42" s="333">
        <v>0</v>
      </c>
      <c r="D42" s="333">
        <v>0</v>
      </c>
      <c r="E42" s="333">
        <v>5</v>
      </c>
      <c r="F42" s="333">
        <v>69285</v>
      </c>
    </row>
    <row r="43" spans="1:6">
      <c r="A43" s="1277" t="s">
        <v>32</v>
      </c>
      <c r="B43" s="1277" t="s">
        <v>35</v>
      </c>
      <c r="C43" s="333">
        <v>0</v>
      </c>
      <c r="D43" s="333">
        <v>0</v>
      </c>
      <c r="E43" s="333">
        <v>0</v>
      </c>
      <c r="F43" s="333">
        <v>0</v>
      </c>
    </row>
    <row r="44" spans="1:6">
      <c r="A44" s="1277" t="s">
        <v>32</v>
      </c>
      <c r="B44" s="1277" t="s">
        <v>36</v>
      </c>
      <c r="C44" s="333">
        <v>24</v>
      </c>
      <c r="D44" s="333">
        <v>2393633</v>
      </c>
      <c r="E44" s="333">
        <v>81</v>
      </c>
      <c r="F44" s="333">
        <v>4280419</v>
      </c>
    </row>
    <row r="45" spans="1:6">
      <c r="A45" s="1277" t="s">
        <v>32</v>
      </c>
      <c r="B45" s="1277" t="s">
        <v>37</v>
      </c>
      <c r="C45" s="333">
        <v>8</v>
      </c>
      <c r="D45" s="333">
        <v>38284184</v>
      </c>
      <c r="E45" s="333">
        <v>19</v>
      </c>
      <c r="F45" s="333">
        <v>11133486</v>
      </c>
    </row>
    <row r="46" spans="1:6">
      <c r="A46" s="1277" t="s">
        <v>32</v>
      </c>
      <c r="B46" s="1277" t="s">
        <v>38</v>
      </c>
      <c r="C46" s="333">
        <v>0</v>
      </c>
      <c r="D46" s="333">
        <v>0</v>
      </c>
      <c r="E46" s="333">
        <v>0</v>
      </c>
      <c r="F46" s="333">
        <v>0</v>
      </c>
    </row>
    <row r="47" spans="1:6">
      <c r="A47" s="1277" t="s">
        <v>32</v>
      </c>
      <c r="B47" s="1277" t="s">
        <v>39</v>
      </c>
      <c r="C47" s="333">
        <v>13</v>
      </c>
      <c r="D47" s="333">
        <v>3871743</v>
      </c>
      <c r="E47" s="333">
        <v>22</v>
      </c>
      <c r="F47" s="333">
        <v>4522244</v>
      </c>
    </row>
    <row r="48" spans="1:6">
      <c r="A48" s="1277" t="s">
        <v>32</v>
      </c>
      <c r="B48" s="1277" t="s">
        <v>29</v>
      </c>
      <c r="C48" s="333">
        <v>3</v>
      </c>
      <c r="D48" s="333">
        <v>2695801</v>
      </c>
      <c r="E48" s="333">
        <v>2</v>
      </c>
      <c r="F48" s="333">
        <v>665892</v>
      </c>
    </row>
    <row r="49" spans="1:6">
      <c r="A49" s="1277" t="s">
        <v>32</v>
      </c>
      <c r="B49" s="1277" t="s">
        <v>40</v>
      </c>
      <c r="C49" s="333">
        <v>8</v>
      </c>
      <c r="D49" s="333">
        <v>250437</v>
      </c>
      <c r="E49" s="333">
        <v>17</v>
      </c>
      <c r="F49" s="333">
        <v>402958</v>
      </c>
    </row>
    <row r="50" spans="1:6">
      <c r="A50" s="1277" t="s">
        <v>32</v>
      </c>
      <c r="B50" s="1277" t="s">
        <v>41</v>
      </c>
      <c r="C50" s="333">
        <v>34</v>
      </c>
      <c r="D50" s="333">
        <v>11410595</v>
      </c>
      <c r="E50" s="333">
        <v>68</v>
      </c>
      <c r="F50" s="333">
        <v>11177247</v>
      </c>
    </row>
    <row r="51" spans="1:6">
      <c r="A51" s="1277" t="s">
        <v>42</v>
      </c>
      <c r="B51" s="1277" t="s">
        <v>43</v>
      </c>
      <c r="C51" s="333">
        <v>28</v>
      </c>
      <c r="D51" s="333">
        <v>2795777</v>
      </c>
      <c r="E51" s="333">
        <v>99</v>
      </c>
      <c r="F51" s="333">
        <v>3724169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349</v>
      </c>
      <c r="F54" s="333">
        <v>4976559</v>
      </c>
    </row>
    <row r="55" spans="1:6">
      <c r="A55" s="1277" t="s">
        <v>46</v>
      </c>
      <c r="B55" s="1277" t="s">
        <v>29</v>
      </c>
      <c r="C55" s="333">
        <v>0</v>
      </c>
      <c r="D55" s="333">
        <v>0</v>
      </c>
      <c r="E55" s="333">
        <v>0</v>
      </c>
      <c r="F55" s="333">
        <v>0</v>
      </c>
    </row>
    <row r="56" spans="1:6">
      <c r="A56" s="1277" t="s">
        <v>48</v>
      </c>
      <c r="B56" s="1277" t="s">
        <v>29</v>
      </c>
      <c r="C56" s="333">
        <v>396</v>
      </c>
      <c r="D56" s="333">
        <v>25952000</v>
      </c>
      <c r="E56" s="333">
        <v>1218</v>
      </c>
      <c r="F56" s="333">
        <v>17333755</v>
      </c>
    </row>
    <row r="57" spans="1:6">
      <c r="A57" s="1277" t="s">
        <v>49</v>
      </c>
      <c r="B57" s="1277" t="s">
        <v>50</v>
      </c>
      <c r="C57" s="333">
        <v>205</v>
      </c>
      <c r="D57" s="333">
        <v>16144460</v>
      </c>
      <c r="E57" s="333">
        <v>480</v>
      </c>
      <c r="F57" s="333">
        <v>14474435</v>
      </c>
    </row>
    <row r="58" spans="1:6">
      <c r="A58" s="1277" t="s">
        <v>49</v>
      </c>
      <c r="B58" s="1277" t="s">
        <v>51</v>
      </c>
      <c r="C58" s="333">
        <v>140</v>
      </c>
      <c r="D58" s="333">
        <v>23475366</v>
      </c>
      <c r="E58" s="333">
        <v>233</v>
      </c>
      <c r="F58" s="333">
        <v>18490090</v>
      </c>
    </row>
    <row r="59" spans="1:6">
      <c r="A59" s="1277" t="s">
        <v>49</v>
      </c>
      <c r="B59" s="1277" t="s">
        <v>52</v>
      </c>
      <c r="C59" s="333">
        <v>610</v>
      </c>
      <c r="D59" s="333">
        <v>38362400</v>
      </c>
      <c r="E59" s="333">
        <v>1217</v>
      </c>
      <c r="F59" s="333">
        <v>62159537</v>
      </c>
    </row>
    <row r="60" spans="1:6">
      <c r="A60" s="1277" t="s">
        <v>49</v>
      </c>
      <c r="B60" s="1277" t="s">
        <v>53</v>
      </c>
      <c r="C60" s="333">
        <v>254</v>
      </c>
      <c r="D60" s="333">
        <v>18986332</v>
      </c>
      <c r="E60" s="333">
        <v>364</v>
      </c>
      <c r="F60" s="333">
        <v>17481537</v>
      </c>
    </row>
    <row r="61" spans="1:6">
      <c r="A61" s="1277" t="s">
        <v>49</v>
      </c>
      <c r="B61" s="1277" t="s">
        <v>54</v>
      </c>
      <c r="C61" s="333">
        <v>861</v>
      </c>
      <c r="D61" s="333">
        <v>101626955</v>
      </c>
      <c r="E61" s="333">
        <v>2034</v>
      </c>
      <c r="F61" s="333">
        <v>66666110</v>
      </c>
    </row>
    <row r="62" spans="1:6">
      <c r="A62" s="1277" t="s">
        <v>49</v>
      </c>
      <c r="B62" s="1277" t="s">
        <v>55</v>
      </c>
      <c r="C62" s="333">
        <v>45</v>
      </c>
      <c r="D62" s="333">
        <v>10192764</v>
      </c>
      <c r="E62" s="333">
        <v>74</v>
      </c>
      <c r="F62" s="333">
        <v>5316104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10133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20</v>
      </c>
      <c r="D68" s="333">
        <v>1977903</v>
      </c>
      <c r="E68" s="333">
        <v>38</v>
      </c>
      <c r="F68" s="333">
        <v>1149186</v>
      </c>
    </row>
    <row r="69" spans="1:6" ht="15.75" thickBot="1">
      <c r="A69" s="337"/>
    </row>
    <row r="70" spans="1:6" ht="19.5">
      <c r="A70" s="1270" t="s">
        <v>61</v>
      </c>
      <c r="B70" s="334"/>
      <c r="C70" s="334" t="s">
        <v>960</v>
      </c>
      <c r="D70" s="334" t="s">
        <v>818</v>
      </c>
      <c r="E70" s="334"/>
      <c r="F70" s="338"/>
    </row>
    <row r="71" spans="1:6" ht="20.25" thickBot="1">
      <c r="A71" s="1285"/>
      <c r="B71" s="340"/>
      <c r="C71" s="340"/>
      <c r="D71" s="341" t="s">
        <v>450</v>
      </c>
      <c r="E71" s="340"/>
      <c r="F71" s="342"/>
    </row>
    <row r="72" spans="1:6" ht="16.5" thickTop="1" thickBot="1">
      <c r="A72" s="1274" t="s">
        <v>62</v>
      </c>
      <c r="B72" s="1275" t="s">
        <v>63</v>
      </c>
      <c r="C72" s="1286" t="s">
        <v>773</v>
      </c>
      <c r="D72" s="1287">
        <v>2011</v>
      </c>
      <c r="E72" s="1287">
        <v>2020</v>
      </c>
      <c r="F72" s="1276">
        <v>2014</v>
      </c>
    </row>
    <row r="73" spans="1:6">
      <c r="A73" s="1277" t="s">
        <v>64</v>
      </c>
      <c r="B73" s="1277" t="s">
        <v>774</v>
      </c>
      <c r="C73" s="1288" t="s">
        <v>775</v>
      </c>
      <c r="D73" s="333">
        <v>344376010</v>
      </c>
      <c r="E73" s="333">
        <v>465643721.14458215</v>
      </c>
      <c r="F73" s="333">
        <v>359573885</v>
      </c>
    </row>
    <row r="74" spans="1:6">
      <c r="A74" s="1277" t="s">
        <v>64</v>
      </c>
      <c r="B74" s="1277" t="s">
        <v>776</v>
      </c>
      <c r="C74" s="1288" t="s">
        <v>777</v>
      </c>
      <c r="D74" s="333">
        <v>23557851.330656715</v>
      </c>
      <c r="E74" s="333">
        <v>31153518.472615205</v>
      </c>
      <c r="F74" s="333">
        <v>25692954.414576758</v>
      </c>
    </row>
    <row r="75" spans="1:6">
      <c r="A75" s="1277" t="s">
        <v>65</v>
      </c>
      <c r="B75" s="1277" t="s">
        <v>774</v>
      </c>
      <c r="C75" s="1288" t="s">
        <v>778</v>
      </c>
      <c r="D75" s="333">
        <v>93950179</v>
      </c>
      <c r="E75" s="333">
        <v>132782186.18107045</v>
      </c>
      <c r="F75" s="333">
        <v>98575302</v>
      </c>
    </row>
    <row r="76" spans="1:6">
      <c r="A76" s="1277" t="s">
        <v>65</v>
      </c>
      <c r="B76" s="1277" t="s">
        <v>776</v>
      </c>
      <c r="C76" s="1288" t="s">
        <v>779</v>
      </c>
      <c r="D76" s="333">
        <v>238343.90000000002</v>
      </c>
      <c r="E76" s="333">
        <v>781028.01626734482</v>
      </c>
      <c r="F76" s="333">
        <v>259525</v>
      </c>
    </row>
    <row r="77" spans="1:6">
      <c r="A77" s="1277" t="s">
        <v>66</v>
      </c>
      <c r="B77" s="1277" t="s">
        <v>774</v>
      </c>
      <c r="C77" s="1288" t="s">
        <v>780</v>
      </c>
      <c r="D77" s="333">
        <v>208571607</v>
      </c>
      <c r="E77" s="333">
        <v>229387139.12407723</v>
      </c>
      <c r="F77" s="333">
        <v>214212155</v>
      </c>
    </row>
    <row r="78" spans="1:6">
      <c r="A78" s="1273" t="s">
        <v>66</v>
      </c>
      <c r="B78" s="1273" t="s">
        <v>776</v>
      </c>
      <c r="C78" s="1273" t="s">
        <v>781</v>
      </c>
      <c r="D78" s="1273">
        <v>23693104</v>
      </c>
      <c r="E78" s="1273">
        <v>24059922.493268732</v>
      </c>
      <c r="F78" s="336">
        <v>22720485</v>
      </c>
    </row>
    <row r="79" spans="1:6">
      <c r="A79" s="1289"/>
      <c r="B79" s="1289"/>
    </row>
    <row r="80" spans="1:6" ht="15.75" thickBot="1">
      <c r="A80" s="1289"/>
      <c r="B80" s="1289"/>
    </row>
    <row r="81" spans="1:6" ht="20.25" thickBot="1">
      <c r="A81" s="1270" t="s">
        <v>334</v>
      </c>
      <c r="B81" s="1290" t="s">
        <v>396</v>
      </c>
      <c r="C81" s="334" t="s">
        <v>829</v>
      </c>
      <c r="D81" s="334"/>
      <c r="E81" s="334"/>
      <c r="F81" s="338"/>
    </row>
    <row r="82" spans="1:6" ht="16.5" thickTop="1" thickBot="1">
      <c r="A82" s="1274" t="s">
        <v>335</v>
      </c>
      <c r="B82" s="1287">
        <v>2011</v>
      </c>
      <c r="C82" s="1287">
        <v>2020</v>
      </c>
      <c r="D82" s="1275">
        <v>2014</v>
      </c>
      <c r="E82" s="1275"/>
      <c r="F82" s="1276"/>
    </row>
    <row r="83" spans="1:6">
      <c r="A83" s="1277" t="s">
        <v>336</v>
      </c>
      <c r="B83" s="333">
        <v>5206173.3386865696</v>
      </c>
      <c r="C83" s="333">
        <v>4760445.0188903017</v>
      </c>
      <c r="D83" s="333">
        <v>4843003.1708464846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562</v>
      </c>
      <c r="B89" s="333">
        <v>0</v>
      </c>
    </row>
    <row r="90" spans="1:6">
      <c r="A90" s="1277" t="s">
        <v>563</v>
      </c>
      <c r="B90" s="884">
        <v>6607.4746365291803</v>
      </c>
    </row>
    <row r="91" spans="1:6">
      <c r="A91" s="1277" t="s">
        <v>68</v>
      </c>
      <c r="B91" s="333">
        <v>6166.4675041111359</v>
      </c>
    </row>
    <row r="92" spans="1:6">
      <c r="A92" s="1273" t="s">
        <v>69</v>
      </c>
      <c r="B92" s="336">
        <v>5149.279697286318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12607</v>
      </c>
    </row>
    <row r="98" spans="1:6">
      <c r="A98" s="1277" t="s">
        <v>72</v>
      </c>
      <c r="B98" s="333">
        <v>2</v>
      </c>
    </row>
    <row r="99" spans="1:6">
      <c r="A99" s="1277" t="s">
        <v>73</v>
      </c>
      <c r="B99" s="333">
        <v>137</v>
      </c>
    </row>
    <row r="100" spans="1:6">
      <c r="A100" s="1277" t="s">
        <v>74</v>
      </c>
      <c r="B100" s="333">
        <v>1808</v>
      </c>
    </row>
    <row r="101" spans="1:6">
      <c r="A101" s="1277" t="s">
        <v>75</v>
      </c>
      <c r="B101" s="333">
        <v>132</v>
      </c>
    </row>
    <row r="102" spans="1:6">
      <c r="A102" s="1277" t="s">
        <v>76</v>
      </c>
      <c r="B102" s="333">
        <v>416</v>
      </c>
    </row>
    <row r="103" spans="1:6">
      <c r="A103" s="1277" t="s">
        <v>77</v>
      </c>
      <c r="B103" s="333">
        <v>298</v>
      </c>
    </row>
    <row r="104" spans="1:6">
      <c r="A104" s="1277" t="s">
        <v>78</v>
      </c>
      <c r="B104" s="333">
        <v>12509</v>
      </c>
    </row>
    <row r="105" spans="1:6">
      <c r="A105" s="1273" t="s">
        <v>79</v>
      </c>
      <c r="B105" s="1273">
        <v>11</v>
      </c>
      <c r="C105" s="336"/>
      <c r="D105" s="336"/>
      <c r="E105" s="336"/>
      <c r="F105" s="336"/>
    </row>
    <row r="106" spans="1:6">
      <c r="A106" s="337"/>
    </row>
    <row r="107" spans="1:6" ht="15.75" thickBot="1">
      <c r="A107" s="337"/>
    </row>
    <row r="108" spans="1:6" ht="20.25" thickBot="1">
      <c r="A108" s="1270" t="s">
        <v>670</v>
      </c>
      <c r="B108" s="334" t="s">
        <v>396</v>
      </c>
      <c r="C108" s="334" t="s">
        <v>411</v>
      </c>
      <c r="D108" s="334"/>
      <c r="E108" s="334"/>
      <c r="F108" s="338"/>
    </row>
    <row r="109" spans="1:6" ht="16.5" thickTop="1" thickBot="1">
      <c r="A109" s="1274" t="s">
        <v>4</v>
      </c>
      <c r="B109" s="1275" t="s">
        <v>5</v>
      </c>
      <c r="C109" s="1275"/>
      <c r="D109" s="1275"/>
      <c r="E109" s="1275"/>
      <c r="F109" s="1276"/>
    </row>
    <row r="110" spans="1:6">
      <c r="A110" s="387" t="s">
        <v>671</v>
      </c>
      <c r="B110" s="333">
        <v>0</v>
      </c>
    </row>
    <row r="111" spans="1:6">
      <c r="A111" s="1273" t="s">
        <v>672</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23</v>
      </c>
      <c r="C123" s="333">
        <v>25</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178</v>
      </c>
    </row>
    <row r="130" spans="1:6">
      <c r="A130" s="1277" t="s">
        <v>295</v>
      </c>
      <c r="B130" s="333">
        <v>1</v>
      </c>
    </row>
    <row r="131" spans="1:6">
      <c r="A131" s="1277" t="s">
        <v>296</v>
      </c>
      <c r="B131" s="333">
        <v>8</v>
      </c>
    </row>
    <row r="132" spans="1:6">
      <c r="A132" s="1273" t="s">
        <v>297</v>
      </c>
      <c r="B132" s="336">
        <v>31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793</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793</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713</v>
      </c>
      <c r="B44" s="517"/>
    </row>
    <row r="45" spans="1:11">
      <c r="A45" s="44"/>
      <c r="B45" s="517"/>
    </row>
    <row r="46" spans="1:11" ht="18">
      <c r="A46" s="137" t="s">
        <v>190</v>
      </c>
      <c r="B46" s="518" t="s">
        <v>588</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640</v>
      </c>
      <c r="B1" s="531"/>
      <c r="C1" s="532"/>
    </row>
    <row r="2" spans="1:3" s="333" customFormat="1">
      <c r="A2" s="376"/>
      <c r="B2" s="497"/>
      <c r="C2" s="534"/>
    </row>
    <row r="3" spans="1:3" s="333" customFormat="1">
      <c r="A3" s="374"/>
      <c r="B3" s="535">
        <v>2011</v>
      </c>
      <c r="C3" s="377" t="s">
        <v>182</v>
      </c>
    </row>
    <row r="4" spans="1:3">
      <c r="A4" s="120" t="s">
        <v>301</v>
      </c>
      <c r="B4" s="536">
        <v>6050.9562999999998</v>
      </c>
      <c r="C4" s="139" t="s">
        <v>708</v>
      </c>
    </row>
    <row r="5" spans="1:3" ht="15.75" thickBot="1">
      <c r="A5" s="115" t="s">
        <v>639</v>
      </c>
      <c r="B5" s="537">
        <v>672548</v>
      </c>
      <c r="C5" s="140" t="s">
        <v>637</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711</v>
      </c>
      <c r="C6" s="422" t="s">
        <v>358</v>
      </c>
    </row>
    <row r="7" spans="1:3" s="333" customFormat="1">
      <c r="A7" s="423" t="s">
        <v>710</v>
      </c>
      <c r="B7" s="424" t="s">
        <v>615</v>
      </c>
      <c r="C7" s="425" t="s">
        <v>614</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416680.20935443259</v>
      </c>
      <c r="C3" s="43" t="s">
        <v>170</v>
      </c>
      <c r="D3" s="43"/>
      <c r="E3" s="156"/>
      <c r="F3" s="43"/>
      <c r="G3" s="43"/>
      <c r="H3" s="43"/>
      <c r="I3" s="43"/>
      <c r="J3" s="43"/>
      <c r="K3" s="96"/>
    </row>
    <row r="4" spans="1:11">
      <c r="A4" s="364" t="s">
        <v>171</v>
      </c>
      <c r="B4" s="49">
        <f>IF(ISERROR('SEAP template'!B78),0,'SEAP template'!B78)</f>
        <v>19160.721837926634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850</v>
      </c>
      <c r="G6" s="43" t="s">
        <v>854</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262.57623529411774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0.21146764592673734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375.10890756302524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1578.4285714285716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773</v>
      </c>
      <c r="B1" s="15" t="s">
        <v>308</v>
      </c>
      <c r="C1" s="15" t="s">
        <v>312</v>
      </c>
      <c r="D1" s="15" t="s">
        <v>313</v>
      </c>
      <c r="E1" s="15" t="s">
        <v>314</v>
      </c>
      <c r="F1" s="15" t="s">
        <v>315</v>
      </c>
      <c r="H1" s="890" t="s">
        <v>798</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782</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782</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782</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782</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774</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774</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774</v>
      </c>
      <c r="C9" t="s">
        <v>64</v>
      </c>
      <c r="D9" t="s">
        <v>732</v>
      </c>
      <c r="E9" t="s">
        <v>732</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774</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774</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774</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774</v>
      </c>
      <c r="C13" t="s">
        <v>64</v>
      </c>
      <c r="D13" t="s">
        <v>784</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774</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774</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774</v>
      </c>
      <c r="C16" t="s">
        <v>65</v>
      </c>
      <c r="D16" t="s">
        <v>732</v>
      </c>
      <c r="E16" t="s">
        <v>732</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774</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774</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774</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774</v>
      </c>
      <c r="C20" t="s">
        <v>65</v>
      </c>
      <c r="D20" t="s">
        <v>784</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774</v>
      </c>
      <c r="C21" t="s">
        <v>783</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774</v>
      </c>
      <c r="C22" t="s">
        <v>783</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774</v>
      </c>
      <c r="C23" t="s">
        <v>783</v>
      </c>
      <c r="D23" t="s">
        <v>732</v>
      </c>
      <c r="E23" t="s">
        <v>732</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774</v>
      </c>
      <c r="C24" t="s">
        <v>783</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774</v>
      </c>
      <c r="C25" t="s">
        <v>783</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774</v>
      </c>
      <c r="C26" t="s">
        <v>783</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774</v>
      </c>
      <c r="C27" t="s">
        <v>783</v>
      </c>
      <c r="D27" t="s">
        <v>784</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776</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776</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776</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776</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776</v>
      </c>
      <c r="C32" t="s">
        <v>783</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776</v>
      </c>
      <c r="C33" t="s">
        <v>783</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4976.5590000000002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4976.5590000000002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0.21146764592673734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1052.3812165455181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135154.64499999999</v>
      </c>
      <c r="C5" s="17">
        <f>IF(ISERROR('Eigen informatie GS &amp; warmtenet'!B57),0,'Eigen informatie GS &amp; warmtenet'!B57)</f>
        <v>0</v>
      </c>
      <c r="D5" s="30">
        <f>(SUM(HH_hh_gas_kWh,HH_rest_gas_kWh)/1000)*0.902</f>
        <v>318078.84550200001</v>
      </c>
      <c r="E5" s="17">
        <f>B46*B57</f>
        <v>9771.9861959506325</v>
      </c>
      <c r="F5" s="17">
        <f>B51*B62</f>
        <v>108804.80853519609</v>
      </c>
      <c r="G5" s="18"/>
      <c r="H5" s="17"/>
      <c r="I5" s="17"/>
      <c r="J5" s="17">
        <f>B50*B61+C50*C61</f>
        <v>0</v>
      </c>
      <c r="K5" s="17"/>
      <c r="L5" s="17"/>
      <c r="M5" s="17"/>
      <c r="N5" s="17">
        <f>B48*B59+C48*C59</f>
        <v>27241.819420887481</v>
      </c>
      <c r="O5" s="17">
        <f>B69*B70*B71</f>
        <v>317.35666666666668</v>
      </c>
      <c r="P5" s="17">
        <f>B77*B78*B79/1000-B77*B78*B79/1000/B80</f>
        <v>1067.7333333333333</v>
      </c>
    </row>
    <row r="6" spans="1:16">
      <c r="A6" s="16" t="s">
        <v>634</v>
      </c>
      <c r="B6" s="779">
        <f>kWh_PV_kleiner_dan_10kW</f>
        <v>6166.4675041111359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141321.11250411114</v>
      </c>
      <c r="C8" s="21">
        <f>C5</f>
        <v>0</v>
      </c>
      <c r="D8" s="21">
        <f>D5</f>
        <v>318078.84550200001</v>
      </c>
      <c r="E8" s="21">
        <f>E5</f>
        <v>9771.9861959506325</v>
      </c>
      <c r="F8" s="21">
        <f>F5</f>
        <v>108804.80853519609</v>
      </c>
      <c r="G8" s="21"/>
      <c r="H8" s="21"/>
      <c r="I8" s="21"/>
      <c r="J8" s="21">
        <f>J5</f>
        <v>0</v>
      </c>
      <c r="K8" s="21"/>
      <c r="L8" s="21">
        <f>L5</f>
        <v>0</v>
      </c>
      <c r="M8" s="21">
        <f>M5</f>
        <v>0</v>
      </c>
      <c r="N8" s="21">
        <f>N5</f>
        <v>27241.819420887481</v>
      </c>
      <c r="O8" s="21">
        <f>O5</f>
        <v>317.35666666666668</v>
      </c>
      <c r="P8" s="21">
        <f>P5</f>
        <v>1067.7333333333333</v>
      </c>
    </row>
    <row r="9" spans="1:16">
      <c r="B9" s="19"/>
      <c r="C9" s="19"/>
      <c r="D9" s="260"/>
      <c r="E9" s="19"/>
      <c r="F9" s="19"/>
      <c r="G9" s="19"/>
      <c r="H9" s="19"/>
      <c r="I9" s="19"/>
      <c r="J9" s="19"/>
      <c r="K9" s="19"/>
      <c r="L9" s="19"/>
      <c r="M9" s="19"/>
      <c r="N9" s="19"/>
      <c r="O9" s="19"/>
      <c r="P9" s="19"/>
    </row>
    <row r="10" spans="1:16">
      <c r="A10" s="24" t="s">
        <v>214</v>
      </c>
      <c r="B10" s="25">
        <f ca="1">'EF ele_warmte'!B12</f>
        <v>0.21146764592673734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29884.842980991987</v>
      </c>
      <c r="C12" s="23">
        <f ca="1">C10*C8</f>
        <v>0</v>
      </c>
      <c r="D12" s="23">
        <f>D8*D10</f>
        <v>64251.926791404003</v>
      </c>
      <c r="E12" s="23">
        <f>E10*E8</f>
        <v>2218.2408664807936</v>
      </c>
      <c r="F12" s="23">
        <f>F10*F8</f>
        <v>29050.883878897359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12607</v>
      </c>
      <c r="C18" s="167" t="s">
        <v>111</v>
      </c>
      <c r="D18" s="229"/>
      <c r="E18" s="15"/>
    </row>
    <row r="19" spans="1:7">
      <c r="A19" s="172" t="s">
        <v>72</v>
      </c>
      <c r="B19" s="37">
        <f>aantalw2001_ander</f>
        <v>2</v>
      </c>
      <c r="C19" s="167" t="s">
        <v>111</v>
      </c>
      <c r="D19" s="230"/>
      <c r="E19" s="15"/>
    </row>
    <row r="20" spans="1:7">
      <c r="A20" s="172" t="s">
        <v>73</v>
      </c>
      <c r="B20" s="37">
        <f>aantalw2001_propaan</f>
        <v>137</v>
      </c>
      <c r="C20" s="168">
        <f>IF(ISERROR(B20/SUM($B$20,$B$21,$B$22)*100),0,B20/SUM($B$20,$B$21,$B$22)*100)</f>
        <v>6.5960519980741452</v>
      </c>
      <c r="D20" s="230"/>
      <c r="E20" s="15"/>
    </row>
    <row r="21" spans="1:7">
      <c r="A21" s="172" t="s">
        <v>74</v>
      </c>
      <c r="B21" s="37">
        <f>aantalw2001_elektriciteit</f>
        <v>1808</v>
      </c>
      <c r="C21" s="168">
        <f>IF(ISERROR(B21/SUM($B$20,$B$21,$B$22)*100),0,B21/SUM($B$20,$B$21,$B$22)*100)</f>
        <v>87.048627828598939</v>
      </c>
      <c r="D21" s="230"/>
      <c r="E21" s="15"/>
    </row>
    <row r="22" spans="1:7">
      <c r="A22" s="172" t="s">
        <v>75</v>
      </c>
      <c r="B22" s="37">
        <f>aantalw2001_hout</f>
        <v>132</v>
      </c>
      <c r="C22" s="168">
        <f>IF(ISERROR(B22/SUM($B$20,$B$21,$B$22)*100),0,B22/SUM($B$20,$B$21,$B$22)*100)</f>
        <v>6.3553201733269145</v>
      </c>
      <c r="D22" s="230"/>
      <c r="E22" s="15"/>
    </row>
    <row r="23" spans="1:7">
      <c r="A23" s="172" t="s">
        <v>76</v>
      </c>
      <c r="B23" s="37">
        <f>aantalw2001_niet_gespec</f>
        <v>416</v>
      </c>
      <c r="C23" s="167" t="s">
        <v>111</v>
      </c>
      <c r="D23" s="229"/>
      <c r="E23" s="15"/>
    </row>
    <row r="24" spans="1:7">
      <c r="A24" s="172" t="s">
        <v>77</v>
      </c>
      <c r="B24" s="37">
        <f>aantalw2001_steenkool</f>
        <v>298</v>
      </c>
      <c r="C24" s="167" t="s">
        <v>111</v>
      </c>
      <c r="D24" s="230"/>
      <c r="E24" s="15"/>
    </row>
    <row r="25" spans="1:7">
      <c r="A25" s="172" t="s">
        <v>78</v>
      </c>
      <c r="B25" s="37">
        <f>aantalw2001_stookolie</f>
        <v>12509</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714</v>
      </c>
      <c r="B28" s="37">
        <f>aantalHuishoudens2011</f>
        <v>33234</v>
      </c>
      <c r="C28" s="36"/>
      <c r="D28" s="229"/>
    </row>
    <row r="29" spans="1:7" s="15" customFormat="1">
      <c r="A29" s="231" t="s">
        <v>715</v>
      </c>
      <c r="B29" s="37">
        <f>SUM(HH_hh_gas_aantal,HH_rest_gas_aantal)</f>
        <v>21204</v>
      </c>
      <c r="C29" s="36"/>
      <c r="D29" s="229"/>
    </row>
    <row r="30" spans="1:7" s="15" customFormat="1">
      <c r="A30" s="232"/>
      <c r="B30" s="29"/>
      <c r="C30" s="36"/>
      <c r="D30" s="233"/>
    </row>
    <row r="31" spans="1:7">
      <c r="A31" s="173" t="s">
        <v>720</v>
      </c>
      <c r="B31" s="169" t="s">
        <v>216</v>
      </c>
      <c r="C31" s="166" t="s">
        <v>217</v>
      </c>
      <c r="D31" s="175"/>
      <c r="G31" s="15"/>
    </row>
    <row r="32" spans="1:7">
      <c r="A32" s="172" t="s">
        <v>71</v>
      </c>
      <c r="B32" s="37">
        <f>B29</f>
        <v>21204</v>
      </c>
      <c r="C32" s="168">
        <f>IF(ISERROR(B32/SUM($B$32,$B$34,$B$35,$B$36,$B$38,$B$39)*100),0,B32/SUM($B$32,$B$34,$B$35,$B$36,$B$38,$B$39)*100)</f>
        <v>63.909819760081987</v>
      </c>
      <c r="D32" s="234"/>
      <c r="G32" s="15"/>
    </row>
    <row r="33" spans="1:7">
      <c r="A33" s="172" t="s">
        <v>72</v>
      </c>
      <c r="B33" s="34" t="s">
        <v>111</v>
      </c>
      <c r="C33" s="168"/>
      <c r="D33" s="234"/>
      <c r="G33" s="15"/>
    </row>
    <row r="34" spans="1:7">
      <c r="A34" s="172" t="s">
        <v>73</v>
      </c>
      <c r="B34" s="33">
        <f>IF((($B$28-$B$32-$B$39-$B$77-$B$38)*C20/100)&lt;0,0,($B$28-$B$32-$B$39-$B$77-$B$38)*C20/100)</f>
        <v>475.06745305729419</v>
      </c>
      <c r="C34" s="168">
        <f>IF(ISERROR(B34/SUM($B$32,$B$34,$B$35,$B$36,$B$38,$B$39)*100),0,B34/SUM($B$32,$B$34,$B$35,$B$36,$B$38,$B$39)*100)</f>
        <v>1.4318748961881191</v>
      </c>
      <c r="D34" s="234"/>
      <c r="G34" s="15"/>
    </row>
    <row r="35" spans="1:7">
      <c r="A35" s="172" t="s">
        <v>74</v>
      </c>
      <c r="B35" s="33">
        <f>IF((($B$28-$B$32-$B$39-$B$77-$B$38)*C21/100)&lt;0,0,($B$28-$B$32-$B$39-$B$77-$B$38)*C21/100)</f>
        <v>6269.5033220991818</v>
      </c>
      <c r="C35" s="168">
        <f>IF(ISERROR(B35/SUM($B$32,$B$34,$B$35,$B$36,$B$38,$B$39)*100),0,B35/SUM($B$32,$B$34,$B$35,$B$36,$B$38,$B$39)*100)</f>
        <v>18.896567973051965</v>
      </c>
      <c r="D35" s="234"/>
      <c r="G35" s="15"/>
    </row>
    <row r="36" spans="1:7">
      <c r="A36" s="172" t="s">
        <v>75</v>
      </c>
      <c r="B36" s="33">
        <f>IF((($B$28-$B$32-$B$39-$B$77-$B$38)*C22/100)&lt;0,0,($B$28-$B$32-$B$39-$B$77-$B$38)*C22/100)</f>
        <v>457.72922484352438</v>
      </c>
      <c r="C36" s="168">
        <f>IF(ISERROR(B36/SUM($B$32,$B$34,$B$35,$B$36,$B$38,$B$39)*100),0,B36/SUM($B$32,$B$34,$B$35,$B$36,$B$38,$B$39)*100)</f>
        <v>1.3796166882980421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4771.7</v>
      </c>
      <c r="C39" s="168">
        <f>IF(ISERROR(B39/SUM($B$32,$B$34,$B$35,$B$36,$B$38,$B$39)*100),0,B39/SUM($B$32,$B$34,$B$35,$B$36,$B$38,$B$39)*100)</f>
        <v>14.38212068237989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716</v>
      </c>
      <c r="C43" s="170" t="s">
        <v>717</v>
      </c>
      <c r="D43" s="175"/>
    </row>
    <row r="44" spans="1:7">
      <c r="A44" s="172" t="s">
        <v>71</v>
      </c>
      <c r="B44" s="33">
        <f t="shared" ref="B44:B52" si="0">B32</f>
        <v>21204</v>
      </c>
      <c r="C44" s="34" t="s">
        <v>111</v>
      </c>
      <c r="D44" s="175"/>
    </row>
    <row r="45" spans="1:7">
      <c r="A45" s="172" t="s">
        <v>72</v>
      </c>
      <c r="B45" s="33" t="str">
        <f t="shared" si="0"/>
        <v>-</v>
      </c>
      <c r="C45" s="34" t="s">
        <v>111</v>
      </c>
      <c r="D45" s="175"/>
    </row>
    <row r="46" spans="1:7">
      <c r="A46" s="172" t="s">
        <v>73</v>
      </c>
      <c r="B46" s="33">
        <f t="shared" si="0"/>
        <v>475.06745305729419</v>
      </c>
      <c r="C46" s="34" t="s">
        <v>111</v>
      </c>
      <c r="D46" s="175"/>
    </row>
    <row r="47" spans="1:7">
      <c r="A47" s="172" t="s">
        <v>74</v>
      </c>
      <c r="B47" s="33">
        <f t="shared" si="0"/>
        <v>6269.5033220991818</v>
      </c>
      <c r="C47" s="34" t="s">
        <v>111</v>
      </c>
      <c r="D47" s="175"/>
    </row>
    <row r="48" spans="1:7">
      <c r="A48" s="172" t="s">
        <v>75</v>
      </c>
      <c r="B48" s="33">
        <f t="shared" si="0"/>
        <v>457.72922484352438</v>
      </c>
      <c r="C48" s="33">
        <f>B48*10</f>
        <v>4577.2922484352439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4771.7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718</v>
      </c>
      <c r="C54" s="166" t="s">
        <v>719</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184587.81299999999</v>
      </c>
      <c r="C5" s="17">
        <f>IF(ISERROR('Eigen informatie GS &amp; warmtenet'!B58),0,'Eigen informatie GS &amp; warmtenet'!B58)</f>
        <v>0</v>
      </c>
      <c r="D5" s="30">
        <f>SUM(D6:D12)</f>
        <v>188327.02585400001</v>
      </c>
      <c r="E5" s="17">
        <f>SUM(E6:E12)</f>
        <v>3738.8396514251058</v>
      </c>
      <c r="F5" s="17">
        <f>SUM(F6:F12)</f>
        <v>34975.673383306406</v>
      </c>
      <c r="G5" s="18"/>
      <c r="H5" s="17"/>
      <c r="I5" s="17"/>
      <c r="J5" s="17">
        <f>SUM(J6:J12)</f>
        <v>0</v>
      </c>
      <c r="K5" s="17"/>
      <c r="L5" s="17"/>
      <c r="M5" s="17"/>
      <c r="N5" s="17">
        <f>SUM(N6:N12)</f>
        <v>4055.8934084767084</v>
      </c>
      <c r="O5" s="17">
        <f>B38*B39*B40</f>
        <v>1.5633333333333335</v>
      </c>
      <c r="P5" s="17">
        <f>B46*B47*B48/1000-B46*B47*B48/1000/B49</f>
        <v>152.53333333333333</v>
      </c>
      <c r="R5" s="32"/>
    </row>
    <row r="6" spans="1:18">
      <c r="A6" s="32" t="s">
        <v>54</v>
      </c>
      <c r="B6" s="37">
        <f>B26</f>
        <v>66666.11</v>
      </c>
      <c r="C6" s="33"/>
      <c r="D6" s="37">
        <f>IF(ISERROR(TER_kantoor_gas_kWh/1000),0,TER_kantoor_gas_kWh/1000)*0.902</f>
        <v>91667.51341</v>
      </c>
      <c r="E6" s="33">
        <f>$C$26*'E Balans VL '!I12/100/3.6*1000000</f>
        <v>2333.5760975858971</v>
      </c>
      <c r="F6" s="33">
        <f>$C$26*('E Balans VL '!L12+'E Balans VL '!N12)/100/3.6*1000000</f>
        <v>10108.013583356173</v>
      </c>
      <c r="G6" s="34"/>
      <c r="H6" s="33"/>
      <c r="I6" s="33"/>
      <c r="J6" s="33">
        <f>$C$26*('E Balans VL '!D12+'E Balans VL '!E12)/100/3.6*1000000</f>
        <v>0</v>
      </c>
      <c r="K6" s="33"/>
      <c r="L6" s="33"/>
      <c r="M6" s="33"/>
      <c r="N6" s="33">
        <f>$C$26*'E Balans VL '!Y12/100/3.6*1000000</f>
        <v>515.30816438182592</v>
      </c>
      <c r="O6" s="33"/>
      <c r="P6" s="33"/>
      <c r="R6" s="32"/>
    </row>
    <row r="7" spans="1:18">
      <c r="A7" s="32" t="s">
        <v>53</v>
      </c>
      <c r="B7" s="37">
        <f t="shared" ref="B7:B12" si="0">B27</f>
        <v>17481.537</v>
      </c>
      <c r="C7" s="33"/>
      <c r="D7" s="37">
        <f>IF(ISERROR(TER_horeca_gas_kWh/1000),0,TER_horeca_gas_kWh/1000)*0.902</f>
        <v>17125.671463999999</v>
      </c>
      <c r="E7" s="33">
        <f>$C$27*'E Balans VL '!I9/100/3.6*1000000</f>
        <v>986.19113463146095</v>
      </c>
      <c r="F7" s="33">
        <f>$C$27*('E Balans VL '!L9+'E Balans VL '!N9)/100/3.6*1000000</f>
        <v>3045.3804894678938</v>
      </c>
      <c r="G7" s="34"/>
      <c r="H7" s="33"/>
      <c r="I7" s="33"/>
      <c r="J7" s="33">
        <f>$C$27*('E Balans VL '!D9+'E Balans VL '!E9)/100/3.6*1000000</f>
        <v>0</v>
      </c>
      <c r="K7" s="33"/>
      <c r="L7" s="33"/>
      <c r="M7" s="33"/>
      <c r="N7" s="33">
        <f>$C$27*'E Balans VL '!Y9/100/3.6*1000000</f>
        <v>0</v>
      </c>
      <c r="O7" s="33"/>
      <c r="P7" s="33"/>
      <c r="R7" s="32"/>
    </row>
    <row r="8" spans="1:18">
      <c r="A8" s="6" t="s">
        <v>52</v>
      </c>
      <c r="B8" s="37">
        <f t="shared" si="0"/>
        <v>62159.536999999997</v>
      </c>
      <c r="C8" s="33"/>
      <c r="D8" s="37">
        <f>IF(ISERROR(TER_handel_gas_kWh/1000),0,TER_handel_gas_kWh/1000)*0.902</f>
        <v>34602.8848</v>
      </c>
      <c r="E8" s="33">
        <f>$C$28*'E Balans VL '!I13/100/3.6*1000000</f>
        <v>319.12074764063419</v>
      </c>
      <c r="F8" s="33">
        <f>$C$28*('E Balans VL '!L13+'E Balans VL '!N13)/100/3.6*1000000</f>
        <v>9584.0401419574719</v>
      </c>
      <c r="G8" s="34"/>
      <c r="H8" s="33"/>
      <c r="I8" s="33"/>
      <c r="J8" s="33">
        <f>$C$28*('E Balans VL '!D13+'E Balans VL '!E13)/100/3.6*1000000</f>
        <v>0</v>
      </c>
      <c r="K8" s="33"/>
      <c r="L8" s="33"/>
      <c r="M8" s="33"/>
      <c r="N8" s="33">
        <f>$C$28*'E Balans VL '!Y13/100/3.6*1000000</f>
        <v>29.072774214180935</v>
      </c>
      <c r="O8" s="33"/>
      <c r="P8" s="33"/>
      <c r="R8" s="32"/>
    </row>
    <row r="9" spans="1:18">
      <c r="A9" s="32" t="s">
        <v>51</v>
      </c>
      <c r="B9" s="37">
        <f t="shared" si="0"/>
        <v>18490.09</v>
      </c>
      <c r="C9" s="33"/>
      <c r="D9" s="37">
        <f>IF(ISERROR(TER_gezond_gas_kWh/1000),0,TER_gezond_gas_kWh/1000)*0.902</f>
        <v>21174.780132000004</v>
      </c>
      <c r="E9" s="33">
        <f>$C$29*'E Balans VL '!I10/100/3.6*1000000</f>
        <v>7.6640106232984646</v>
      </c>
      <c r="F9" s="33">
        <f>$C$29*('E Balans VL '!L10+'E Balans VL '!N10)/100/3.6*1000000</f>
        <v>4553.8439837359347</v>
      </c>
      <c r="G9" s="34"/>
      <c r="H9" s="33"/>
      <c r="I9" s="33"/>
      <c r="J9" s="33">
        <f>$C$29*('E Balans VL '!D10+'E Balans VL '!E10)/100/3.6*1000000</f>
        <v>0</v>
      </c>
      <c r="K9" s="33"/>
      <c r="L9" s="33"/>
      <c r="M9" s="33"/>
      <c r="N9" s="33">
        <f>$C$29*'E Balans VL '!Y10/100/3.6*1000000</f>
        <v>159.80014288619026</v>
      </c>
      <c r="O9" s="33"/>
      <c r="P9" s="33"/>
      <c r="R9" s="32"/>
    </row>
    <row r="10" spans="1:18">
      <c r="A10" s="32" t="s">
        <v>50</v>
      </c>
      <c r="B10" s="37">
        <f t="shared" si="0"/>
        <v>14474.434999999999</v>
      </c>
      <c r="C10" s="33"/>
      <c r="D10" s="37">
        <f>IF(ISERROR(TER_ander_gas_kWh/1000),0,TER_ander_gas_kWh/1000)*0.902</f>
        <v>14562.30292</v>
      </c>
      <c r="E10" s="33">
        <f>$C$30*'E Balans VL '!I14/100/3.6*1000000</f>
        <v>88.23651288335553</v>
      </c>
      <c r="F10" s="33">
        <f>$C$30*('E Balans VL '!L14+'E Balans VL '!N14)/100/3.6*1000000</f>
        <v>3837.3709957679325</v>
      </c>
      <c r="G10" s="34"/>
      <c r="H10" s="33"/>
      <c r="I10" s="33"/>
      <c r="J10" s="33">
        <f>$C$30*('E Balans VL '!D14+'E Balans VL '!E14)/100/3.6*1000000</f>
        <v>0</v>
      </c>
      <c r="K10" s="33"/>
      <c r="L10" s="33"/>
      <c r="M10" s="33"/>
      <c r="N10" s="33">
        <f>$C$30*'E Balans VL '!Y14/100/3.6*1000000</f>
        <v>3336.0444979808062</v>
      </c>
      <c r="O10" s="33"/>
      <c r="P10" s="33"/>
      <c r="R10" s="32"/>
    </row>
    <row r="11" spans="1:18">
      <c r="A11" s="32" t="s">
        <v>55</v>
      </c>
      <c r="B11" s="37">
        <f t="shared" si="0"/>
        <v>5316.1040000000003</v>
      </c>
      <c r="C11" s="33"/>
      <c r="D11" s="37">
        <f>IF(ISERROR(TER_onderwijs_gas_kWh/1000),0,TER_onderwijs_gas_kWh/1000)*0.902</f>
        <v>9193.8731279999993</v>
      </c>
      <c r="E11" s="33">
        <f>$C$31*'E Balans VL '!I11/100/3.6*1000000</f>
        <v>4.0511480604596199</v>
      </c>
      <c r="F11" s="33">
        <f>$C$31*('E Balans VL '!L11+'E Balans VL '!N11)/100/3.6*1000000</f>
        <v>3847.0241890210013</v>
      </c>
      <c r="G11" s="34"/>
      <c r="H11" s="33"/>
      <c r="I11" s="33"/>
      <c r="J11" s="33">
        <f>$C$31*('E Balans VL '!D11+'E Balans VL '!E11)/100/3.6*1000000</f>
        <v>0</v>
      </c>
      <c r="K11" s="33"/>
      <c r="L11" s="33"/>
      <c r="M11" s="33"/>
      <c r="N11" s="33">
        <f>$C$31*'E Balans VL '!Y11/100/3.6*1000000</f>
        <v>15.667829013704528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2248.65</v>
      </c>
      <c r="C13" s="248">
        <f ca="1">'lokale energieproductie'!O91+'lokale energieproductie'!O60</f>
        <v>1444.5</v>
      </c>
      <c r="D13" s="311">
        <f ca="1">('lokale energieproductie'!P60+'lokale energieproductie'!P91)*(-1)</f>
        <v>-2889.0000000000005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-3535.7142857142858</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186836.46299999999</v>
      </c>
      <c r="C16" s="21">
        <f ca="1">C5+C13+C14</f>
        <v>1444.5</v>
      </c>
      <c r="D16" s="21">
        <f t="shared" ref="D16:N16" ca="1" si="1">MAX((D5+D13+D14),0)</f>
        <v>185438.02585400001</v>
      </c>
      <c r="E16" s="21">
        <f t="shared" si="1"/>
        <v>3738.8396514251058</v>
      </c>
      <c r="F16" s="21">
        <f t="shared" ca="1" si="1"/>
        <v>34975.673383306406</v>
      </c>
      <c r="G16" s="21">
        <f t="shared" si="1"/>
        <v>0</v>
      </c>
      <c r="H16" s="21">
        <f t="shared" si="1"/>
        <v>0</v>
      </c>
      <c r="I16" s="21">
        <f t="shared" si="1"/>
        <v>0</v>
      </c>
      <c r="J16" s="21">
        <f t="shared" si="1"/>
        <v>0</v>
      </c>
      <c r="K16" s="21">
        <f t="shared" si="1"/>
        <v>0</v>
      </c>
      <c r="L16" s="21">
        <f t="shared" ca="1" si="1"/>
        <v>0</v>
      </c>
      <c r="M16" s="21">
        <f t="shared" si="1"/>
        <v>0</v>
      </c>
      <c r="N16" s="21">
        <f t="shared" ca="1" si="1"/>
        <v>520.17912276242259</v>
      </c>
      <c r="O16" s="21">
        <f>O5</f>
        <v>1.5633333333333335</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0.21146764592673734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39509.867003887957</v>
      </c>
      <c r="C20" s="23">
        <f t="shared" ref="C20:P20" ca="1" si="2">C16*C18</f>
        <v>343.28117647058821</v>
      </c>
      <c r="D20" s="23">
        <f t="shared" ca="1" si="2"/>
        <v>37458.481222508002</v>
      </c>
      <c r="E20" s="23">
        <f t="shared" si="2"/>
        <v>848.71660087349903</v>
      </c>
      <c r="F20" s="23">
        <f t="shared" ca="1" si="2"/>
        <v>9338.5047933428104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66666.11</v>
      </c>
      <c r="C26" s="39">
        <f>IF(ISERROR(B26*3.6/1000000/'E Balans VL '!Z12*100),0,B26*3.6/1000000/'E Balans VL '!Z12*100)</f>
        <v>1.4028777275284892</v>
      </c>
      <c r="D26" s="238" t="s">
        <v>721</v>
      </c>
      <c r="F26" s="6"/>
    </row>
    <row r="27" spans="1:18">
      <c r="A27" s="232" t="s">
        <v>53</v>
      </c>
      <c r="B27" s="33">
        <f>IF(ISERROR(TER_horeca_ele_kWh/1000),0,TER_horeca_ele_kWh/1000)</f>
        <v>17481.537</v>
      </c>
      <c r="C27" s="39">
        <f>IF(ISERROR(B27*3.6/1000000/'E Balans VL '!Z9*100),0,B27*3.6/1000000/'E Balans VL '!Z9*100)</f>
        <v>1.4801126151259367</v>
      </c>
      <c r="D27" s="238" t="s">
        <v>721</v>
      </c>
      <c r="F27" s="6"/>
    </row>
    <row r="28" spans="1:18">
      <c r="A28" s="172" t="s">
        <v>52</v>
      </c>
      <c r="B28" s="33">
        <f>IF(ISERROR(TER_handel_ele_kWh/1000),0,TER_handel_ele_kWh/1000)</f>
        <v>62159.536999999997</v>
      </c>
      <c r="C28" s="39">
        <f>IF(ISERROR(B28*3.6/1000000/'E Balans VL '!Z13*100),0,B28*3.6/1000000/'E Balans VL '!Z13*100)</f>
        <v>1.7208781864835418</v>
      </c>
      <c r="D28" s="238" t="s">
        <v>721</v>
      </c>
      <c r="F28" s="6"/>
    </row>
    <row r="29" spans="1:18">
      <c r="A29" s="232" t="s">
        <v>51</v>
      </c>
      <c r="B29" s="33">
        <f>IF(ISERROR(TER_gezond_ele_kWh/1000),0,TER_gezond_ele_kWh/1000)</f>
        <v>18490.09</v>
      </c>
      <c r="C29" s="39">
        <f>IF(ISERROR(B29*3.6/1000000/'E Balans VL '!Z10*100),0,B29*3.6/1000000/'E Balans VL '!Z10*100)</f>
        <v>2.4035067134530261</v>
      </c>
      <c r="D29" s="238" t="s">
        <v>721</v>
      </c>
      <c r="F29" s="6"/>
    </row>
    <row r="30" spans="1:18">
      <c r="A30" s="232" t="s">
        <v>50</v>
      </c>
      <c r="B30" s="33">
        <f>IF(ISERROR(TER_ander_ele_kWh/1000),0,TER_ander_ele_kWh/1000)</f>
        <v>14474.434999999999</v>
      </c>
      <c r="C30" s="39">
        <f>IF(ISERROR(B30*3.6/1000000/'E Balans VL '!Z14*100),0,B30*3.6/1000000/'E Balans VL '!Z14*100)</f>
        <v>1.121901453209148</v>
      </c>
      <c r="D30" s="238" t="s">
        <v>721</v>
      </c>
      <c r="F30" s="6"/>
    </row>
    <row r="31" spans="1:18">
      <c r="A31" s="232" t="s">
        <v>55</v>
      </c>
      <c r="B31" s="33">
        <f>IF(ISERROR(TER_onderwijs_ele_kWh/1000),0,TER_onderwijs_ele_kWh/1000)</f>
        <v>5316.1040000000003</v>
      </c>
      <c r="C31" s="39">
        <f>IF(ISERROR(B31*3.6/1000000/'E Balans VL '!Z11*100),0,B31*3.6/1000000/'E Balans VL '!Z11*100)</f>
        <v>1.0170612796951981</v>
      </c>
      <c r="D31" s="238" t="s">
        <v>721</v>
      </c>
    </row>
    <row r="32" spans="1:18">
      <c r="A32" s="232" t="s">
        <v>260</v>
      </c>
      <c r="B32" s="33">
        <f>IF(ISERROR(TER_rest_ele_kWh/1000),0,TER_rest_ele_kWh/1000)</f>
        <v>0</v>
      </c>
      <c r="C32" s="39">
        <f>IF(ISERROR(B32*3.6/1000000/'E Balans VL '!Z8*100),0,B32*3.6/1000000/'E Balans VL '!Z8*100)</f>
        <v>0</v>
      </c>
      <c r="D32" s="238" t="s">
        <v>721</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8</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62389.236000000004</v>
      </c>
      <c r="C5" s="17">
        <f>IF(ISERROR('Eigen informatie GS &amp; warmtenet'!B59),0,'Eigen informatie GS &amp; warmtenet'!B59)</f>
        <v>0</v>
      </c>
      <c r="D5" s="30">
        <f>SUM(D6:D15)</f>
        <v>76632.432602000001</v>
      </c>
      <c r="E5" s="17">
        <f>SUM(E6:E15)</f>
        <v>1060.7016004638876</v>
      </c>
      <c r="F5" s="17">
        <f>SUM(F6:F15)</f>
        <v>28118.368807735602</v>
      </c>
      <c r="G5" s="18"/>
      <c r="H5" s="17"/>
      <c r="I5" s="17"/>
      <c r="J5" s="17">
        <f>SUM(J6:J15)</f>
        <v>204.79607477479763</v>
      </c>
      <c r="K5" s="17"/>
      <c r="L5" s="17"/>
      <c r="M5" s="17"/>
      <c r="N5" s="17">
        <f>SUM(N6:N15)</f>
        <v>2428.4108709328448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4280.4189999999999</v>
      </c>
      <c r="C8" s="33"/>
      <c r="D8" s="37">
        <f>IF( ISERROR(IND_metaal_Gas_kWH/1000),0,IND_metaal_Gas_kWH/1000)*0.902</f>
        <v>2159.0569660000001</v>
      </c>
      <c r="E8" s="33">
        <f>C30*'E Balans VL '!I18/100/3.6*1000000</f>
        <v>30.07755988138732</v>
      </c>
      <c r="F8" s="33">
        <f>C30*'E Balans VL '!L18/100/3.6*1000000+C30*'E Balans VL '!N18/100/3.6*1000000</f>
        <v>469.96496328391248</v>
      </c>
      <c r="G8" s="34"/>
      <c r="H8" s="33"/>
      <c r="I8" s="33"/>
      <c r="J8" s="40">
        <f>C30*'E Balans VL '!D18/100/3.6*1000000+C30*'E Balans VL '!E18/100/3.6*1000000</f>
        <v>88.314269949895078</v>
      </c>
      <c r="K8" s="33"/>
      <c r="L8" s="33"/>
      <c r="M8" s="33"/>
      <c r="N8" s="33">
        <f>C30*'E Balans VL '!Y18/100/3.6*1000000</f>
        <v>16.043318687445723</v>
      </c>
      <c r="O8" s="33"/>
      <c r="P8" s="33"/>
      <c r="R8" s="32"/>
    </row>
    <row r="9" spans="1:18">
      <c r="A9" s="6" t="s">
        <v>33</v>
      </c>
      <c r="B9" s="37">
        <f t="shared" si="0"/>
        <v>30137.705000000002</v>
      </c>
      <c r="C9" s="33"/>
      <c r="D9" s="37">
        <f>IF( ISERROR(IND_andere_gas_kWh/1000),0,IND_andere_gas_kWh/1000)*0.902</f>
        <v>23498.866116000001</v>
      </c>
      <c r="E9" s="33">
        <f>C31*'E Balans VL '!I19/100/3.6*1000000</f>
        <v>506.19967534241084</v>
      </c>
      <c r="F9" s="33">
        <f>C31*'E Balans VL '!L19/100/3.6*1000000+C31*'E Balans VL '!N19/100/3.6*1000000</f>
        <v>23559.941253491252</v>
      </c>
      <c r="G9" s="34"/>
      <c r="H9" s="33"/>
      <c r="I9" s="33"/>
      <c r="J9" s="40">
        <f>C31*'E Balans VL '!D19/100/3.6*1000000+C31*'E Balans VL '!E19/100/3.6*1000000</f>
        <v>2.7181549538775496</v>
      </c>
      <c r="K9" s="33"/>
      <c r="L9" s="33"/>
      <c r="M9" s="33"/>
      <c r="N9" s="33">
        <f>C31*'E Balans VL '!Y19/100/3.6*1000000</f>
        <v>2233.6874574092176</v>
      </c>
      <c r="O9" s="33"/>
      <c r="P9" s="33"/>
      <c r="R9" s="32"/>
    </row>
    <row r="10" spans="1:18">
      <c r="A10" s="6" t="s">
        <v>41</v>
      </c>
      <c r="B10" s="37">
        <f t="shared" si="0"/>
        <v>11177.246999999999</v>
      </c>
      <c r="C10" s="33"/>
      <c r="D10" s="37">
        <f>IF( ISERROR(IND_voed_gas_kWh/1000),0,IND_voed_gas_kWh/1000)*0.902</f>
        <v>10292.356690000001</v>
      </c>
      <c r="E10" s="33">
        <f>C32*'E Balans VL '!I20/100/3.6*1000000</f>
        <v>101.97655692323247</v>
      </c>
      <c r="F10" s="33">
        <f>C32*'E Balans VL '!L20/100/3.6*1000000+C32*'E Balans VL '!N20/100/3.6*1000000</f>
        <v>1803.2395449266319</v>
      </c>
      <c r="G10" s="34"/>
      <c r="H10" s="33"/>
      <c r="I10" s="33"/>
      <c r="J10" s="40">
        <f>C32*'E Balans VL '!D20/100/3.6*1000000+C32*'E Balans VL '!E20/100/3.6*1000000</f>
        <v>46.035231303853273</v>
      </c>
      <c r="K10" s="33"/>
      <c r="L10" s="33"/>
      <c r="M10" s="33"/>
      <c r="N10" s="33">
        <f>C32*'E Balans VL '!Y20/100/3.6*1000000</f>
        <v>163.51431010338004</v>
      </c>
      <c r="O10" s="33"/>
      <c r="P10" s="33"/>
      <c r="R10" s="32"/>
    </row>
    <row r="11" spans="1:18">
      <c r="A11" s="6" t="s">
        <v>40</v>
      </c>
      <c r="B11" s="37">
        <f t="shared" si="0"/>
        <v>402.95800000000003</v>
      </c>
      <c r="C11" s="33"/>
      <c r="D11" s="37">
        <f>IF( ISERROR(IND_textiel_gas_kWh/1000),0,IND_textiel_gas_kWh/1000)*0.902</f>
        <v>225.89417400000002</v>
      </c>
      <c r="E11" s="33">
        <f>C33*'E Balans VL '!I21/100/3.6*1000000</f>
        <v>0.91907245248676217</v>
      </c>
      <c r="F11" s="33">
        <f>C33*'E Balans VL '!L21/100/3.6*1000000+C33*'E Balans VL '!N21/100/3.6*1000000</f>
        <v>8.6136009918612437</v>
      </c>
      <c r="G11" s="34"/>
      <c r="H11" s="33"/>
      <c r="I11" s="33"/>
      <c r="J11" s="40">
        <f>C33*'E Balans VL '!D21/100/3.6*1000000+C33*'E Balans VL '!E21/100/3.6*1000000</f>
        <v>0</v>
      </c>
      <c r="K11" s="33"/>
      <c r="L11" s="33"/>
      <c r="M11" s="33"/>
      <c r="N11" s="33">
        <f>C33*'E Balans VL '!Y21/100/3.6*1000000</f>
        <v>2.8585296891192322</v>
      </c>
      <c r="O11" s="33"/>
      <c r="P11" s="33"/>
      <c r="R11" s="32"/>
    </row>
    <row r="12" spans="1:18">
      <c r="A12" s="6" t="s">
        <v>37</v>
      </c>
      <c r="B12" s="37">
        <f t="shared" si="0"/>
        <v>11133.486000000001</v>
      </c>
      <c r="C12" s="33"/>
      <c r="D12" s="37">
        <f>IF( ISERROR(IND_min_gas_kWh/1000),0,IND_min_gas_kWh/1000)*0.902</f>
        <v>34532.333967999999</v>
      </c>
      <c r="E12" s="33">
        <f>C34*'E Balans VL '!I22/100/3.6*1000000</f>
        <v>276.14664830091124</v>
      </c>
      <c r="F12" s="33">
        <f>C34*'E Balans VL '!L22/100/3.6*1000000+C34*'E Balans VL '!N22/100/3.6*1000000</f>
        <v>1183.0394905868147</v>
      </c>
      <c r="G12" s="34"/>
      <c r="H12" s="33"/>
      <c r="I12" s="33"/>
      <c r="J12" s="40">
        <f>C34*'E Balans VL '!D22/100/3.6*1000000+C34*'E Balans VL '!E22/100/3.6*1000000</f>
        <v>63.244733188762936</v>
      </c>
      <c r="K12" s="33"/>
      <c r="L12" s="33"/>
      <c r="M12" s="33"/>
      <c r="N12" s="33">
        <f>C34*'E Balans VL '!Y22/100/3.6*1000000</f>
        <v>0</v>
      </c>
      <c r="O12" s="33"/>
      <c r="P12" s="33"/>
      <c r="R12" s="32"/>
    </row>
    <row r="13" spans="1:18">
      <c r="A13" s="6" t="s">
        <v>39</v>
      </c>
      <c r="B13" s="37">
        <f t="shared" si="0"/>
        <v>4522.2439999999997</v>
      </c>
      <c r="C13" s="33"/>
      <c r="D13" s="37">
        <f>IF( ISERROR(IND_papier_gas_kWh/1000),0,IND_papier_gas_kWh/1000)*0.902</f>
        <v>3492.3121860000001</v>
      </c>
      <c r="E13" s="33">
        <f>C35*'E Balans VL '!I23/100/3.6*1000000</f>
        <v>139.13764587427616</v>
      </c>
      <c r="F13" s="33">
        <f>C35*'E Balans VL '!L23/100/3.6*1000000+C35*'E Balans VL '!N23/100/3.6*1000000</f>
        <v>960.23044429023673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69.284999999999997</v>
      </c>
      <c r="C14" s="33"/>
      <c r="D14" s="37">
        <f>IF( ISERROR(IND_chemie_gas_kWh/1000),0,IND_chemie_gas_kWh/1000)*0.902</f>
        <v>0</v>
      </c>
      <c r="E14" s="33">
        <f>C36*'E Balans VL '!I24/100/3.6*1000000</f>
        <v>0.23492387120045238</v>
      </c>
      <c r="F14" s="33">
        <f>C36*'E Balans VL '!L24/100/3.6*1000000+C36*'E Balans VL '!N24/100/3.6*1000000</f>
        <v>0.22235235179168561</v>
      </c>
      <c r="G14" s="34"/>
      <c r="H14" s="33"/>
      <c r="I14" s="33"/>
      <c r="J14" s="40">
        <f>C36*'E Balans VL '!D24/100/3.6*1000000+C36*'E Balans VL '!E24/100/3.6*1000000</f>
        <v>0</v>
      </c>
      <c r="K14" s="33"/>
      <c r="L14" s="33"/>
      <c r="M14" s="33"/>
      <c r="N14" s="33">
        <f>C36*'E Balans VL '!Y24/100/3.6*1000000</f>
        <v>0.32395788343091408</v>
      </c>
      <c r="O14" s="33"/>
      <c r="P14" s="33"/>
      <c r="R14" s="32"/>
    </row>
    <row r="15" spans="1:18">
      <c r="A15" s="6" t="s">
        <v>270</v>
      </c>
      <c r="B15" s="37">
        <f t="shared" si="0"/>
        <v>665.89200000000005</v>
      </c>
      <c r="C15" s="33"/>
      <c r="D15" s="37">
        <f>IF( ISERROR(IND_rest_gas_kWh/1000),0,IND_rest_gas_kWh/1000)*0.902</f>
        <v>2431.6125019999999</v>
      </c>
      <c r="E15" s="33">
        <f>C37*'E Balans VL '!I15/100/3.6*1000000</f>
        <v>6.0095178179824353</v>
      </c>
      <c r="F15" s="33">
        <f>C37*'E Balans VL '!L15/100/3.6*1000000+C37*'E Balans VL '!N15/100/3.6*1000000</f>
        <v>133.11715781309744</v>
      </c>
      <c r="G15" s="34"/>
      <c r="H15" s="33"/>
      <c r="I15" s="33"/>
      <c r="J15" s="40">
        <f>C37*'E Balans VL '!D15/100/3.6*1000000+C37*'E Balans VL '!E15/100/3.6*1000000</f>
        <v>4.483685378408806</v>
      </c>
      <c r="K15" s="33"/>
      <c r="L15" s="33"/>
      <c r="M15" s="33"/>
      <c r="N15" s="33">
        <f>C37*'E Balans VL '!Y15/100/3.6*1000000</f>
        <v>11.983297160251542</v>
      </c>
      <c r="O15" s="33"/>
      <c r="P15" s="33"/>
      <c r="R15" s="32"/>
    </row>
    <row r="16" spans="1:18">
      <c r="A16" s="16" t="s">
        <v>496</v>
      </c>
      <c r="B16" s="248">
        <f>'lokale energieproductie'!N90+'lokale energieproductie'!N59</f>
        <v>93.75</v>
      </c>
      <c r="C16" s="248">
        <f>'lokale energieproductie'!O90+'lokale energieproductie'!O59</f>
        <v>133.92857142857144</v>
      </c>
      <c r="D16" s="311">
        <f>('lokale energieproductie'!P59+'lokale energieproductie'!P90)*(-1)</f>
        <v>-267.85714285714289</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62482.986000000004</v>
      </c>
      <c r="C18" s="21">
        <f>C5+C16</f>
        <v>133.92857142857144</v>
      </c>
      <c r="D18" s="21">
        <f>MAX((D5+D16),0)</f>
        <v>76364.575459142856</v>
      </c>
      <c r="E18" s="21">
        <f>MAX((E5+E16),0)</f>
        <v>1060.7016004638876</v>
      </c>
      <c r="F18" s="21">
        <f>MAX((F5+F16),0)</f>
        <v>28118.368807735602</v>
      </c>
      <c r="G18" s="21"/>
      <c r="H18" s="21"/>
      <c r="I18" s="21"/>
      <c r="J18" s="21">
        <f>MAX((J5+J16),0)</f>
        <v>204.79607477479763</v>
      </c>
      <c r="K18" s="21"/>
      <c r="L18" s="21">
        <f>MAX((L5+L16),0)</f>
        <v>0</v>
      </c>
      <c r="M18" s="21"/>
      <c r="N18" s="21">
        <f>MAX((N5+N16),0)</f>
        <v>2428.4108709328448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0.21146764592673734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13213.129959893287</v>
      </c>
      <c r="C22" s="23">
        <f ca="1">C18*C20</f>
        <v>31.827731092436977</v>
      </c>
      <c r="D22" s="23">
        <f>D18*D20</f>
        <v>15425.644242746857</v>
      </c>
      <c r="E22" s="23">
        <f>E18*E20</f>
        <v>240.77926330530249</v>
      </c>
      <c r="F22" s="23">
        <f>F18*F20</f>
        <v>7507.604471665406</v>
      </c>
      <c r="G22" s="23"/>
      <c r="H22" s="23"/>
      <c r="I22" s="23"/>
      <c r="J22" s="23">
        <f>J18*J20</f>
        <v>72.497810470278353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721</v>
      </c>
    </row>
    <row r="29" spans="1:18">
      <c r="A29" s="172" t="s">
        <v>38</v>
      </c>
      <c r="B29" s="37">
        <f>IF( ISERROR(IND_nonf_ele_kWh/1000),0,IND_nonf_ele_kWh/1000)</f>
        <v>0</v>
      </c>
      <c r="C29" s="39">
        <f>IF(ISERROR(B29*3.6/1000000/'E Balans VL '!Z17*100),0,B29*3.6/1000000/'E Balans VL '!Z17*100)</f>
        <v>0</v>
      </c>
      <c r="D29" s="238" t="s">
        <v>721</v>
      </c>
    </row>
    <row r="30" spans="1:18">
      <c r="A30" s="172" t="s">
        <v>36</v>
      </c>
      <c r="B30" s="37">
        <f>IF( ISERROR(IND_metaal_ele_kWh/1000),0,IND_metaal_ele_kWh/1000)</f>
        <v>4280.4189999999999</v>
      </c>
      <c r="C30" s="39">
        <f>IF(ISERROR(B30*3.6/1000000/'E Balans VL '!Z18*100),0,B30*3.6/1000000/'E Balans VL '!Z18*100)</f>
        <v>0.28495010667287685</v>
      </c>
      <c r="D30" s="238" t="s">
        <v>721</v>
      </c>
    </row>
    <row r="31" spans="1:18">
      <c r="A31" s="6" t="s">
        <v>33</v>
      </c>
      <c r="B31" s="37">
        <f>IF( ISERROR(IND_ander_ele_kWh/1000),0,IND_ander_ele_kWh/1000)</f>
        <v>30137.705000000002</v>
      </c>
      <c r="C31" s="39">
        <f>IF(ISERROR(B31*3.6/1000000/'E Balans VL '!Z19*100),0,B31*3.6/1000000/'E Balans VL '!Z19*100)</f>
        <v>1.3358850285268502</v>
      </c>
      <c r="D31" s="238" t="s">
        <v>721</v>
      </c>
    </row>
    <row r="32" spans="1:18">
      <c r="A32" s="172" t="s">
        <v>41</v>
      </c>
      <c r="B32" s="37">
        <f>IF( ISERROR(IND_voed_ele_kWh/1000),0,IND_voed_ele_kWh/1000)</f>
        <v>11177.246999999999</v>
      </c>
      <c r="C32" s="39">
        <f>IF(ISERROR(B32*3.6/1000000/'E Balans VL '!Z20*100),0,B32*3.6/1000000/'E Balans VL '!Z20*100)</f>
        <v>0.3733521131718317</v>
      </c>
      <c r="D32" s="238" t="s">
        <v>721</v>
      </c>
    </row>
    <row r="33" spans="1:5">
      <c r="A33" s="172" t="s">
        <v>40</v>
      </c>
      <c r="B33" s="37">
        <f>IF( ISERROR(IND_textiel_ele_kWh/1000),0,IND_textiel_ele_kWh/1000)</f>
        <v>402.95800000000003</v>
      </c>
      <c r="C33" s="39">
        <f>IF(ISERROR(B33*3.6/1000000/'E Balans VL '!Z21*100),0,B33*3.6/1000000/'E Balans VL '!Z21*100)</f>
        <v>5.3050349937257629E-2</v>
      </c>
      <c r="D33" s="238" t="s">
        <v>721</v>
      </c>
    </row>
    <row r="34" spans="1:5">
      <c r="A34" s="172" t="s">
        <v>37</v>
      </c>
      <c r="B34" s="37">
        <f>IF( ISERROR(IND_min_ele_kWh/1000),0,IND_min_ele_kWh/1000)</f>
        <v>11133.486000000001</v>
      </c>
      <c r="C34" s="39">
        <f>IF(ISERROR(B34*3.6/1000000/'E Balans VL '!Z22*100),0,B34*3.6/1000000/'E Balans VL '!Z22*100)</f>
        <v>2.1653407326079241</v>
      </c>
      <c r="D34" s="238" t="s">
        <v>721</v>
      </c>
    </row>
    <row r="35" spans="1:5">
      <c r="A35" s="172" t="s">
        <v>39</v>
      </c>
      <c r="B35" s="37">
        <f>IF( ISERROR(IND_papier_ele_kWh/1000),0,IND_papier_ele_kWh/1000)</f>
        <v>4522.2439999999997</v>
      </c>
      <c r="C35" s="39">
        <f>IF(ISERROR(B35*3.6/1000000/'E Balans VL '!Z22*100),0,B35*3.6/1000000/'E Balans VL '!Z22*100)</f>
        <v>0.87952678397330231</v>
      </c>
      <c r="D35" s="238" t="s">
        <v>721</v>
      </c>
    </row>
    <row r="36" spans="1:5">
      <c r="A36" s="172" t="s">
        <v>34</v>
      </c>
      <c r="B36" s="37">
        <f>IF( ISERROR(IND_chemie_ele_kWh/1000),0,IND_chemie_ele_kWh/1000)</f>
        <v>69.284999999999997</v>
      </c>
      <c r="C36" s="39">
        <f>IF(ISERROR(B36*3.6/1000000/'E Balans VL '!Z24*100),0,B36*3.6/1000000/'E Balans VL '!Z24*100)</f>
        <v>1.6269984121077381E-3</v>
      </c>
      <c r="D36" s="238" t="s">
        <v>721</v>
      </c>
    </row>
    <row r="37" spans="1:5">
      <c r="A37" s="172" t="s">
        <v>270</v>
      </c>
      <c r="B37" s="37">
        <f>IF( ISERROR(IND_rest_ele_kWh/1000),0,IND_rest_ele_kWh/1000)</f>
        <v>665.89200000000005</v>
      </c>
      <c r="C37" s="39">
        <f>IF(ISERROR(B37*3.6/1000000/'E Balans VL '!Z15*100),0,B37*3.6/1000000/'E Balans VL '!Z15*100)</f>
        <v>4.9531516491363881E-3</v>
      </c>
      <c r="D37" s="238" t="s">
        <v>721</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3724.1689999999999</v>
      </c>
      <c r="C5" s="17">
        <f>'Eigen informatie GS &amp; warmtenet'!B60</f>
        <v>0</v>
      </c>
      <c r="D5" s="30">
        <f>IF(ISERROR(SUM(LB_lb_gas_kWh,LB_rest_gas_kWh)/1000),0,SUM(LB_lb_gas_kWh,LB_rest_gas_kWh)/1000)*0.902</f>
        <v>2521.7908540000003</v>
      </c>
      <c r="E5" s="17">
        <f>B17*'E Balans VL '!I25/3.6*1000000/100</f>
        <v>39.000304017709816</v>
      </c>
      <c r="F5" s="17">
        <f>B17*('E Balans VL '!L25/3.6*1000000+'E Balans VL '!N25/3.6*1000000)/100</f>
        <v>15942.273087455955</v>
      </c>
      <c r="G5" s="18"/>
      <c r="H5" s="17"/>
      <c r="I5" s="17"/>
      <c r="J5" s="17">
        <f>('E Balans VL '!D25+'E Balans VL '!E25)/3.6*1000000*landbouw!B17/100</f>
        <v>332.60167199620344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3724.1689999999999</v>
      </c>
      <c r="C8" s="21">
        <f>C5+C6</f>
        <v>0</v>
      </c>
      <c r="D8" s="21">
        <f>MAX((D5+D6),0)</f>
        <v>2521.7908540000003</v>
      </c>
      <c r="E8" s="21">
        <f>MAX((E5+E6),0)</f>
        <v>39.000304017709816</v>
      </c>
      <c r="F8" s="21">
        <f>MAX((F5+F6),0)</f>
        <v>15942.273087455955</v>
      </c>
      <c r="G8" s="21"/>
      <c r="H8" s="21"/>
      <c r="I8" s="21"/>
      <c r="J8" s="21">
        <f>MAX((J5+J6),0)</f>
        <v>332.60167199620344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0.21146764592673734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787.54125146333138</v>
      </c>
      <c r="C12" s="23">
        <f ca="1">C8*C10</f>
        <v>0</v>
      </c>
      <c r="D12" s="23">
        <f>D8*D10</f>
        <v>509.40175250800007</v>
      </c>
      <c r="E12" s="23">
        <f>E8*E10</f>
        <v>8.8530690120201285</v>
      </c>
      <c r="F12" s="23">
        <f>F8*F10</f>
        <v>4256.5869143507398</v>
      </c>
      <c r="G12" s="23"/>
      <c r="H12" s="23"/>
      <c r="I12" s="23"/>
      <c r="J12" s="23">
        <f>J8*J10</f>
        <v>117.740991886656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0.57322149884681284</v>
      </c>
      <c r="C17" s="238" t="s">
        <v>721</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202.97016756449057</v>
      </c>
      <c r="C26" s="248">
        <f>B26*'GWP N2O_CH4'!B5</f>
        <v>4262.3735188543014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69.561293181244494</v>
      </c>
      <c r="C27" s="248">
        <f>B27*'GWP N2O_CH4'!B5</f>
        <v>1460.7871568061344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5.8136336440769698</v>
      </c>
      <c r="C28" s="248">
        <f>B28*'GWP N2O_CH4'!B4</f>
        <v>1802.2264296638607</v>
      </c>
      <c r="D28" s="50"/>
    </row>
    <row r="29" spans="1:4">
      <c r="A29" s="41" t="s">
        <v>277</v>
      </c>
      <c r="B29" s="248">
        <f>B34*'ha_N2O bodem landbouw'!B4</f>
        <v>27.360066654424664</v>
      </c>
      <c r="C29" s="248">
        <f>B29*'GWP N2O_CH4'!B4</f>
        <v>8481.6206628716463</v>
      </c>
      <c r="D29" s="50"/>
    </row>
    <row r="31" spans="1:4">
      <c r="A31" s="194" t="s">
        <v>503</v>
      </c>
      <c r="B31" s="204"/>
      <c r="C31" s="226"/>
    </row>
    <row r="32" spans="1:4">
      <c r="A32" s="237"/>
      <c r="B32" s="32"/>
      <c r="C32" s="238"/>
    </row>
    <row r="33" spans="1:5">
      <c r="A33" s="239"/>
      <c r="B33" s="225" t="s">
        <v>638</v>
      </c>
      <c r="C33" s="240" t="s">
        <v>182</v>
      </c>
    </row>
    <row r="34" spans="1:5">
      <c r="A34" s="258" t="s">
        <v>112</v>
      </c>
      <c r="B34" s="35">
        <f>IF(ISERROR(aantalCultuurgronden/'ha_N2O bodem landbouw'!B5),0,aantalCultuurgronden/'ha_N2O bodem landbouw'!B5)</f>
        <v>4.5216103534617604E-3</v>
      </c>
      <c r="C34" s="259" t="s">
        <v>637</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1.8593461157191338E-5</v>
      </c>
      <c r="C5" s="446" t="s">
        <v>211</v>
      </c>
      <c r="D5" s="431">
        <f>SUM(D6:D11)</f>
        <v>9.0329702201110676E-5</v>
      </c>
      <c r="E5" s="431">
        <f>SUM(E6:E11)</f>
        <v>9.9112239315514942E-3</v>
      </c>
      <c r="F5" s="444" t="s">
        <v>211</v>
      </c>
      <c r="G5" s="431">
        <f>SUM(G6:G11)</f>
        <v>1.6090614107337842</v>
      </c>
      <c r="H5" s="431">
        <f>SUM(H6:H11)</f>
        <v>0.30628902916800599</v>
      </c>
      <c r="I5" s="446" t="s">
        <v>211</v>
      </c>
      <c r="J5" s="446" t="s">
        <v>211</v>
      </c>
      <c r="K5" s="446" t="s">
        <v>211</v>
      </c>
      <c r="L5" s="446" t="s">
        <v>211</v>
      </c>
      <c r="M5" s="431">
        <f>SUM(M6:M11)</f>
        <v>8.3653462681477345E-2</v>
      </c>
      <c r="N5" s="446" t="s">
        <v>211</v>
      </c>
      <c r="O5" s="446" t="s">
        <v>211</v>
      </c>
      <c r="P5" s="447" t="s">
        <v>211</v>
      </c>
    </row>
    <row r="6" spans="1:18">
      <c r="A6" s="263" t="s">
        <v>775</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9.898228135876251E-6</v>
      </c>
      <c r="C6" s="432"/>
      <c r="D6" s="432">
        <f>vkm_2011_GW_PW*SUMIFS(TableVerdeelsleutelVkm[CNG],TableVerdeelsleutelVkm[Voertuigtype],"Lichte voertuigen")*SUMIFS(TableECFTransport[EnergieConsumptieFactor (PJ per km)],TableECFTransport[Index],CONCATENATE($A6,"_CNG_CNG"))</f>
        <v>4.2670110924994358E-5</v>
      </c>
      <c r="E6" s="434">
        <f>vkm_2011_GW_PW*SUMIFS(TableVerdeelsleutelVkm[LPG],TableVerdeelsleutelVkm[Voertuigtype],"Lichte voertuigen")*SUMIFS(TableECFTransport[EnergieConsumptieFactor (PJ per km)],TableECFTransport[Index],CONCATENATE($A6,"_LPG_LPG"))</f>
        <v>4.4395632234401003E-3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0.54607846432231522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0.14377114326108853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3.0232517070065093E-2</v>
      </c>
      <c r="N6" s="432"/>
      <c r="O6" s="432"/>
      <c r="P6" s="433"/>
    </row>
    <row r="7" spans="1:18">
      <c r="A7" s="263" t="s">
        <v>777</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0.22030629415313943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7.5539975338197749E-5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9.5168191250012621E-3</v>
      </c>
      <c r="N7" s="432"/>
      <c r="O7" s="432"/>
      <c r="P7" s="433"/>
    </row>
    <row r="8" spans="1:18">
      <c r="A8" s="263" t="s">
        <v>778</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2.7003632022695489E-6</v>
      </c>
      <c r="C8" s="432"/>
      <c r="D8" s="434">
        <f>vkm_2011_NGW_PW*SUMIFS(TableVerdeelsleutelVkm[CNG],TableVerdeelsleutelVkm[Voertuigtype],"Lichte voertuigen")*SUMIFS(TableECFTransport[EnergieConsumptieFactor (PJ per km)],TableECFTransport[Index],CONCATENATE($A8,"_CNG_CNG"))</f>
        <v>2.0884151202604038E-5</v>
      </c>
      <c r="E8" s="434">
        <f>vkm_2011_NGW_PW*SUMIFS(TableVerdeelsleutelVkm[LPG],TableVerdeelsleutelVkm[Voertuigtype],"Lichte voertuigen")*SUMIFS(TableECFTransport[EnergieConsumptieFactor (PJ per km)],TableECFTransport[Index],CONCATENATE($A8,"_LPG_LPG"))</f>
        <v>1.9839894530401091E-3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0.23146273103859941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6.7169443125015493E-2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1.3102698099607117E-2</v>
      </c>
      <c r="N8" s="432"/>
      <c r="O8" s="432"/>
      <c r="P8" s="433"/>
    </row>
    <row r="9" spans="1:18">
      <c r="A9" s="263" t="s">
        <v>779</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3.0971627446607667E-3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9.2256341582756508E-7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1.3378517761318317E-4</v>
      </c>
      <c r="N9" s="432"/>
      <c r="O9" s="432"/>
      <c r="P9" s="433"/>
    </row>
    <row r="10" spans="1:18">
      <c r="A10" s="263" t="s">
        <v>780</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5.9948698190455372E-6</v>
      </c>
      <c r="C10" s="432"/>
      <c r="D10" s="434">
        <f>vkm_2011_SW_PW*SUMIFS(TableVerdeelsleutelVkm[CNG],TableVerdeelsleutelVkm[Voertuigtype],"Lichte voertuigen")*SUMIFS(TableECFTransport[EnergieConsumptieFactor (PJ per km)],TableECFTransport[Index],CONCATENATE($A10,"_CNG_CNG"))</f>
        <v>2.6775440073512286E-5</v>
      </c>
      <c r="E10" s="434">
        <f>vkm_2011_SW_PW*SUMIFS(TableVerdeelsleutelVkm[LPG],TableVerdeelsleutelVkm[Voertuigtype],"Lichte voertuigen")*SUMIFS(TableECFTransport[EnergieConsumptieFactor (PJ per km)],TableECFTransport[Index],CONCATENATE($A10,"_LPG_LPG"))</f>
        <v>3.4876712550712852E-3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0.39439074979532185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9.5193789526160283E-2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2.1434853062148037E-2</v>
      </c>
      <c r="N10" s="432"/>
      <c r="O10" s="432"/>
      <c r="P10" s="433"/>
    </row>
    <row r="11" spans="1:18">
      <c r="A11" s="4" t="s">
        <v>781</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0.21372600867974739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7.8190716987682857E-5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9.2327901470426483E-3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5.1648503214420378</v>
      </c>
      <c r="C14" s="21"/>
      <c r="D14" s="21">
        <f t="shared" ref="D14:M14" si="0">((D5)*10^9/3600)+D12</f>
        <v>25.091583944752966</v>
      </c>
      <c r="E14" s="21">
        <f t="shared" si="0"/>
        <v>2753.1177587643037</v>
      </c>
      <c r="F14" s="21"/>
      <c r="G14" s="21">
        <f t="shared" si="0"/>
        <v>446961.5029816067</v>
      </c>
      <c r="H14" s="21">
        <f t="shared" si="0"/>
        <v>85080.285880001669</v>
      </c>
      <c r="I14" s="21"/>
      <c r="J14" s="21"/>
      <c r="K14" s="21"/>
      <c r="L14" s="21"/>
      <c r="M14" s="21">
        <f t="shared" si="0"/>
        <v>23237.072967077038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0.21146764592673734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1.0921987390393004</v>
      </c>
      <c r="C18" s="23"/>
      <c r="D18" s="23">
        <f t="shared" ref="D18:M18" si="1">D14*D16</f>
        <v>5.0684999568400997</v>
      </c>
      <c r="E18" s="23">
        <f t="shared" si="1"/>
        <v>624.95773123949698</v>
      </c>
      <c r="F18" s="23"/>
      <c r="G18" s="23">
        <f t="shared" si="1"/>
        <v>119338.72129608899</v>
      </c>
      <c r="H18" s="23">
        <f t="shared" si="1"/>
        <v>21184.991184120416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785</v>
      </c>
      <c r="D23" s="900" t="s">
        <v>786</v>
      </c>
      <c r="E23" s="900" t="s">
        <v>787</v>
      </c>
      <c r="F23" s="900" t="s">
        <v>732</v>
      </c>
      <c r="G23" s="900" t="s">
        <v>788</v>
      </c>
      <c r="H23" s="900" t="s">
        <v>789</v>
      </c>
      <c r="I23" s="900" t="s">
        <v>119</v>
      </c>
      <c r="J23" s="900" t="s">
        <v>790</v>
      </c>
      <c r="K23" s="900" t="s">
        <v>791</v>
      </c>
      <c r="L23" s="901" t="s">
        <v>792</v>
      </c>
      <c r="M23" s="129" t="s">
        <v>182</v>
      </c>
      <c r="N23" s="269" t="s">
        <v>316</v>
      </c>
    </row>
    <row r="24" spans="1:18" ht="17.45" customHeight="1">
      <c r="A24" s="32" t="s">
        <v>774</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797</v>
      </c>
      <c r="N24" s="271">
        <f>SUM(B24:K24)</f>
        <v>1.000033814708166</v>
      </c>
    </row>
    <row r="25" spans="1:18">
      <c r="A25" s="32" t="s">
        <v>776</v>
      </c>
      <c r="B25" s="903"/>
      <c r="C25" s="902">
        <v>0.99947168699332112</v>
      </c>
      <c r="D25" s="903"/>
      <c r="E25" s="903"/>
      <c r="F25" s="902"/>
      <c r="G25" s="903"/>
      <c r="H25" s="903"/>
      <c r="I25" s="903"/>
      <c r="J25" s="903">
        <v>5.2831300667896281E-4</v>
      </c>
      <c r="K25" s="903"/>
      <c r="M25" s="270" t="s">
        <v>797</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828</v>
      </c>
      <c r="F31" s="53"/>
      <c r="G31" s="43"/>
      <c r="H31" s="43"/>
      <c r="I31" s="43"/>
      <c r="J31" s="43"/>
      <c r="K31" s="43"/>
      <c r="L31" s="175"/>
    </row>
    <row r="32" spans="1:18">
      <c r="A32" s="279" t="s">
        <v>321</v>
      </c>
      <c r="B32" s="280"/>
      <c r="C32" s="281"/>
      <c r="D32" s="280">
        <v>3.73E-2</v>
      </c>
      <c r="E32" s="893" t="s">
        <v>828</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796</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828</v>
      </c>
      <c r="F38" s="283"/>
      <c r="G38" s="58"/>
      <c r="H38" s="58"/>
      <c r="I38" s="58"/>
      <c r="J38" s="58"/>
      <c r="K38" s="58"/>
      <c r="L38" s="285"/>
    </row>
    <row r="39" spans="1:16">
      <c r="A39" s="279" t="s">
        <v>326</v>
      </c>
      <c r="B39" s="280"/>
      <c r="C39" s="281"/>
      <c r="D39" s="280">
        <v>2.8799999999999999E-2</v>
      </c>
      <c r="E39" s="893" t="s">
        <v>828</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796</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6.8359059590036353E-2</v>
      </c>
      <c r="H50" s="322">
        <f t="shared" si="2"/>
        <v>0</v>
      </c>
      <c r="I50" s="322">
        <f t="shared" si="2"/>
        <v>0</v>
      </c>
      <c r="J50" s="322">
        <f t="shared" si="2"/>
        <v>0</v>
      </c>
      <c r="K50" s="322">
        <f t="shared" si="2"/>
        <v>0</v>
      </c>
      <c r="L50" s="322">
        <f t="shared" si="2"/>
        <v>0</v>
      </c>
      <c r="M50" s="322">
        <f t="shared" si="2"/>
        <v>2.9138497259907328E-3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6.8359059590036353E-2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2.9138497259907328E-3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18988.627663898984</v>
      </c>
      <c r="H54" s="21">
        <f t="shared" si="3"/>
        <v>0</v>
      </c>
      <c r="I54" s="21">
        <f t="shared" si="3"/>
        <v>0</v>
      </c>
      <c r="J54" s="21">
        <f t="shared" si="3"/>
        <v>0</v>
      </c>
      <c r="K54" s="21">
        <f t="shared" si="3"/>
        <v>0</v>
      </c>
      <c r="L54" s="21">
        <f t="shared" si="3"/>
        <v>0</v>
      </c>
      <c r="M54" s="21">
        <f t="shared" si="3"/>
        <v>809.40270166409243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0.21146764592673734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5069.9635862610294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573</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651</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574</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191813.022</v>
      </c>
      <c r="D10" s="687">
        <f ca="1">tertiair!C16</f>
        <v>1444.5</v>
      </c>
      <c r="E10" s="687">
        <f ca="1">tertiair!D16</f>
        <v>185438.02585400001</v>
      </c>
      <c r="F10" s="687">
        <f>tertiair!E16</f>
        <v>3738.8396514251058</v>
      </c>
      <c r="G10" s="687">
        <f ca="1">tertiair!F16</f>
        <v>34975.673383306406</v>
      </c>
      <c r="H10" s="687">
        <f>tertiair!G16</f>
        <v>0</v>
      </c>
      <c r="I10" s="687">
        <f>tertiair!H16</f>
        <v>0</v>
      </c>
      <c r="J10" s="687">
        <f>tertiair!I16</f>
        <v>0</v>
      </c>
      <c r="K10" s="687">
        <f>tertiair!J16</f>
        <v>0</v>
      </c>
      <c r="L10" s="687">
        <f>tertiair!K16</f>
        <v>0</v>
      </c>
      <c r="M10" s="687">
        <f ca="1">tertiair!L16</f>
        <v>0</v>
      </c>
      <c r="N10" s="687">
        <f>tertiair!M16</f>
        <v>0</v>
      </c>
      <c r="O10" s="687">
        <f ca="1">tertiair!N16</f>
        <v>520.17912276242259</v>
      </c>
      <c r="P10" s="687">
        <f>tertiair!O16</f>
        <v>1.5633333333333335</v>
      </c>
      <c r="Q10" s="688">
        <f>tertiair!P16</f>
        <v>152.53333333333333</v>
      </c>
      <c r="R10" s="690">
        <f ca="1">SUM(C10:Q10)</f>
        <v>418084.33667816059</v>
      </c>
      <c r="S10" s="67"/>
    </row>
    <row r="11" spans="1:19" s="456" customFormat="1">
      <c r="A11" s="802" t="s">
        <v>225</v>
      </c>
      <c r="B11" s="807"/>
      <c r="C11" s="687">
        <f>huishoudens!B8</f>
        <v>141321.11250411114</v>
      </c>
      <c r="D11" s="687">
        <f>huishoudens!C8</f>
        <v>0</v>
      </c>
      <c r="E11" s="687">
        <f>huishoudens!D8</f>
        <v>318078.84550200001</v>
      </c>
      <c r="F11" s="687">
        <f>huishoudens!E8</f>
        <v>9771.9861959506325</v>
      </c>
      <c r="G11" s="687">
        <f>huishoudens!F8</f>
        <v>108804.80853519609</v>
      </c>
      <c r="H11" s="687">
        <f>huishoudens!G8</f>
        <v>0</v>
      </c>
      <c r="I11" s="687">
        <f>huishoudens!H8</f>
        <v>0</v>
      </c>
      <c r="J11" s="687">
        <f>huishoudens!I8</f>
        <v>0</v>
      </c>
      <c r="K11" s="687">
        <f>huishoudens!J8</f>
        <v>0</v>
      </c>
      <c r="L11" s="687">
        <f>huishoudens!K8</f>
        <v>0</v>
      </c>
      <c r="M11" s="687">
        <f>huishoudens!L8</f>
        <v>0</v>
      </c>
      <c r="N11" s="687">
        <f>huishoudens!M8</f>
        <v>0</v>
      </c>
      <c r="O11" s="687">
        <f>huishoudens!N8</f>
        <v>27241.819420887481</v>
      </c>
      <c r="P11" s="687">
        <f>huishoudens!O8</f>
        <v>317.35666666666668</v>
      </c>
      <c r="Q11" s="688">
        <f>huishoudens!P8</f>
        <v>1067.7333333333333</v>
      </c>
      <c r="R11" s="690">
        <f>SUM(C11:Q11)</f>
        <v>606603.66215814534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660</v>
      </c>
      <c r="B13" s="811" t="s">
        <v>658</v>
      </c>
      <c r="C13" s="687">
        <f>industrie!B18</f>
        <v>62482.986000000004</v>
      </c>
      <c r="D13" s="687">
        <f>industrie!C18</f>
        <v>133.92857142857144</v>
      </c>
      <c r="E13" s="687">
        <f>industrie!D18</f>
        <v>76364.575459142856</v>
      </c>
      <c r="F13" s="687">
        <f>industrie!E18</f>
        <v>1060.7016004638876</v>
      </c>
      <c r="G13" s="687">
        <f>industrie!F18</f>
        <v>28118.368807735602</v>
      </c>
      <c r="H13" s="687">
        <f>industrie!G18</f>
        <v>0</v>
      </c>
      <c r="I13" s="687">
        <f>industrie!H18</f>
        <v>0</v>
      </c>
      <c r="J13" s="687">
        <f>industrie!I18</f>
        <v>0</v>
      </c>
      <c r="K13" s="687">
        <f>industrie!J18</f>
        <v>204.79607477479763</v>
      </c>
      <c r="L13" s="687">
        <f>industrie!K18</f>
        <v>0</v>
      </c>
      <c r="M13" s="687">
        <f>industrie!L18</f>
        <v>0</v>
      </c>
      <c r="N13" s="687">
        <f>industrie!M18</f>
        <v>0</v>
      </c>
      <c r="O13" s="687">
        <f>industrie!N18</f>
        <v>2428.4108709328448</v>
      </c>
      <c r="P13" s="687">
        <f>industrie!O18</f>
        <v>0</v>
      </c>
      <c r="Q13" s="688">
        <f>industrie!P18</f>
        <v>0</v>
      </c>
      <c r="R13" s="690">
        <f>SUM(C13:Q13)</f>
        <v>170793.76738447856</v>
      </c>
      <c r="S13" s="67"/>
    </row>
    <row r="14" spans="1:19" s="456" customFormat="1">
      <c r="A14" s="802"/>
      <c r="B14" s="811" t="s">
        <v>659</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925</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395617.12050411117</v>
      </c>
      <c r="D16" s="720">
        <f t="shared" ref="D16:R16" ca="1" si="0">SUM(D9:D15)</f>
        <v>1578.4285714285716</v>
      </c>
      <c r="E16" s="720">
        <f t="shared" ca="1" si="0"/>
        <v>579881.44681514287</v>
      </c>
      <c r="F16" s="720">
        <f t="shared" si="0"/>
        <v>14571.527447839626</v>
      </c>
      <c r="G16" s="720">
        <f t="shared" ca="1" si="0"/>
        <v>171898.85072623807</v>
      </c>
      <c r="H16" s="720">
        <f t="shared" si="0"/>
        <v>0</v>
      </c>
      <c r="I16" s="720">
        <f t="shared" si="0"/>
        <v>0</v>
      </c>
      <c r="J16" s="720">
        <f t="shared" si="0"/>
        <v>0</v>
      </c>
      <c r="K16" s="720">
        <f t="shared" si="0"/>
        <v>204.79607477479763</v>
      </c>
      <c r="L16" s="720">
        <f t="shared" si="0"/>
        <v>0</v>
      </c>
      <c r="M16" s="720">
        <f t="shared" ca="1" si="0"/>
        <v>0</v>
      </c>
      <c r="N16" s="720">
        <f t="shared" si="0"/>
        <v>0</v>
      </c>
      <c r="O16" s="720">
        <f t="shared" ca="1" si="0"/>
        <v>30190.409414582748</v>
      </c>
      <c r="P16" s="720">
        <f t="shared" si="0"/>
        <v>318.92</v>
      </c>
      <c r="Q16" s="720">
        <f t="shared" si="0"/>
        <v>1220.2666666666667</v>
      </c>
      <c r="R16" s="720">
        <f t="shared" ca="1" si="0"/>
        <v>1195481.7662207845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18988.627663898984</v>
      </c>
      <c r="I19" s="687">
        <f>transport!H54</f>
        <v>0</v>
      </c>
      <c r="J19" s="687">
        <f>transport!I54</f>
        <v>0</v>
      </c>
      <c r="K19" s="687">
        <f>transport!J54</f>
        <v>0</v>
      </c>
      <c r="L19" s="687">
        <f>transport!K54</f>
        <v>0</v>
      </c>
      <c r="M19" s="687">
        <f>transport!L54</f>
        <v>0</v>
      </c>
      <c r="N19" s="687">
        <f>transport!M54</f>
        <v>809.40270166409243</v>
      </c>
      <c r="O19" s="687">
        <f>transport!N54</f>
        <v>0</v>
      </c>
      <c r="P19" s="687">
        <f>transport!O54</f>
        <v>0</v>
      </c>
      <c r="Q19" s="688">
        <f>transport!P54</f>
        <v>0</v>
      </c>
      <c r="R19" s="690">
        <f>SUM(C19:Q19)</f>
        <v>19798.030365563078</v>
      </c>
      <c r="S19" s="67"/>
    </row>
    <row r="20" spans="1:19" s="456" customFormat="1">
      <c r="A20" s="802" t="s">
        <v>307</v>
      </c>
      <c r="B20" s="807"/>
      <c r="C20" s="687">
        <f>transport!B14</f>
        <v>5.1648503214420378</v>
      </c>
      <c r="D20" s="687">
        <f>transport!C14</f>
        <v>0</v>
      </c>
      <c r="E20" s="687">
        <f>transport!D14</f>
        <v>25.091583944752966</v>
      </c>
      <c r="F20" s="687">
        <f>transport!E14</f>
        <v>2753.1177587643037</v>
      </c>
      <c r="G20" s="687">
        <f>transport!F14</f>
        <v>0</v>
      </c>
      <c r="H20" s="687">
        <f>transport!G14</f>
        <v>446961.5029816067</v>
      </c>
      <c r="I20" s="687">
        <f>transport!H14</f>
        <v>85080.285880001669</v>
      </c>
      <c r="J20" s="687">
        <f>transport!I14</f>
        <v>0</v>
      </c>
      <c r="K20" s="687">
        <f>transport!J14</f>
        <v>0</v>
      </c>
      <c r="L20" s="687">
        <f>transport!K14</f>
        <v>0</v>
      </c>
      <c r="M20" s="687">
        <f>transport!L14</f>
        <v>0</v>
      </c>
      <c r="N20" s="687">
        <f>transport!M14</f>
        <v>23237.072967077038</v>
      </c>
      <c r="O20" s="687">
        <f>transport!N14</f>
        <v>0</v>
      </c>
      <c r="P20" s="687">
        <f>transport!O14</f>
        <v>0</v>
      </c>
      <c r="Q20" s="688">
        <f>transport!P14</f>
        <v>0</v>
      </c>
      <c r="R20" s="690">
        <f>SUM(C20:Q20)</f>
        <v>558062.23602171591</v>
      </c>
      <c r="S20" s="67"/>
    </row>
    <row r="21" spans="1:19" s="456" customFormat="1" ht="15" thickBot="1">
      <c r="A21" s="824" t="s">
        <v>926</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5.1648503214420378</v>
      </c>
      <c r="D22" s="805">
        <f t="shared" ref="D22:R22" si="1">SUM(D18:D21)</f>
        <v>0</v>
      </c>
      <c r="E22" s="805">
        <f t="shared" si="1"/>
        <v>25.091583944752966</v>
      </c>
      <c r="F22" s="805">
        <f t="shared" si="1"/>
        <v>2753.1177587643037</v>
      </c>
      <c r="G22" s="805">
        <f t="shared" si="1"/>
        <v>0</v>
      </c>
      <c r="H22" s="805">
        <f t="shared" si="1"/>
        <v>465950.13064550568</v>
      </c>
      <c r="I22" s="805">
        <f t="shared" si="1"/>
        <v>85080.285880001669</v>
      </c>
      <c r="J22" s="805">
        <f t="shared" si="1"/>
        <v>0</v>
      </c>
      <c r="K22" s="805">
        <f t="shared" si="1"/>
        <v>0</v>
      </c>
      <c r="L22" s="805">
        <f t="shared" si="1"/>
        <v>0</v>
      </c>
      <c r="M22" s="805">
        <f t="shared" si="1"/>
        <v>0</v>
      </c>
      <c r="N22" s="805">
        <f t="shared" si="1"/>
        <v>24046.475668741132</v>
      </c>
      <c r="O22" s="805">
        <f t="shared" si="1"/>
        <v>0</v>
      </c>
      <c r="P22" s="805">
        <f t="shared" si="1"/>
        <v>0</v>
      </c>
      <c r="Q22" s="805">
        <f t="shared" si="1"/>
        <v>0</v>
      </c>
      <c r="R22" s="805">
        <f t="shared" si="1"/>
        <v>577860.26638727903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653</v>
      </c>
      <c r="B24" s="807"/>
      <c r="C24" s="687">
        <f>+landbouw!B8</f>
        <v>3724.1689999999999</v>
      </c>
      <c r="D24" s="687">
        <f>+landbouw!C8</f>
        <v>0</v>
      </c>
      <c r="E24" s="687">
        <f>+landbouw!D8</f>
        <v>2521.7908540000003</v>
      </c>
      <c r="F24" s="687">
        <f>+landbouw!E8</f>
        <v>39.000304017709816</v>
      </c>
      <c r="G24" s="687">
        <f>+landbouw!F8</f>
        <v>15942.273087455955</v>
      </c>
      <c r="H24" s="687">
        <f>+landbouw!G8</f>
        <v>0</v>
      </c>
      <c r="I24" s="687">
        <f>+landbouw!H8</f>
        <v>0</v>
      </c>
      <c r="J24" s="687">
        <f>+landbouw!I8</f>
        <v>0</v>
      </c>
      <c r="K24" s="687">
        <f>+landbouw!J8</f>
        <v>332.60167199620344</v>
      </c>
      <c r="L24" s="687">
        <f>+landbouw!K8</f>
        <v>0</v>
      </c>
      <c r="M24" s="687">
        <f>+landbouw!L8</f>
        <v>0</v>
      </c>
      <c r="N24" s="687">
        <f>+landbouw!M8</f>
        <v>0</v>
      </c>
      <c r="O24" s="687">
        <f>+landbouw!N8</f>
        <v>0</v>
      </c>
      <c r="P24" s="687">
        <f>+landbouw!O8</f>
        <v>0</v>
      </c>
      <c r="Q24" s="688">
        <f>+landbouw!P8</f>
        <v>0</v>
      </c>
      <c r="R24" s="690">
        <f>SUM(C24:Q24)</f>
        <v>22559.834917469867</v>
      </c>
      <c r="S24" s="67"/>
    </row>
    <row r="25" spans="1:19" s="456" customFormat="1" ht="15" thickBot="1">
      <c r="A25" s="824" t="s">
        <v>927</v>
      </c>
      <c r="B25" s="988"/>
      <c r="C25" s="989">
        <f>IF(Onbekend_ele_kWh="---",0,Onbekend_ele_kWh)/1000+IF(REST_rest_ele_kWh="---",0,REST_rest_ele_kWh)/1000</f>
        <v>17333.755000000001</v>
      </c>
      <c r="D25" s="989"/>
      <c r="E25" s="989">
        <f>IF(onbekend_gas_kWh="---",0,onbekend_gas_kWh)/1000+IF(REST_rest_gas_kWh="---",0,REST_rest_gas_kWh)/1000</f>
        <v>25952</v>
      </c>
      <c r="F25" s="989"/>
      <c r="G25" s="989"/>
      <c r="H25" s="989"/>
      <c r="I25" s="989"/>
      <c r="J25" s="989"/>
      <c r="K25" s="989"/>
      <c r="L25" s="989"/>
      <c r="M25" s="989"/>
      <c r="N25" s="989"/>
      <c r="O25" s="989"/>
      <c r="P25" s="989"/>
      <c r="Q25" s="990"/>
      <c r="R25" s="690">
        <f>SUM(C25:Q25)</f>
        <v>43285.755000000005</v>
      </c>
      <c r="S25" s="67"/>
    </row>
    <row r="26" spans="1:19" s="456" customFormat="1" ht="15.75" thickBot="1">
      <c r="A26" s="693" t="s">
        <v>928</v>
      </c>
      <c r="B26" s="810"/>
      <c r="C26" s="805">
        <f>SUM(C24:C25)</f>
        <v>21057.923999999999</v>
      </c>
      <c r="D26" s="805">
        <f t="shared" ref="D26:R26" si="2">SUM(D24:D25)</f>
        <v>0</v>
      </c>
      <c r="E26" s="805">
        <f t="shared" si="2"/>
        <v>28473.790853999999</v>
      </c>
      <c r="F26" s="805">
        <f t="shared" si="2"/>
        <v>39.000304017709816</v>
      </c>
      <c r="G26" s="805">
        <f t="shared" si="2"/>
        <v>15942.273087455955</v>
      </c>
      <c r="H26" s="805">
        <f t="shared" si="2"/>
        <v>0</v>
      </c>
      <c r="I26" s="805">
        <f t="shared" si="2"/>
        <v>0</v>
      </c>
      <c r="J26" s="805">
        <f t="shared" si="2"/>
        <v>0</v>
      </c>
      <c r="K26" s="805">
        <f t="shared" si="2"/>
        <v>332.60167199620344</v>
      </c>
      <c r="L26" s="805">
        <f t="shared" si="2"/>
        <v>0</v>
      </c>
      <c r="M26" s="805">
        <f t="shared" si="2"/>
        <v>0</v>
      </c>
      <c r="N26" s="805">
        <f t="shared" si="2"/>
        <v>0</v>
      </c>
      <c r="O26" s="805">
        <f t="shared" si="2"/>
        <v>0</v>
      </c>
      <c r="P26" s="805">
        <f t="shared" si="2"/>
        <v>0</v>
      </c>
      <c r="Q26" s="805">
        <f t="shared" si="2"/>
        <v>0</v>
      </c>
      <c r="R26" s="805">
        <f t="shared" si="2"/>
        <v>65845.589917469872</v>
      </c>
      <c r="S26" s="67"/>
    </row>
    <row r="27" spans="1:19" s="456" customFormat="1" ht="17.25" thickTop="1" thickBot="1">
      <c r="A27" s="694" t="s">
        <v>116</v>
      </c>
      <c r="B27" s="797"/>
      <c r="C27" s="695">
        <f ca="1">C22+C16+C26</f>
        <v>416680.20935443259</v>
      </c>
      <c r="D27" s="695">
        <f t="shared" ref="D27:R27" ca="1" si="3">D22+D16+D26</f>
        <v>1578.4285714285716</v>
      </c>
      <c r="E27" s="695">
        <f t="shared" ca="1" si="3"/>
        <v>608380.32925308764</v>
      </c>
      <c r="F27" s="695">
        <f t="shared" si="3"/>
        <v>17363.645510621642</v>
      </c>
      <c r="G27" s="695">
        <f t="shared" ca="1" si="3"/>
        <v>187841.12381369402</v>
      </c>
      <c r="H27" s="695">
        <f t="shared" si="3"/>
        <v>465950.13064550568</v>
      </c>
      <c r="I27" s="695">
        <f t="shared" si="3"/>
        <v>85080.285880001669</v>
      </c>
      <c r="J27" s="695">
        <f t="shared" si="3"/>
        <v>0</v>
      </c>
      <c r="K27" s="695">
        <f t="shared" si="3"/>
        <v>537.39774677100104</v>
      </c>
      <c r="L27" s="695">
        <f t="shared" si="3"/>
        <v>0</v>
      </c>
      <c r="M27" s="695">
        <f t="shared" ca="1" si="3"/>
        <v>0</v>
      </c>
      <c r="N27" s="695">
        <f t="shared" si="3"/>
        <v>24046.475668741132</v>
      </c>
      <c r="O27" s="695">
        <f t="shared" ca="1" si="3"/>
        <v>30190.409414582748</v>
      </c>
      <c r="P27" s="695">
        <f t="shared" si="3"/>
        <v>318.92</v>
      </c>
      <c r="Q27" s="695">
        <f t="shared" si="3"/>
        <v>1220.2666666666667</v>
      </c>
      <c r="R27" s="695">
        <f t="shared" ca="1" si="3"/>
        <v>1839187.6225255332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40562.248220433474</v>
      </c>
      <c r="D40" s="687">
        <f ca="1">tertiair!C20</f>
        <v>343.28117647058821</v>
      </c>
      <c r="E40" s="687">
        <f ca="1">tertiair!D20</f>
        <v>37458.481222508002</v>
      </c>
      <c r="F40" s="687">
        <f>tertiair!E20</f>
        <v>848.71660087349903</v>
      </c>
      <c r="G40" s="687">
        <f ca="1">tertiair!F20</f>
        <v>9338.5047933428104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88551.232013628367</v>
      </c>
    </row>
    <row r="41" spans="1:18">
      <c r="A41" s="815" t="s">
        <v>225</v>
      </c>
      <c r="B41" s="822"/>
      <c r="C41" s="687">
        <f ca="1">huishoudens!B12</f>
        <v>29884.842980991987</v>
      </c>
      <c r="D41" s="687">
        <f ca="1">huishoudens!C12</f>
        <v>0</v>
      </c>
      <c r="E41" s="687">
        <f>huishoudens!D12</f>
        <v>64251.926791404003</v>
      </c>
      <c r="F41" s="687">
        <f>huishoudens!E12</f>
        <v>2218.2408664807936</v>
      </c>
      <c r="G41" s="687">
        <f>huishoudens!F12</f>
        <v>29050.883878897359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125405.89451777414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661</v>
      </c>
      <c r="B43" s="830" t="s">
        <v>658</v>
      </c>
      <c r="C43" s="687">
        <f ca="1">industrie!B22</f>
        <v>13213.129959893287</v>
      </c>
      <c r="D43" s="687">
        <f ca="1">industrie!C22</f>
        <v>31.827731092436977</v>
      </c>
      <c r="E43" s="687">
        <f>industrie!D22</f>
        <v>15425.644242746857</v>
      </c>
      <c r="F43" s="687">
        <f>industrie!E22</f>
        <v>240.77926330530249</v>
      </c>
      <c r="G43" s="687">
        <f>industrie!F22</f>
        <v>7507.604471665406</v>
      </c>
      <c r="H43" s="687">
        <f>industrie!G22</f>
        <v>0</v>
      </c>
      <c r="I43" s="687">
        <f>industrie!H22</f>
        <v>0</v>
      </c>
      <c r="J43" s="687">
        <f>industrie!I22</f>
        <v>0</v>
      </c>
      <c r="K43" s="687">
        <f>industrie!J22</f>
        <v>72.497810470278353</v>
      </c>
      <c r="L43" s="687">
        <f>industrie!K22</f>
        <v>0</v>
      </c>
      <c r="M43" s="687">
        <f>industrie!L22</f>
        <v>0</v>
      </c>
      <c r="N43" s="687">
        <f>industrie!M22</f>
        <v>0</v>
      </c>
      <c r="O43" s="687">
        <f>industrie!N22</f>
        <v>0</v>
      </c>
      <c r="P43" s="687">
        <f>industrie!O22</f>
        <v>0</v>
      </c>
      <c r="Q43" s="762">
        <f>industrie!P22</f>
        <v>0</v>
      </c>
      <c r="R43" s="842">
        <f t="shared" ca="1" si="4"/>
        <v>36491.483479173563</v>
      </c>
    </row>
    <row r="44" spans="1:18">
      <c r="A44" s="815"/>
      <c r="B44" s="822" t="s">
        <v>659</v>
      </c>
      <c r="C44" s="687"/>
      <c r="D44" s="687"/>
      <c r="E44" s="687"/>
      <c r="F44" s="687"/>
      <c r="G44" s="687"/>
      <c r="H44" s="687"/>
      <c r="I44" s="687"/>
      <c r="J44" s="687"/>
      <c r="K44" s="687"/>
      <c r="L44" s="687"/>
      <c r="M44" s="687"/>
      <c r="N44" s="687"/>
      <c r="O44" s="687"/>
      <c r="P44" s="687"/>
      <c r="Q44" s="762"/>
      <c r="R44" s="843">
        <f t="shared" si="4"/>
        <v>0</v>
      </c>
    </row>
    <row r="45" spans="1:18" ht="15" thickBot="1">
      <c r="A45" s="987" t="s">
        <v>925</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83660.221161318739</v>
      </c>
      <c r="D46" s="720">
        <f t="shared" ref="D46:Q46" ca="1" si="5">SUM(D39:D45)</f>
        <v>375.10890756302518</v>
      </c>
      <c r="E46" s="720">
        <f t="shared" ca="1" si="5"/>
        <v>117136.05225665886</v>
      </c>
      <c r="F46" s="720">
        <f t="shared" si="5"/>
        <v>3307.7367306595952</v>
      </c>
      <c r="G46" s="720">
        <f t="shared" ca="1" si="5"/>
        <v>45896.993143905573</v>
      </c>
      <c r="H46" s="720">
        <f t="shared" si="5"/>
        <v>0</v>
      </c>
      <c r="I46" s="720">
        <f t="shared" si="5"/>
        <v>0</v>
      </c>
      <c r="J46" s="720">
        <f t="shared" si="5"/>
        <v>0</v>
      </c>
      <c r="K46" s="720">
        <f t="shared" si="5"/>
        <v>72.497810470278353</v>
      </c>
      <c r="L46" s="720">
        <f t="shared" si="5"/>
        <v>0</v>
      </c>
      <c r="M46" s="720">
        <f t="shared" ca="1" si="5"/>
        <v>0</v>
      </c>
      <c r="N46" s="720">
        <f t="shared" si="5"/>
        <v>0</v>
      </c>
      <c r="O46" s="720">
        <f t="shared" ca="1" si="5"/>
        <v>0</v>
      </c>
      <c r="P46" s="720">
        <f t="shared" si="5"/>
        <v>0</v>
      </c>
      <c r="Q46" s="720">
        <f t="shared" si="5"/>
        <v>0</v>
      </c>
      <c r="R46" s="720">
        <f ca="1">SUM(R39:R45)</f>
        <v>250448.61001057609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5069.9635862610294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5069.9635862610294</v>
      </c>
    </row>
    <row r="50" spans="1:18">
      <c r="A50" s="818" t="s">
        <v>307</v>
      </c>
      <c r="B50" s="828"/>
      <c r="C50" s="995">
        <f ca="1">transport!B18</f>
        <v>1.0921987390393004</v>
      </c>
      <c r="D50" s="995">
        <f>transport!C18</f>
        <v>0</v>
      </c>
      <c r="E50" s="995">
        <f>transport!D18</f>
        <v>5.0684999568400997</v>
      </c>
      <c r="F50" s="995">
        <f>transport!E18</f>
        <v>624.95773123949698</v>
      </c>
      <c r="G50" s="995">
        <f>transport!F18</f>
        <v>0</v>
      </c>
      <c r="H50" s="995">
        <f>transport!G18</f>
        <v>119338.72129608899</v>
      </c>
      <c r="I50" s="995">
        <f>transport!H18</f>
        <v>21184.991184120416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141154.83091014478</v>
      </c>
    </row>
    <row r="51" spans="1:18" ht="15" thickBot="1">
      <c r="A51" s="815" t="s">
        <v>926</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1.0921987390393004</v>
      </c>
      <c r="D52" s="720">
        <f t="shared" ref="D52:Q52" ca="1" si="6">SUM(D48:D51)</f>
        <v>0</v>
      </c>
      <c r="E52" s="720">
        <f t="shared" si="6"/>
        <v>5.0684999568400997</v>
      </c>
      <c r="F52" s="720">
        <f t="shared" si="6"/>
        <v>624.95773123949698</v>
      </c>
      <c r="G52" s="720">
        <f t="shared" si="6"/>
        <v>0</v>
      </c>
      <c r="H52" s="720">
        <f t="shared" si="6"/>
        <v>124408.68488235002</v>
      </c>
      <c r="I52" s="720">
        <f t="shared" si="6"/>
        <v>21184.991184120416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146224.79449640581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653</v>
      </c>
      <c r="B54" s="828"/>
      <c r="C54" s="995">
        <f ca="1">+landbouw!B12</f>
        <v>787.54125146333138</v>
      </c>
      <c r="D54" s="995">
        <f ca="1">+landbouw!C12</f>
        <v>0</v>
      </c>
      <c r="E54" s="995">
        <f>+landbouw!D12</f>
        <v>509.40175250800007</v>
      </c>
      <c r="F54" s="995">
        <f>+landbouw!E12</f>
        <v>8.8530690120201285</v>
      </c>
      <c r="G54" s="995">
        <f>+landbouw!F12</f>
        <v>4256.5869143507398</v>
      </c>
      <c r="H54" s="995">
        <f>+landbouw!G12</f>
        <v>0</v>
      </c>
      <c r="I54" s="995">
        <f>+landbouw!H12</f>
        <v>0</v>
      </c>
      <c r="J54" s="995">
        <f>+landbouw!I12</f>
        <v>0</v>
      </c>
      <c r="K54" s="995">
        <f>+landbouw!J12</f>
        <v>117.740991886656</v>
      </c>
      <c r="L54" s="995">
        <f>+landbouw!K12</f>
        <v>0</v>
      </c>
      <c r="M54" s="995">
        <f>+landbouw!L12</f>
        <v>0</v>
      </c>
      <c r="N54" s="995">
        <f>+landbouw!M12</f>
        <v>0</v>
      </c>
      <c r="O54" s="995">
        <f>+landbouw!N12</f>
        <v>0</v>
      </c>
      <c r="P54" s="995">
        <f>+landbouw!O12</f>
        <v>0</v>
      </c>
      <c r="Q54" s="996">
        <f>+landbouw!P12</f>
        <v>0</v>
      </c>
      <c r="R54" s="719">
        <f ca="1">SUM(C54:Q54)</f>
        <v>5680.1239792207471</v>
      </c>
    </row>
    <row r="55" spans="1:18" ht="15" thickBot="1">
      <c r="A55" s="818" t="s">
        <v>927</v>
      </c>
      <c r="B55" s="828"/>
      <c r="C55" s="995">
        <f ca="1">C25*'EF ele_warmte'!B12</f>
        <v>3665.5283649208131</v>
      </c>
      <c r="D55" s="995"/>
      <c r="E55" s="995">
        <f>E25*EF_CO2_aardgas</f>
        <v>5242.3040000000001</v>
      </c>
      <c r="F55" s="995"/>
      <c r="G55" s="995"/>
      <c r="H55" s="995"/>
      <c r="I55" s="995"/>
      <c r="J55" s="995"/>
      <c r="K55" s="995"/>
      <c r="L55" s="995"/>
      <c r="M55" s="995"/>
      <c r="N55" s="995"/>
      <c r="O55" s="995"/>
      <c r="P55" s="995"/>
      <c r="Q55" s="996"/>
      <c r="R55" s="719">
        <f ca="1">SUM(C55:Q55)</f>
        <v>8907.8323649208141</v>
      </c>
    </row>
    <row r="56" spans="1:18" ht="15.75" thickBot="1">
      <c r="A56" s="816" t="s">
        <v>928</v>
      </c>
      <c r="B56" s="829"/>
      <c r="C56" s="720">
        <f ca="1">SUM(C54:C55)</f>
        <v>4453.0696163841449</v>
      </c>
      <c r="D56" s="720">
        <f t="shared" ref="D56:Q56" ca="1" si="7">SUM(D54:D55)</f>
        <v>0</v>
      </c>
      <c r="E56" s="720">
        <f t="shared" si="7"/>
        <v>5751.7057525079999</v>
      </c>
      <c r="F56" s="720">
        <f t="shared" si="7"/>
        <v>8.8530690120201285</v>
      </c>
      <c r="G56" s="720">
        <f t="shared" si="7"/>
        <v>4256.5869143507398</v>
      </c>
      <c r="H56" s="720">
        <f t="shared" si="7"/>
        <v>0</v>
      </c>
      <c r="I56" s="720">
        <f t="shared" si="7"/>
        <v>0</v>
      </c>
      <c r="J56" s="720">
        <f t="shared" si="7"/>
        <v>0</v>
      </c>
      <c r="K56" s="720">
        <f t="shared" si="7"/>
        <v>117.740991886656</v>
      </c>
      <c r="L56" s="720">
        <f t="shared" si="7"/>
        <v>0</v>
      </c>
      <c r="M56" s="720">
        <f t="shared" si="7"/>
        <v>0</v>
      </c>
      <c r="N56" s="720">
        <f t="shared" si="7"/>
        <v>0</v>
      </c>
      <c r="O56" s="720">
        <f t="shared" si="7"/>
        <v>0</v>
      </c>
      <c r="P56" s="720">
        <f t="shared" si="7"/>
        <v>0</v>
      </c>
      <c r="Q56" s="721">
        <f t="shared" si="7"/>
        <v>0</v>
      </c>
      <c r="R56" s="722">
        <f ca="1">SUM(R54:R55)</f>
        <v>14587.956344141561</v>
      </c>
    </row>
    <row r="57" spans="1:18" ht="15.75">
      <c r="A57" s="796" t="s">
        <v>654</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88114.382976441921</v>
      </c>
      <c r="D61" s="728">
        <f t="shared" ref="D61:Q61" ca="1" si="8">D46+D52+D56</f>
        <v>375.10890756302518</v>
      </c>
      <c r="E61" s="728">
        <f t="shared" ca="1" si="8"/>
        <v>122892.8265091237</v>
      </c>
      <c r="F61" s="728">
        <f t="shared" si="8"/>
        <v>3941.5475309111121</v>
      </c>
      <c r="G61" s="728">
        <f t="shared" ca="1" si="8"/>
        <v>50153.58005825631</v>
      </c>
      <c r="H61" s="728">
        <f t="shared" si="8"/>
        <v>124408.68488235002</v>
      </c>
      <c r="I61" s="728">
        <f t="shared" si="8"/>
        <v>21184.991184120416</v>
      </c>
      <c r="J61" s="728">
        <f t="shared" si="8"/>
        <v>0</v>
      </c>
      <c r="K61" s="728">
        <f t="shared" si="8"/>
        <v>190.23880235693434</v>
      </c>
      <c r="L61" s="728">
        <f t="shared" si="8"/>
        <v>0</v>
      </c>
      <c r="M61" s="728">
        <f t="shared" ca="1" si="8"/>
        <v>0</v>
      </c>
      <c r="N61" s="728">
        <f t="shared" si="8"/>
        <v>0</v>
      </c>
      <c r="O61" s="728">
        <f t="shared" ca="1" si="8"/>
        <v>0</v>
      </c>
      <c r="P61" s="728">
        <f t="shared" si="8"/>
        <v>0</v>
      </c>
      <c r="Q61" s="728">
        <f t="shared" si="8"/>
        <v>0</v>
      </c>
      <c r="R61" s="728">
        <f ca="1">R46+R52+R56</f>
        <v>411261.36085112346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0.21146764592673731</v>
      </c>
      <c r="D63" s="772">
        <f t="shared" ca="1" si="9"/>
        <v>0.23764705882352938</v>
      </c>
      <c r="E63" s="997">
        <f t="shared" ca="1" si="9"/>
        <v>0.20199999999999999</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664</v>
      </c>
      <c r="Q69" s="1103" t="s">
        <v>663</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662</v>
      </c>
      <c r="C71" s="973" t="s">
        <v>929</v>
      </c>
      <c r="D71" s="1000" t="s">
        <v>199</v>
      </c>
      <c r="E71" s="1001" t="s">
        <v>200</v>
      </c>
      <c r="F71" s="968" t="s">
        <v>201</v>
      </c>
      <c r="G71" s="965" t="s">
        <v>203</v>
      </c>
      <c r="H71" s="1002" t="s">
        <v>204</v>
      </c>
      <c r="I71" s="969"/>
      <c r="J71" s="969"/>
      <c r="K71" s="969"/>
      <c r="L71" s="969"/>
      <c r="M71" s="966"/>
      <c r="N71" s="969"/>
      <c r="O71" s="974"/>
      <c r="P71" s="1003"/>
      <c r="Q71" s="976" t="s">
        <v>665</v>
      </c>
      <c r="R71" s="974" t="s">
        <v>666</v>
      </c>
    </row>
    <row r="72" spans="1:18" ht="15.75" thickTop="1">
      <c r="A72" s="738" t="s">
        <v>249</v>
      </c>
      <c r="B72" s="836">
        <f>'lokale energieproductie'!B4</f>
        <v>6607.4746365291803</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11315.747201397455</v>
      </c>
      <c r="C74" s="1094"/>
      <c r="D74" s="1094"/>
      <c r="E74" s="1072"/>
      <c r="F74" s="1072"/>
      <c r="G74" s="1088"/>
      <c r="H74" s="1091"/>
      <c r="I74" s="1094"/>
      <c r="J74" s="972"/>
      <c r="K74" s="1072"/>
      <c r="L74" s="1072"/>
      <c r="M74" s="1072"/>
      <c r="N74" s="1072"/>
      <c r="O74" s="1075"/>
      <c r="P74" s="845">
        <v>0</v>
      </c>
      <c r="Q74" s="851"/>
      <c r="R74" s="845">
        <v>0</v>
      </c>
    </row>
    <row r="75" spans="1:18" ht="15.75" thickBot="1">
      <c r="A75" s="739" t="s">
        <v>922</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1104.9000000000001</v>
      </c>
      <c r="D76" s="1007">
        <f>'lokale energieproductie'!C8</f>
        <v>1299.8823529411768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262.57623529411774</v>
      </c>
      <c r="R76" s="845">
        <v>0</v>
      </c>
    </row>
    <row r="77" spans="1:18" ht="30.75" thickBot="1">
      <c r="A77" s="741" t="s">
        <v>353</v>
      </c>
      <c r="B77" s="738">
        <f>'lokale energieproductie'!B9*IFERROR(SUM(I77:O77)/SUM(D77:O77),0)</f>
        <v>1237.5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3535.7142857142858</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19160.721837926634</v>
      </c>
      <c r="C78" s="743">
        <f>SUM(C72:C77)</f>
        <v>1104.9000000000001</v>
      </c>
      <c r="D78" s="744">
        <f t="shared" ref="D78:H78" si="10">SUM(D76:D77)</f>
        <v>1299.8823529411768</v>
      </c>
      <c r="E78" s="744">
        <f t="shared" si="10"/>
        <v>0</v>
      </c>
      <c r="F78" s="744">
        <f t="shared" si="10"/>
        <v>0</v>
      </c>
      <c r="G78" s="744">
        <f t="shared" si="10"/>
        <v>0</v>
      </c>
      <c r="H78" s="744">
        <f t="shared" si="10"/>
        <v>0</v>
      </c>
      <c r="I78" s="744">
        <f>SUM(I76:I77)</f>
        <v>0</v>
      </c>
      <c r="J78" s="744">
        <f>SUM(J76:J77)</f>
        <v>3535.7142857142858</v>
      </c>
      <c r="K78" s="744">
        <f t="shared" ref="K78:L78" si="11">SUM(K76:K77)</f>
        <v>0</v>
      </c>
      <c r="L78" s="744">
        <f t="shared" si="11"/>
        <v>0</v>
      </c>
      <c r="M78" s="744">
        <f>SUM(M76:M77)</f>
        <v>0</v>
      </c>
      <c r="N78" s="744">
        <f>SUM(N76:N77)</f>
        <v>0</v>
      </c>
      <c r="O78" s="853">
        <f>SUM(O76:O77)</f>
        <v>0</v>
      </c>
      <c r="P78" s="745">
        <v>0</v>
      </c>
      <c r="Q78" s="745">
        <f>SUM(Q76:Q77)</f>
        <v>262.57623529411774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664</v>
      </c>
      <c r="Q84" s="1056" t="s">
        <v>663</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662</v>
      </c>
      <c r="C86" s="837" t="s">
        <v>929</v>
      </c>
      <c r="D86" s="976" t="s">
        <v>199</v>
      </c>
      <c r="E86" s="969" t="s">
        <v>200</v>
      </c>
      <c r="F86" s="967" t="s">
        <v>201</v>
      </c>
      <c r="G86" s="969" t="s">
        <v>203</v>
      </c>
      <c r="H86" s="752" t="s">
        <v>204</v>
      </c>
      <c r="I86" s="1062"/>
      <c r="J86" s="1064"/>
      <c r="K86" s="1066"/>
      <c r="L86" s="1066"/>
      <c r="M86" s="1068"/>
      <c r="N86" s="1066"/>
      <c r="O86" s="1070"/>
      <c r="P86" s="1003"/>
      <c r="Q86" s="976" t="s">
        <v>665</v>
      </c>
      <c r="R86" s="974" t="s">
        <v>666</v>
      </c>
    </row>
    <row r="87" spans="1:19" ht="15.75" thickTop="1">
      <c r="A87" s="753" t="s">
        <v>252</v>
      </c>
      <c r="B87" s="754">
        <f>'lokale energieproductie'!B17*IFERROR(SUM(I87:O87)/SUM(D87:O87),0)</f>
        <v>0</v>
      </c>
      <c r="C87" s="754">
        <f>'lokale energieproductie'!B17*IFERROR(SUM(D87:H87)/SUM(D87:O87),0)</f>
        <v>1578.4285714285713</v>
      </c>
      <c r="D87" s="765">
        <f>'lokale energieproductie'!C17</f>
        <v>1856.9747899159665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375.10890756302524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1578.4285714285713</v>
      </c>
      <c r="D90" s="743">
        <f t="shared" ref="D90:H90" si="12">SUM(D87:D89)</f>
        <v>1856.9747899159665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375.10890756302524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923</v>
      </c>
      <c r="N2" s="1240" t="s">
        <v>924</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6607.4746365291803</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11315.747201397455</v>
      </c>
      <c r="C6" s="1258"/>
      <c r="D6" s="1243"/>
      <c r="E6" s="1243"/>
      <c r="F6" s="1261"/>
      <c r="G6" s="1264"/>
      <c r="H6" s="1255"/>
      <c r="I6" s="1243"/>
      <c r="J6" s="1243"/>
      <c r="K6" s="1243"/>
      <c r="L6" s="1243"/>
      <c r="M6" s="1243"/>
      <c r="N6" s="983"/>
      <c r="O6" s="554"/>
      <c r="P6" s="1225"/>
      <c r="Q6" s="1226"/>
      <c r="S6" s="1018"/>
      <c r="T6" s="1213"/>
      <c r="U6" s="1213"/>
    </row>
    <row r="7" spans="1:21" s="545" customFormat="1">
      <c r="A7" s="553" t="s">
        <v>922</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1104.9000000000001</v>
      </c>
      <c r="C8" s="557">
        <f>B101</f>
        <v>1299.8823529411768</v>
      </c>
      <c r="D8" s="985"/>
      <c r="E8" s="985">
        <f>E101</f>
        <v>0</v>
      </c>
      <c r="F8" s="986"/>
      <c r="G8" s="558"/>
      <c r="H8" s="985">
        <f>I101</f>
        <v>0</v>
      </c>
      <c r="I8" s="985">
        <f>G101+F101</f>
        <v>0</v>
      </c>
      <c r="J8" s="985">
        <f>H101+D101+C101</f>
        <v>0</v>
      </c>
      <c r="K8" s="985"/>
      <c r="L8" s="985"/>
      <c r="M8" s="985"/>
      <c r="N8" s="559"/>
      <c r="O8" s="560">
        <f>C8*$C$12+D8*$D$12+E8*$E$12+F8*$F$12+G8*$G$12+H8*$H$12+I8*$I$12+J8*$J$12</f>
        <v>262.57623529411774</v>
      </c>
      <c r="P8" s="1225"/>
      <c r="Q8" s="1226"/>
      <c r="S8" s="1018"/>
      <c r="T8" s="1213"/>
      <c r="U8" s="1213"/>
    </row>
    <row r="9" spans="1:21" s="545" customFormat="1" ht="17.45" customHeight="1" thickBot="1">
      <c r="A9" s="561" t="s">
        <v>248</v>
      </c>
      <c r="B9" s="1022">
        <f>N89+'Eigen informatie GS &amp; warmtenet'!B12</f>
        <v>1237.5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20265.621837926636</v>
      </c>
      <c r="C10" s="569">
        <f t="shared" ref="C10:L10" si="0">SUM(C8:C9)</f>
        <v>1299.8823529411768</v>
      </c>
      <c r="D10" s="569">
        <f t="shared" si="0"/>
        <v>0</v>
      </c>
      <c r="E10" s="569">
        <f t="shared" si="0"/>
        <v>0</v>
      </c>
      <c r="F10" s="569">
        <f t="shared" si="0"/>
        <v>0</v>
      </c>
      <c r="G10" s="569">
        <f t="shared" si="0"/>
        <v>0</v>
      </c>
      <c r="H10" s="569">
        <f t="shared" si="0"/>
        <v>0</v>
      </c>
      <c r="I10" s="569">
        <f t="shared" si="0"/>
        <v>0</v>
      </c>
      <c r="J10" s="569">
        <f t="shared" si="0"/>
        <v>3535.7142857142858</v>
      </c>
      <c r="K10" s="569">
        <f t="shared" si="0"/>
        <v>0</v>
      </c>
      <c r="L10" s="569">
        <f t="shared" si="0"/>
        <v>0</v>
      </c>
      <c r="M10" s="980"/>
      <c r="N10" s="980"/>
      <c r="O10" s="570">
        <f>SUM(O4:O9)</f>
        <v>262.57623529411774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923</v>
      </c>
      <c r="N15" s="1240" t="s">
        <v>924</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1578.4285714285713</v>
      </c>
      <c r="C17" s="581">
        <f>B102</f>
        <v>1856.9747899159665</v>
      </c>
      <c r="D17" s="582"/>
      <c r="E17" s="582">
        <f>E102</f>
        <v>0</v>
      </c>
      <c r="F17" s="583"/>
      <c r="G17" s="584"/>
      <c r="H17" s="581">
        <f>I102</f>
        <v>0</v>
      </c>
      <c r="I17" s="582">
        <f>G102+F102</f>
        <v>0</v>
      </c>
      <c r="J17" s="582">
        <f>H102+D102+C102</f>
        <v>0</v>
      </c>
      <c r="K17" s="582"/>
      <c r="L17" s="582"/>
      <c r="M17" s="582"/>
      <c r="N17" s="981"/>
      <c r="O17" s="585">
        <f>C17*$C$22+E17*$E$22+H17*$H$22+I17*$I$22+J17*$J$22+D17*$D$22+F17*$F$22+G17*$G$22+K17*$K$22+L17*$L$22</f>
        <v>375.10890756302524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1578.4285714285713</v>
      </c>
      <c r="C20" s="568">
        <f>SUM(C17:C19)</f>
        <v>1856.9747899159665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375.10890756302524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71022</v>
      </c>
      <c r="C28" s="788">
        <v>3500</v>
      </c>
      <c r="D28" s="641" t="s">
        <v>963</v>
      </c>
      <c r="E28" s="640" t="s">
        <v>964</v>
      </c>
      <c r="F28" s="640" t="s">
        <v>965</v>
      </c>
      <c r="G28" s="640" t="s">
        <v>966</v>
      </c>
      <c r="H28" s="640" t="s">
        <v>967</v>
      </c>
      <c r="I28" s="640" t="s">
        <v>964</v>
      </c>
      <c r="J28" s="787">
        <v>39310</v>
      </c>
      <c r="K28" s="787">
        <v>39508</v>
      </c>
      <c r="L28" s="640" t="s">
        <v>968</v>
      </c>
      <c r="M28" s="640">
        <v>4.7</v>
      </c>
      <c r="N28" s="640">
        <v>21.150000000000002</v>
      </c>
      <c r="O28" s="640">
        <v>30.214285714285719</v>
      </c>
      <c r="P28" s="640">
        <v>60.428571428571438</v>
      </c>
      <c r="Q28" s="640">
        <v>0</v>
      </c>
      <c r="R28" s="640">
        <v>0</v>
      </c>
      <c r="S28" s="640">
        <v>0</v>
      </c>
      <c r="T28" s="640">
        <v>0</v>
      </c>
      <c r="U28" s="640">
        <v>0</v>
      </c>
      <c r="V28" s="640">
        <v>0</v>
      </c>
      <c r="W28" s="640">
        <v>0</v>
      </c>
      <c r="X28" s="640">
        <v>1600</v>
      </c>
      <c r="Y28" s="640" t="s">
        <v>50</v>
      </c>
      <c r="Z28" s="642" t="s">
        <v>156</v>
      </c>
    </row>
    <row r="29" spans="1:26" s="594" customFormat="1" ht="38.25">
      <c r="A29" s="593"/>
      <c r="B29" s="788">
        <v>71022</v>
      </c>
      <c r="C29" s="788">
        <v>3511</v>
      </c>
      <c r="D29" s="641" t="s">
        <v>969</v>
      </c>
      <c r="E29" s="640" t="s">
        <v>970</v>
      </c>
      <c r="F29" s="640" t="s">
        <v>971</v>
      </c>
      <c r="G29" s="640" t="s">
        <v>966</v>
      </c>
      <c r="H29" s="640" t="s">
        <v>967</v>
      </c>
      <c r="I29" s="640" t="s">
        <v>970</v>
      </c>
      <c r="J29" s="787">
        <v>40424</v>
      </c>
      <c r="K29" s="787">
        <v>40725</v>
      </c>
      <c r="L29" s="640" t="s">
        <v>968</v>
      </c>
      <c r="M29" s="640">
        <v>50</v>
      </c>
      <c r="N29" s="640">
        <v>93.75</v>
      </c>
      <c r="O29" s="640">
        <v>133.92857142857144</v>
      </c>
      <c r="P29" s="640">
        <v>267.85714285714289</v>
      </c>
      <c r="Q29" s="640">
        <v>0</v>
      </c>
      <c r="R29" s="640">
        <v>0</v>
      </c>
      <c r="S29" s="640">
        <v>0</v>
      </c>
      <c r="T29" s="640">
        <v>0</v>
      </c>
      <c r="U29" s="640">
        <v>0</v>
      </c>
      <c r="V29" s="640">
        <v>0</v>
      </c>
      <c r="W29" s="640">
        <v>0</v>
      </c>
      <c r="X29" s="640">
        <v>800</v>
      </c>
      <c r="Y29" s="640" t="s">
        <v>36</v>
      </c>
      <c r="Z29" s="642" t="s">
        <v>391</v>
      </c>
    </row>
    <row r="30" spans="1:26" s="594" customFormat="1" ht="51">
      <c r="A30" s="593"/>
      <c r="B30" s="788">
        <v>71022</v>
      </c>
      <c r="C30" s="788">
        <v>3500</v>
      </c>
      <c r="D30" s="641" t="s">
        <v>972</v>
      </c>
      <c r="E30" s="640" t="s">
        <v>973</v>
      </c>
      <c r="F30" s="640" t="s">
        <v>974</v>
      </c>
      <c r="G30" s="640" t="s">
        <v>966</v>
      </c>
      <c r="H30" s="640" t="s">
        <v>967</v>
      </c>
      <c r="I30" s="640" t="s">
        <v>973</v>
      </c>
      <c r="J30" s="787">
        <v>40904</v>
      </c>
      <c r="K30" s="787">
        <v>40904</v>
      </c>
      <c r="L30" s="640" t="s">
        <v>968</v>
      </c>
      <c r="M30" s="640">
        <v>220</v>
      </c>
      <c r="N30" s="640">
        <v>0</v>
      </c>
      <c r="O30" s="640">
        <v>0</v>
      </c>
      <c r="P30" s="640">
        <v>0</v>
      </c>
      <c r="Q30" s="640">
        <v>0</v>
      </c>
      <c r="R30" s="640">
        <v>0</v>
      </c>
      <c r="S30" s="640">
        <v>0</v>
      </c>
      <c r="T30" s="640">
        <v>0</v>
      </c>
      <c r="U30" s="640">
        <v>0</v>
      </c>
      <c r="V30" s="640">
        <v>0</v>
      </c>
      <c r="W30" s="640">
        <v>0</v>
      </c>
      <c r="X30" s="640">
        <v>1500</v>
      </c>
      <c r="Y30" s="640" t="s">
        <v>51</v>
      </c>
      <c r="Z30" s="642" t="s">
        <v>156</v>
      </c>
    </row>
    <row r="31" spans="1:26" s="594" customFormat="1" ht="51">
      <c r="A31" s="593"/>
      <c r="B31" s="788">
        <v>71022</v>
      </c>
      <c r="C31" s="788">
        <v>3500</v>
      </c>
      <c r="D31" s="641" t="s">
        <v>975</v>
      </c>
      <c r="E31" s="640" t="s">
        <v>976</v>
      </c>
      <c r="F31" s="640" t="s">
        <v>977</v>
      </c>
      <c r="G31" s="640" t="s">
        <v>966</v>
      </c>
      <c r="H31" s="640" t="s">
        <v>967</v>
      </c>
      <c r="I31" s="640" t="s">
        <v>976</v>
      </c>
      <c r="J31" s="787">
        <v>39365</v>
      </c>
      <c r="K31" s="787">
        <v>39471</v>
      </c>
      <c r="L31" s="640" t="s">
        <v>968</v>
      </c>
      <c r="M31" s="640">
        <v>220</v>
      </c>
      <c r="N31" s="640">
        <v>990</v>
      </c>
      <c r="O31" s="640">
        <v>1414.2857142857142</v>
      </c>
      <c r="P31" s="640">
        <v>2828.5714285714289</v>
      </c>
      <c r="Q31" s="640">
        <v>0</v>
      </c>
      <c r="R31" s="640">
        <v>0</v>
      </c>
      <c r="S31" s="640">
        <v>0</v>
      </c>
      <c r="T31" s="640">
        <v>0</v>
      </c>
      <c r="U31" s="640">
        <v>0</v>
      </c>
      <c r="V31" s="640">
        <v>0</v>
      </c>
      <c r="W31" s="640">
        <v>0</v>
      </c>
      <c r="X31" s="640">
        <v>1500</v>
      </c>
      <c r="Y31" s="640" t="s">
        <v>51</v>
      </c>
      <c r="Z31" s="642" t="s">
        <v>156</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494.7</v>
      </c>
      <c r="N58" s="598">
        <f>SUM(N28:N57)</f>
        <v>1104.9000000000001</v>
      </c>
      <c r="O58" s="598">
        <f t="shared" ref="O58:W58" si="2">SUM(O28:O57)</f>
        <v>1578.4285714285713</v>
      </c>
      <c r="P58" s="598">
        <f t="shared" si="2"/>
        <v>3156.8571428571431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50</v>
      </c>
      <c r="N59" s="598">
        <f t="shared" si="3"/>
        <v>93.75</v>
      </c>
      <c r="O59" s="598">
        <f t="shared" si="3"/>
        <v>133.92857142857144</v>
      </c>
      <c r="P59" s="598">
        <f t="shared" si="3"/>
        <v>267.85714285714289</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444.7</v>
      </c>
      <c r="N60" s="598">
        <f ca="1">SUMIF($Z$28:AD57,"tertiair",N28:N57)</f>
        <v>1011.15</v>
      </c>
      <c r="O60" s="598">
        <f ca="1">SUMIF($Z$28:AE57,"tertiair",O28:O57)</f>
        <v>1444.5</v>
      </c>
      <c r="P60" s="598">
        <f ca="1">SUMIF($Z$28:AF57,"tertiair",P28:P57)</f>
        <v>2889.0000000000005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71022</v>
      </c>
      <c r="C64" s="788">
        <v>3511</v>
      </c>
      <c r="D64" s="643" t="s">
        <v>978</v>
      </c>
      <c r="E64" s="643" t="s">
        <v>979</v>
      </c>
      <c r="F64" s="643" t="s">
        <v>980</v>
      </c>
      <c r="G64" s="643" t="s">
        <v>981</v>
      </c>
      <c r="H64" s="643" t="s">
        <v>982</v>
      </c>
      <c r="I64" s="643" t="s">
        <v>983</v>
      </c>
      <c r="J64" s="787">
        <v>32143</v>
      </c>
      <c r="K64" s="787">
        <v>37316</v>
      </c>
      <c r="L64" s="643" t="s">
        <v>968</v>
      </c>
      <c r="M64" s="643">
        <v>275</v>
      </c>
      <c r="N64" s="643">
        <v>1237.5</v>
      </c>
      <c r="O64" s="643">
        <v>0</v>
      </c>
      <c r="P64" s="643">
        <v>0</v>
      </c>
      <c r="Q64" s="643">
        <v>3535.7142857142858</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275</v>
      </c>
      <c r="N89" s="598">
        <f t="shared" ref="N89:W89" si="5">SUM(N64:N88)</f>
        <v>1237.5</v>
      </c>
      <c r="O89" s="598">
        <f t="shared" si="5"/>
        <v>0</v>
      </c>
      <c r="P89" s="598">
        <f t="shared" si="5"/>
        <v>0</v>
      </c>
      <c r="Q89" s="598">
        <f t="shared" si="5"/>
        <v>3535.7142857142858</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275</v>
      </c>
      <c r="N91" s="598">
        <f t="shared" si="7"/>
        <v>1237.5</v>
      </c>
      <c r="O91" s="598">
        <f t="shared" si="7"/>
        <v>0</v>
      </c>
      <c r="P91" s="598">
        <f t="shared" si="7"/>
        <v>0</v>
      </c>
      <c r="Q91" s="598">
        <f t="shared" si="7"/>
        <v>3535.7142857142858</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0.41176470588235303</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1299.8823529411768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1856.9747899159665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819</v>
      </c>
      <c r="B2" s="910" t="s">
        <v>817</v>
      </c>
      <c r="C2" s="904" t="s">
        <v>193</v>
      </c>
      <c r="D2" s="904" t="s">
        <v>820</v>
      </c>
      <c r="E2" s="905"/>
      <c r="F2" s="906" t="s">
        <v>821</v>
      </c>
      <c r="G2" s="906" t="s">
        <v>822</v>
      </c>
      <c r="H2" s="906" t="s">
        <v>823</v>
      </c>
    </row>
    <row r="3" spans="1:8" s="11" customFormat="1">
      <c r="A3" s="904" t="s">
        <v>828</v>
      </c>
      <c r="B3" s="908" t="s">
        <v>832</v>
      </c>
      <c r="C3" s="904" t="s">
        <v>830</v>
      </c>
      <c r="D3" s="904" t="s">
        <v>831</v>
      </c>
      <c r="E3" s="905"/>
      <c r="F3" s="914" t="s">
        <v>835</v>
      </c>
      <c r="G3" s="914" t="s">
        <v>836</v>
      </c>
      <c r="H3" s="352" t="s">
        <v>837</v>
      </c>
    </row>
    <row r="4" spans="1:8" s="11" customFormat="1">
      <c r="A4" s="904" t="s">
        <v>796</v>
      </c>
      <c r="B4" s="908" t="s">
        <v>817</v>
      </c>
      <c r="C4" s="904" t="s">
        <v>193</v>
      </c>
      <c r="D4" s="909" t="s">
        <v>827</v>
      </c>
      <c r="E4" s="905"/>
      <c r="F4" s="906" t="s">
        <v>821</v>
      </c>
      <c r="G4" s="906" t="s">
        <v>822</v>
      </c>
      <c r="H4" s="906" t="s">
        <v>823</v>
      </c>
    </row>
    <row r="5" spans="1:8" s="11" customFormat="1">
      <c r="A5" s="353" t="s">
        <v>412</v>
      </c>
      <c r="B5" s="792">
        <v>2012</v>
      </c>
      <c r="C5" s="353" t="s">
        <v>412</v>
      </c>
      <c r="D5" s="353"/>
      <c r="E5" s="354"/>
      <c r="F5" s="911" t="s">
        <v>824</v>
      </c>
      <c r="G5" s="911" t="s">
        <v>825</v>
      </c>
      <c r="H5" s="911" t="s">
        <v>826</v>
      </c>
    </row>
    <row r="6" spans="1:8">
      <c r="A6" s="348" t="s">
        <v>405</v>
      </c>
      <c r="B6" s="349" t="s">
        <v>406</v>
      </c>
      <c r="C6" s="348" t="s">
        <v>405</v>
      </c>
      <c r="D6" s="348" t="s">
        <v>722</v>
      </c>
      <c r="E6" s="350"/>
      <c r="F6" s="351" t="s">
        <v>407</v>
      </c>
      <c r="G6" s="351" t="s">
        <v>408</v>
      </c>
      <c r="H6" s="352" t="s">
        <v>409</v>
      </c>
    </row>
    <row r="7" spans="1:8">
      <c r="A7" s="348" t="s">
        <v>410</v>
      </c>
      <c r="B7" s="349" t="s">
        <v>406</v>
      </c>
      <c r="C7" s="348" t="s">
        <v>410</v>
      </c>
      <c r="D7" s="348" t="s">
        <v>723</v>
      </c>
      <c r="E7" s="350"/>
      <c r="F7" s="351" t="s">
        <v>805</v>
      </c>
      <c r="G7" s="351" t="s">
        <v>813</v>
      </c>
      <c r="H7" s="352" t="s">
        <v>814</v>
      </c>
    </row>
    <row r="8" spans="1:8">
      <c r="A8" s="353" t="s">
        <v>437</v>
      </c>
      <c r="B8" s="357" t="s">
        <v>438</v>
      </c>
      <c r="C8" s="353" t="s">
        <v>440</v>
      </c>
      <c r="D8" s="353" t="s">
        <v>436</v>
      </c>
      <c r="E8" s="350" t="s">
        <v>439</v>
      </c>
      <c r="F8" s="351"/>
      <c r="G8" s="351"/>
      <c r="H8" s="352"/>
    </row>
    <row r="9" spans="1:8">
      <c r="A9" s="904" t="s">
        <v>838</v>
      </c>
      <c r="B9" s="912">
        <v>2011</v>
      </c>
      <c r="C9" s="904" t="s">
        <v>412</v>
      </c>
      <c r="D9" s="904" t="s">
        <v>839</v>
      </c>
      <c r="E9" s="913" t="s">
        <v>840</v>
      </c>
      <c r="F9" s="914"/>
      <c r="G9" s="914"/>
      <c r="H9" s="352"/>
    </row>
    <row r="10" spans="1:8">
      <c r="A10" s="904" t="s">
        <v>852</v>
      </c>
      <c r="B10" s="912" t="s">
        <v>853</v>
      </c>
      <c r="C10" s="904" t="s">
        <v>856</v>
      </c>
      <c r="D10" s="904" t="s">
        <v>855</v>
      </c>
      <c r="E10" s="913" t="s">
        <v>851</v>
      </c>
      <c r="F10" s="914"/>
      <c r="G10" s="914"/>
      <c r="H10" s="352"/>
    </row>
    <row r="11" spans="1:8">
      <c r="A11" s="353" t="s">
        <v>641</v>
      </c>
      <c r="B11" s="349" t="s">
        <v>642</v>
      </c>
      <c r="C11" s="353" t="s">
        <v>643</v>
      </c>
      <c r="D11" s="353" t="s">
        <v>644</v>
      </c>
      <c r="E11" s="350"/>
      <c r="F11" s="351" t="s">
        <v>806</v>
      </c>
      <c r="G11" s="351" t="s">
        <v>815</v>
      </c>
      <c r="H11" s="352" t="s">
        <v>816</v>
      </c>
    </row>
    <row r="12" spans="1:8">
      <c r="A12" s="348" t="s">
        <v>802</v>
      </c>
      <c r="B12" s="349" t="s">
        <v>803</v>
      </c>
      <c r="C12" s="348" t="s">
        <v>804</v>
      </c>
      <c r="D12" s="348" t="s">
        <v>652</v>
      </c>
      <c r="E12" s="686"/>
      <c r="F12" s="351" t="s">
        <v>810</v>
      </c>
      <c r="G12" s="351" t="s">
        <v>811</v>
      </c>
      <c r="H12" s="352" t="s">
        <v>812</v>
      </c>
    </row>
    <row r="13" spans="1:8">
      <c r="A13" s="904" t="s">
        <v>833</v>
      </c>
      <c r="B13" s="912">
        <v>2017</v>
      </c>
      <c r="C13" s="904" t="s">
        <v>430</v>
      </c>
      <c r="D13" s="904" t="s">
        <v>834</v>
      </c>
      <c r="E13" s="913"/>
      <c r="F13" s="914" t="s">
        <v>835</v>
      </c>
      <c r="G13" s="914" t="s">
        <v>836</v>
      </c>
      <c r="H13" s="352" t="s">
        <v>837</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872</v>
      </c>
      <c r="G16" s="351" t="s">
        <v>873</v>
      </c>
      <c r="H16" s="352" t="s">
        <v>874</v>
      </c>
    </row>
    <row r="17" spans="1:8">
      <c r="A17" s="348" t="s">
        <v>518</v>
      </c>
      <c r="B17" s="349" t="s">
        <v>382</v>
      </c>
      <c r="C17" s="348" t="s">
        <v>380</v>
      </c>
      <c r="D17" s="358" t="s">
        <v>381</v>
      </c>
      <c r="E17" s="350" t="s">
        <v>383</v>
      </c>
      <c r="F17" s="351" t="s">
        <v>807</v>
      </c>
      <c r="G17" s="351" t="s">
        <v>808</v>
      </c>
      <c r="H17" s="352" t="s">
        <v>809</v>
      </c>
    </row>
    <row r="18" spans="1:8">
      <c r="A18" s="348" t="s">
        <v>518</v>
      </c>
      <c r="B18" s="349" t="s">
        <v>860</v>
      </c>
      <c r="C18" s="348" t="s">
        <v>864</v>
      </c>
      <c r="D18" s="358" t="s">
        <v>865</v>
      </c>
      <c r="E18" s="350"/>
      <c r="F18" s="351" t="s">
        <v>807</v>
      </c>
      <c r="G18" s="351" t="s">
        <v>808</v>
      </c>
      <c r="H18" s="352" t="s">
        <v>809</v>
      </c>
    </row>
    <row r="19" spans="1:8">
      <c r="A19" s="353" t="s">
        <v>517</v>
      </c>
      <c r="B19" s="357" t="s">
        <v>406</v>
      </c>
      <c r="C19" s="353" t="s">
        <v>430</v>
      </c>
      <c r="D19" s="353" t="s">
        <v>378</v>
      </c>
      <c r="E19" s="350"/>
      <c r="F19" s="351" t="s">
        <v>807</v>
      </c>
      <c r="G19" s="351" t="s">
        <v>808</v>
      </c>
      <c r="H19" s="352" t="s">
        <v>809</v>
      </c>
    </row>
    <row r="20" spans="1:8" s="10" customFormat="1">
      <c r="A20" s="353" t="s">
        <v>516</v>
      </c>
      <c r="B20" s="357" t="s">
        <v>515</v>
      </c>
      <c r="C20" s="353" t="s">
        <v>514</v>
      </c>
      <c r="D20" s="353" t="s">
        <v>513</v>
      </c>
      <c r="E20" s="346"/>
      <c r="F20" s="347"/>
      <c r="G20" s="347"/>
      <c r="H20" s="355"/>
    </row>
    <row r="21" spans="1:8">
      <c r="A21" s="353" t="s">
        <v>193</v>
      </c>
      <c r="B21" s="792" t="s">
        <v>724</v>
      </c>
      <c r="C21" s="353" t="s">
        <v>431</v>
      </c>
      <c r="D21" s="353" t="s">
        <v>432</v>
      </c>
      <c r="E21" s="350"/>
      <c r="F21" s="351" t="s">
        <v>433</v>
      </c>
      <c r="G21" s="351" t="s">
        <v>434</v>
      </c>
      <c r="H21" s="352" t="s">
        <v>435</v>
      </c>
    </row>
    <row r="22" spans="1:8">
      <c r="A22" s="353" t="s">
        <v>413</v>
      </c>
      <c r="B22" s="349" t="s">
        <v>860</v>
      </c>
      <c r="C22" s="353" t="s">
        <v>413</v>
      </c>
      <c r="D22" s="353" t="s">
        <v>861</v>
      </c>
      <c r="E22" s="350"/>
      <c r="F22" s="351" t="s">
        <v>875</v>
      </c>
      <c r="G22" s="351" t="s">
        <v>876</v>
      </c>
      <c r="H22" s="352" t="s">
        <v>877</v>
      </c>
    </row>
    <row r="23" spans="1:8">
      <c r="A23" s="904" t="s">
        <v>413</v>
      </c>
      <c r="B23" s="908" t="s">
        <v>862</v>
      </c>
      <c r="C23" s="904" t="s">
        <v>413</v>
      </c>
      <c r="D23" s="904" t="s">
        <v>863</v>
      </c>
      <c r="E23" s="905"/>
      <c r="F23" s="906" t="s">
        <v>878</v>
      </c>
      <c r="G23" s="906" t="s">
        <v>879</v>
      </c>
      <c r="H23" s="907" t="s">
        <v>880</v>
      </c>
    </row>
    <row r="24" spans="1:8">
      <c r="A24" s="353" t="s">
        <v>866</v>
      </c>
      <c r="B24" s="917" t="s">
        <v>871</v>
      </c>
      <c r="C24" s="353" t="s">
        <v>866</v>
      </c>
      <c r="D24" s="353" t="s">
        <v>867</v>
      </c>
      <c r="E24" s="350" t="s">
        <v>868</v>
      </c>
      <c r="F24" s="351" t="s">
        <v>881</v>
      </c>
      <c r="G24" s="351" t="s">
        <v>882</v>
      </c>
      <c r="H24" s="352" t="s">
        <v>883</v>
      </c>
    </row>
    <row r="25" spans="1:8">
      <c r="A25" s="348" t="s">
        <v>866</v>
      </c>
      <c r="B25" s="918"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630</v>
      </c>
      <c r="B1" s="769" t="s">
        <v>631</v>
      </c>
      <c r="C1" s="769" t="s">
        <v>633</v>
      </c>
      <c r="D1" s="769" t="s">
        <v>632</v>
      </c>
    </row>
    <row r="2" spans="1:4">
      <c r="A2" t="s">
        <v>675</v>
      </c>
      <c r="B2" s="767">
        <v>41626</v>
      </c>
      <c r="C2" t="s">
        <v>676</v>
      </c>
      <c r="D2" s="768" t="s">
        <v>677</v>
      </c>
    </row>
    <row r="3" spans="1:4">
      <c r="A3" t="s">
        <v>678</v>
      </c>
      <c r="B3" s="767">
        <v>41646</v>
      </c>
      <c r="C3" t="s">
        <v>679</v>
      </c>
      <c r="D3" s="768" t="s">
        <v>680</v>
      </c>
    </row>
    <row r="4" spans="1:4">
      <c r="A4" t="s">
        <v>681</v>
      </c>
      <c r="B4" s="767">
        <v>41676</v>
      </c>
      <c r="C4" t="s">
        <v>682</v>
      </c>
      <c r="D4" s="768" t="s">
        <v>683</v>
      </c>
    </row>
    <row r="5" spans="1:4">
      <c r="A5" t="s">
        <v>681</v>
      </c>
      <c r="B5" s="767">
        <v>41676</v>
      </c>
      <c r="C5" t="s">
        <v>684</v>
      </c>
      <c r="D5" s="768" t="s">
        <v>685</v>
      </c>
    </row>
    <row r="6" spans="1:4" ht="17.25">
      <c r="A6" t="s">
        <v>681</v>
      </c>
      <c r="B6" s="767">
        <v>41676</v>
      </c>
      <c r="C6" t="s">
        <v>686</v>
      </c>
      <c r="D6" s="768" t="s">
        <v>687</v>
      </c>
    </row>
    <row r="7" spans="1:4">
      <c r="A7" t="s">
        <v>688</v>
      </c>
      <c r="B7" s="767">
        <v>41715</v>
      </c>
      <c r="C7" t="s">
        <v>689</v>
      </c>
      <c r="D7" s="782" t="s">
        <v>690</v>
      </c>
    </row>
    <row r="8" spans="1:4">
      <c r="A8" t="s">
        <v>688</v>
      </c>
      <c r="B8" s="767">
        <v>41715</v>
      </c>
      <c r="C8" t="s">
        <v>691</v>
      </c>
      <c r="D8" s="768" t="s">
        <v>692</v>
      </c>
    </row>
    <row r="9" spans="1:4">
      <c r="A9" t="s">
        <v>688</v>
      </c>
      <c r="B9" s="767">
        <v>41726</v>
      </c>
      <c r="C9" t="s">
        <v>693</v>
      </c>
      <c r="D9" s="782" t="s">
        <v>694</v>
      </c>
    </row>
    <row r="10" spans="1:4">
      <c r="A10" t="s">
        <v>695</v>
      </c>
      <c r="B10" s="767">
        <v>41759</v>
      </c>
      <c r="C10" t="s">
        <v>696</v>
      </c>
      <c r="D10" s="768" t="s">
        <v>697</v>
      </c>
    </row>
    <row r="11" spans="1:4">
      <c r="A11" t="s">
        <v>695</v>
      </c>
      <c r="B11" s="767">
        <v>41759</v>
      </c>
      <c r="C11" t="s">
        <v>698</v>
      </c>
      <c r="D11" s="768" t="s">
        <v>699</v>
      </c>
    </row>
    <row r="12" spans="1:4">
      <c r="A12" t="s">
        <v>700</v>
      </c>
      <c r="B12" s="767">
        <v>41772</v>
      </c>
      <c r="C12" t="s">
        <v>701</v>
      </c>
      <c r="D12" s="768" t="s">
        <v>702</v>
      </c>
    </row>
    <row r="13" spans="1:4">
      <c r="A13" t="s">
        <v>700</v>
      </c>
      <c r="B13" s="767">
        <v>41772</v>
      </c>
      <c r="C13" t="s">
        <v>703</v>
      </c>
      <c r="D13" s="768" t="s">
        <v>704</v>
      </c>
    </row>
    <row r="14" spans="1:4">
      <c r="A14" t="s">
        <v>700</v>
      </c>
      <c r="B14" s="767">
        <v>41772</v>
      </c>
      <c r="C14" t="s">
        <v>705</v>
      </c>
      <c r="D14" s="782" t="s">
        <v>706</v>
      </c>
    </row>
    <row r="15" spans="1:4">
      <c r="A15" t="s">
        <v>707</v>
      </c>
      <c r="B15" s="767">
        <v>41901</v>
      </c>
      <c r="C15" t="s">
        <v>649</v>
      </c>
      <c r="D15" s="782" t="s">
        <v>647</v>
      </c>
    </row>
    <row r="16" spans="1:4">
      <c r="A16" t="s">
        <v>707</v>
      </c>
      <c r="B16" s="767">
        <v>41901</v>
      </c>
      <c r="C16" t="s">
        <v>648</v>
      </c>
      <c r="D16" s="782" t="s">
        <v>650</v>
      </c>
    </row>
    <row r="17" spans="1:4">
      <c r="A17" t="s">
        <v>707</v>
      </c>
      <c r="B17" s="767">
        <v>41901</v>
      </c>
      <c r="C17" t="s">
        <v>655</v>
      </c>
      <c r="D17" s="768" t="s">
        <v>656</v>
      </c>
    </row>
    <row r="18" spans="1:4">
      <c r="A18" t="s">
        <v>707</v>
      </c>
      <c r="B18" s="767">
        <v>41901</v>
      </c>
      <c r="C18" t="s">
        <v>668</v>
      </c>
      <c r="D18" s="768" t="s">
        <v>667</v>
      </c>
    </row>
    <row r="19" spans="1:4">
      <c r="A19" t="s">
        <v>707</v>
      </c>
      <c r="B19" s="767">
        <v>41901</v>
      </c>
      <c r="C19" t="s">
        <v>668</v>
      </c>
      <c r="D19" s="768" t="s">
        <v>669</v>
      </c>
    </row>
    <row r="20" spans="1:4">
      <c r="A20" t="s">
        <v>707</v>
      </c>
      <c r="B20" s="767">
        <v>41901</v>
      </c>
      <c r="C20" t="s">
        <v>674</v>
      </c>
      <c r="D20" s="768" t="s">
        <v>673</v>
      </c>
    </row>
    <row r="21" spans="1:4">
      <c r="A21" t="s">
        <v>707</v>
      </c>
      <c r="B21" s="767">
        <v>41914</v>
      </c>
      <c r="C21" t="s">
        <v>733</v>
      </c>
      <c r="D21" s="782" t="s">
        <v>727</v>
      </c>
    </row>
    <row r="22" spans="1:4">
      <c r="A22" t="s">
        <v>707</v>
      </c>
      <c r="B22" s="767">
        <v>41914</v>
      </c>
      <c r="C22" t="s">
        <v>734</v>
      </c>
      <c r="D22" s="782" t="s">
        <v>728</v>
      </c>
    </row>
    <row r="23" spans="1:4">
      <c r="A23" t="s">
        <v>707</v>
      </c>
      <c r="B23" s="767">
        <v>41914</v>
      </c>
      <c r="C23" t="s">
        <v>735</v>
      </c>
      <c r="D23" s="782" t="s">
        <v>729</v>
      </c>
    </row>
    <row r="24" spans="1:4">
      <c r="A24" t="s">
        <v>707</v>
      </c>
      <c r="B24" s="767">
        <v>41914</v>
      </c>
      <c r="C24" t="s">
        <v>736</v>
      </c>
      <c r="D24" s="782" t="s">
        <v>730</v>
      </c>
    </row>
    <row r="25" spans="1:4">
      <c r="A25" t="s">
        <v>707</v>
      </c>
      <c r="B25" s="767">
        <v>41914</v>
      </c>
      <c r="C25" t="s">
        <v>748</v>
      </c>
      <c r="D25" s="782" t="s">
        <v>731</v>
      </c>
    </row>
    <row r="26" spans="1:4">
      <c r="A26" t="s">
        <v>707</v>
      </c>
      <c r="B26" s="767">
        <v>41914</v>
      </c>
      <c r="C26" t="s">
        <v>744</v>
      </c>
      <c r="D26" s="768" t="s">
        <v>747</v>
      </c>
    </row>
    <row r="27" spans="1:4">
      <c r="A27" t="s">
        <v>707</v>
      </c>
      <c r="B27" s="767">
        <v>41914</v>
      </c>
      <c r="C27" t="s">
        <v>738</v>
      </c>
      <c r="D27" s="782" t="s">
        <v>737</v>
      </c>
    </row>
    <row r="28" spans="1:4">
      <c r="A28" t="s">
        <v>707</v>
      </c>
      <c r="B28" s="767">
        <v>41914</v>
      </c>
      <c r="C28" t="s">
        <v>749</v>
      </c>
      <c r="D28" s="782" t="s">
        <v>739</v>
      </c>
    </row>
    <row r="29" spans="1:4">
      <c r="A29" t="s">
        <v>707</v>
      </c>
      <c r="B29" s="767">
        <v>41914</v>
      </c>
      <c r="C29" t="s">
        <v>742</v>
      </c>
      <c r="D29" s="782" t="s">
        <v>743</v>
      </c>
    </row>
    <row r="30" spans="1:4">
      <c r="A30" t="s">
        <v>707</v>
      </c>
      <c r="B30" s="767">
        <v>41914</v>
      </c>
      <c r="C30" t="s">
        <v>740</v>
      </c>
      <c r="D30" s="782" t="s">
        <v>741</v>
      </c>
    </row>
    <row r="31" spans="1:4">
      <c r="A31" t="s">
        <v>707</v>
      </c>
      <c r="B31" s="767">
        <v>41914</v>
      </c>
      <c r="C31" t="s">
        <v>745</v>
      </c>
      <c r="D31" s="768" t="s">
        <v>746</v>
      </c>
    </row>
    <row r="32" spans="1:4">
      <c r="A32" t="s">
        <v>707</v>
      </c>
      <c r="B32" s="767">
        <v>41925</v>
      </c>
      <c r="C32" t="s">
        <v>751</v>
      </c>
      <c r="D32" s="782" t="s">
        <v>752</v>
      </c>
    </row>
    <row r="33" spans="1:4">
      <c r="A33" t="s">
        <v>707</v>
      </c>
      <c r="B33" s="767">
        <v>41967</v>
      </c>
      <c r="C33" t="s">
        <v>754</v>
      </c>
      <c r="D33" s="768" t="s">
        <v>755</v>
      </c>
    </row>
    <row r="34" spans="1:4">
      <c r="A34" t="s">
        <v>756</v>
      </c>
      <c r="B34" s="767">
        <v>42275</v>
      </c>
      <c r="C34" t="s">
        <v>758</v>
      </c>
      <c r="D34" s="768" t="s">
        <v>763</v>
      </c>
    </row>
    <row r="35" spans="1:4">
      <c r="A35" t="s">
        <v>756</v>
      </c>
      <c r="B35" s="767">
        <v>42275</v>
      </c>
      <c r="C35" t="s">
        <v>759</v>
      </c>
      <c r="D35" s="768" t="s">
        <v>764</v>
      </c>
    </row>
    <row r="36" spans="1:4">
      <c r="A36" t="s">
        <v>756</v>
      </c>
      <c r="B36" s="767">
        <v>42283</v>
      </c>
      <c r="C36" t="s">
        <v>760</v>
      </c>
      <c r="D36" s="768" t="s">
        <v>761</v>
      </c>
    </row>
    <row r="37" spans="1:4">
      <c r="A37" t="s">
        <v>772</v>
      </c>
      <c r="B37" s="887">
        <v>42538</v>
      </c>
      <c r="C37" s="887" t="s">
        <v>765</v>
      </c>
      <c r="D37" s="887"/>
    </row>
    <row r="38" spans="1:4">
      <c r="A38" t="s">
        <v>772</v>
      </c>
      <c r="B38" s="887">
        <v>42538</v>
      </c>
      <c r="C38" s="887" t="s">
        <v>766</v>
      </c>
      <c r="D38" s="888" t="s">
        <v>767</v>
      </c>
    </row>
    <row r="39" spans="1:4">
      <c r="A39" t="s">
        <v>772</v>
      </c>
      <c r="B39" s="887">
        <v>42538</v>
      </c>
      <c r="C39" s="887" t="s">
        <v>768</v>
      </c>
      <c r="D39" s="889" t="s">
        <v>769</v>
      </c>
    </row>
    <row r="40" spans="1:4">
      <c r="A40" t="s">
        <v>772</v>
      </c>
      <c r="B40" s="887">
        <v>42538</v>
      </c>
      <c r="C40" s="887" t="s">
        <v>770</v>
      </c>
      <c r="D40" s="888" t="s">
        <v>771</v>
      </c>
    </row>
    <row r="41" spans="1:4">
      <c r="A41" t="s">
        <v>794</v>
      </c>
      <c r="B41" s="887">
        <v>42585</v>
      </c>
      <c r="C41" t="s">
        <v>757</v>
      </c>
      <c r="D41" s="768" t="s">
        <v>762</v>
      </c>
    </row>
    <row r="42" spans="1:4">
      <c r="A42" t="s">
        <v>799</v>
      </c>
      <c r="B42" s="887">
        <v>42877</v>
      </c>
      <c r="C42" s="887" t="s">
        <v>857</v>
      </c>
      <c r="D42" s="768" t="s">
        <v>746</v>
      </c>
    </row>
    <row r="43" spans="1:4">
      <c r="A43" t="s">
        <v>799</v>
      </c>
      <c r="B43" s="887">
        <v>42877</v>
      </c>
      <c r="C43" s="887" t="s">
        <v>858</v>
      </c>
      <c r="D43" s="782" t="s">
        <v>800</v>
      </c>
    </row>
    <row r="44" spans="1:4">
      <c r="A44" t="s">
        <v>799</v>
      </c>
      <c r="B44" s="887">
        <v>42877</v>
      </c>
      <c r="C44" s="887" t="s">
        <v>859</v>
      </c>
      <c r="D44" s="782" t="s">
        <v>801</v>
      </c>
    </row>
    <row r="45" spans="1:4">
      <c r="A45" t="s">
        <v>841</v>
      </c>
      <c r="B45" s="887">
        <v>43165</v>
      </c>
      <c r="C45" s="887" t="s">
        <v>842</v>
      </c>
      <c r="D45" s="782" t="s">
        <v>843</v>
      </c>
    </row>
    <row r="46" spans="1:4">
      <c r="A46" t="s">
        <v>841</v>
      </c>
      <c r="B46" s="887">
        <v>43165</v>
      </c>
      <c r="C46" s="887" t="s">
        <v>844</v>
      </c>
      <c r="D46" s="768" t="s">
        <v>845</v>
      </c>
    </row>
    <row r="47" spans="1:4">
      <c r="A47" t="s">
        <v>841</v>
      </c>
      <c r="B47" s="887">
        <v>43165</v>
      </c>
      <c r="C47" s="887" t="s">
        <v>846</v>
      </c>
      <c r="D47" s="768" t="s">
        <v>847</v>
      </c>
    </row>
    <row r="48" spans="1:4">
      <c r="A48" t="s">
        <v>841</v>
      </c>
      <c r="B48" s="887">
        <v>43165</v>
      </c>
      <c r="C48" s="887" t="s">
        <v>848</v>
      </c>
      <c r="D48" s="768" t="s">
        <v>849</v>
      </c>
    </row>
    <row r="49" spans="1:4">
      <c r="A49" t="s">
        <v>841</v>
      </c>
      <c r="B49" s="887">
        <v>43278</v>
      </c>
      <c r="C49" s="887" t="s">
        <v>884</v>
      </c>
      <c r="D49" s="782"/>
    </row>
    <row r="50" spans="1:4">
      <c r="A50" t="s">
        <v>919</v>
      </c>
      <c r="B50" s="887">
        <v>43424</v>
      </c>
      <c r="C50" s="887" t="s">
        <v>920</v>
      </c>
    </row>
    <row r="51" spans="1:4">
      <c r="A51" t="s">
        <v>932</v>
      </c>
      <c r="B51" s="887">
        <v>43573</v>
      </c>
      <c r="C51" s="887" t="s">
        <v>933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564</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141321.11250411114</v>
      </c>
      <c r="C4" s="460">
        <f>huishoudens!C8</f>
        <v>0</v>
      </c>
      <c r="D4" s="460">
        <f>huishoudens!D8</f>
        <v>318078.84550200001</v>
      </c>
      <c r="E4" s="460">
        <f>huishoudens!E8</f>
        <v>9771.9861959506325</v>
      </c>
      <c r="F4" s="460">
        <f>huishoudens!F8</f>
        <v>108804.80853519609</v>
      </c>
      <c r="G4" s="460">
        <f>huishoudens!G8</f>
        <v>0</v>
      </c>
      <c r="H4" s="460">
        <f>huishoudens!H8</f>
        <v>0</v>
      </c>
      <c r="I4" s="460">
        <f>huishoudens!I8</f>
        <v>0</v>
      </c>
      <c r="J4" s="460">
        <f>huishoudens!J8</f>
        <v>0</v>
      </c>
      <c r="K4" s="460">
        <f>huishoudens!K8</f>
        <v>0</v>
      </c>
      <c r="L4" s="460">
        <f>huishoudens!L8</f>
        <v>0</v>
      </c>
      <c r="M4" s="460">
        <f>huishoudens!M8</f>
        <v>0</v>
      </c>
      <c r="N4" s="460">
        <f>huishoudens!N8</f>
        <v>27241.819420887481</v>
      </c>
      <c r="O4" s="460">
        <f>huishoudens!O8</f>
        <v>317.35666666666668</v>
      </c>
      <c r="P4" s="461">
        <f>huishoudens!P8</f>
        <v>1067.7333333333333</v>
      </c>
      <c r="Q4" s="462">
        <f>SUM(B4:P4)</f>
        <v>606603.66215814534</v>
      </c>
    </row>
    <row r="5" spans="1:17">
      <c r="A5" s="459" t="s">
        <v>156</v>
      </c>
      <c r="B5" s="460">
        <f ca="1">tertiair!B16</f>
        <v>186836.46299999999</v>
      </c>
      <c r="C5" s="460">
        <f ca="1">tertiair!C16</f>
        <v>1444.5</v>
      </c>
      <c r="D5" s="460">
        <f ca="1">tertiair!D16</f>
        <v>185438.02585400001</v>
      </c>
      <c r="E5" s="460">
        <f>tertiair!E16</f>
        <v>3738.8396514251058</v>
      </c>
      <c r="F5" s="460">
        <f ca="1">tertiair!F16</f>
        <v>34975.673383306406</v>
      </c>
      <c r="G5" s="460">
        <f>tertiair!G16</f>
        <v>0</v>
      </c>
      <c r="H5" s="460">
        <f>tertiair!H16</f>
        <v>0</v>
      </c>
      <c r="I5" s="460">
        <f>tertiair!I16</f>
        <v>0</v>
      </c>
      <c r="J5" s="460">
        <f>tertiair!J16</f>
        <v>0</v>
      </c>
      <c r="K5" s="460">
        <f>tertiair!K16</f>
        <v>0</v>
      </c>
      <c r="L5" s="460">
        <f ca="1">tertiair!L16</f>
        <v>0</v>
      </c>
      <c r="M5" s="460">
        <f>tertiair!M16</f>
        <v>0</v>
      </c>
      <c r="N5" s="460">
        <f ca="1">tertiair!N16</f>
        <v>520.17912276242259</v>
      </c>
      <c r="O5" s="460">
        <f>tertiair!O16</f>
        <v>1.5633333333333335</v>
      </c>
      <c r="P5" s="461">
        <f>tertiair!P16</f>
        <v>152.53333333333333</v>
      </c>
      <c r="Q5" s="459">
        <f t="shared" ref="Q5:Q14" ca="1" si="0">SUM(B5:P5)</f>
        <v>413107.77767816058</v>
      </c>
    </row>
    <row r="6" spans="1:17">
      <c r="A6" s="459" t="s">
        <v>194</v>
      </c>
      <c r="B6" s="460">
        <f>'openbare verlichting'!B8</f>
        <v>4976.5590000000002</v>
      </c>
      <c r="C6" s="460"/>
      <c r="D6" s="460"/>
      <c r="E6" s="460"/>
      <c r="F6" s="460"/>
      <c r="G6" s="460"/>
      <c r="H6" s="460"/>
      <c r="I6" s="460"/>
      <c r="J6" s="460"/>
      <c r="K6" s="460"/>
      <c r="L6" s="460"/>
      <c r="M6" s="460"/>
      <c r="N6" s="460"/>
      <c r="O6" s="460"/>
      <c r="P6" s="461"/>
      <c r="Q6" s="459">
        <f t="shared" si="0"/>
        <v>4976.5590000000002</v>
      </c>
    </row>
    <row r="7" spans="1:17">
      <c r="A7" s="459" t="s">
        <v>112</v>
      </c>
      <c r="B7" s="460">
        <f>landbouw!B8</f>
        <v>3724.1689999999999</v>
      </c>
      <c r="C7" s="460">
        <f>landbouw!C8</f>
        <v>0</v>
      </c>
      <c r="D7" s="460">
        <f>landbouw!D8</f>
        <v>2521.7908540000003</v>
      </c>
      <c r="E7" s="460">
        <f>landbouw!E8</f>
        <v>39.000304017709816</v>
      </c>
      <c r="F7" s="460">
        <f>landbouw!F8</f>
        <v>15942.273087455955</v>
      </c>
      <c r="G7" s="460">
        <f>landbouw!G8</f>
        <v>0</v>
      </c>
      <c r="H7" s="460">
        <f>landbouw!H8</f>
        <v>0</v>
      </c>
      <c r="I7" s="460">
        <f>landbouw!I8</f>
        <v>0</v>
      </c>
      <c r="J7" s="460">
        <f>landbouw!J8</f>
        <v>332.60167199620344</v>
      </c>
      <c r="K7" s="460">
        <f>landbouw!K8</f>
        <v>0</v>
      </c>
      <c r="L7" s="460">
        <f>landbouw!L8</f>
        <v>0</v>
      </c>
      <c r="M7" s="460">
        <f>landbouw!M8</f>
        <v>0</v>
      </c>
      <c r="N7" s="460">
        <f>landbouw!N8</f>
        <v>0</v>
      </c>
      <c r="O7" s="460">
        <f>landbouw!O8</f>
        <v>0</v>
      </c>
      <c r="P7" s="461">
        <f>landbouw!P8</f>
        <v>0</v>
      </c>
      <c r="Q7" s="459">
        <f t="shared" si="0"/>
        <v>22559.834917469867</v>
      </c>
    </row>
    <row r="8" spans="1:17">
      <c r="A8" s="459" t="s">
        <v>657</v>
      </c>
      <c r="B8" s="460">
        <f>industrie!B18</f>
        <v>62482.986000000004</v>
      </c>
      <c r="C8" s="460">
        <f>industrie!C18</f>
        <v>133.92857142857144</v>
      </c>
      <c r="D8" s="460">
        <f>industrie!D18</f>
        <v>76364.575459142856</v>
      </c>
      <c r="E8" s="460">
        <f>industrie!E18</f>
        <v>1060.7016004638876</v>
      </c>
      <c r="F8" s="460">
        <f>industrie!F18</f>
        <v>28118.368807735602</v>
      </c>
      <c r="G8" s="460">
        <f>industrie!G18</f>
        <v>0</v>
      </c>
      <c r="H8" s="460">
        <f>industrie!H18</f>
        <v>0</v>
      </c>
      <c r="I8" s="460">
        <f>industrie!I18</f>
        <v>0</v>
      </c>
      <c r="J8" s="460">
        <f>industrie!J18</f>
        <v>204.79607477479763</v>
      </c>
      <c r="K8" s="460">
        <f>industrie!K18</f>
        <v>0</v>
      </c>
      <c r="L8" s="460">
        <f>industrie!L18</f>
        <v>0</v>
      </c>
      <c r="M8" s="460">
        <f>industrie!M18</f>
        <v>0</v>
      </c>
      <c r="N8" s="460">
        <f>industrie!N18</f>
        <v>2428.4108709328448</v>
      </c>
      <c r="O8" s="460">
        <f>industrie!O18</f>
        <v>0</v>
      </c>
      <c r="P8" s="461">
        <f>industrie!P18</f>
        <v>0</v>
      </c>
      <c r="Q8" s="459">
        <f t="shared" si="0"/>
        <v>170793.76738447856</v>
      </c>
    </row>
    <row r="9" spans="1:17" s="465" customFormat="1">
      <c r="A9" s="463" t="s">
        <v>575</v>
      </c>
      <c r="B9" s="464">
        <f>transport!B14</f>
        <v>5.1648503214420378</v>
      </c>
      <c r="C9" s="464">
        <f>transport!C14</f>
        <v>0</v>
      </c>
      <c r="D9" s="464">
        <f>transport!D14</f>
        <v>25.091583944752966</v>
      </c>
      <c r="E9" s="464">
        <f>transport!E14</f>
        <v>2753.1177587643037</v>
      </c>
      <c r="F9" s="464">
        <f>transport!F14</f>
        <v>0</v>
      </c>
      <c r="G9" s="464">
        <f>transport!G14</f>
        <v>446961.5029816067</v>
      </c>
      <c r="H9" s="464">
        <f>transport!H14</f>
        <v>85080.285880001669</v>
      </c>
      <c r="I9" s="464">
        <f>transport!I14</f>
        <v>0</v>
      </c>
      <c r="J9" s="464">
        <f>transport!J14</f>
        <v>0</v>
      </c>
      <c r="K9" s="464">
        <f>transport!K14</f>
        <v>0</v>
      </c>
      <c r="L9" s="464">
        <f>transport!L14</f>
        <v>0</v>
      </c>
      <c r="M9" s="464">
        <f>transport!M14</f>
        <v>23237.072967077038</v>
      </c>
      <c r="N9" s="464">
        <f>transport!N14</f>
        <v>0</v>
      </c>
      <c r="O9" s="464">
        <f>transport!O14</f>
        <v>0</v>
      </c>
      <c r="P9" s="464">
        <f>transport!P14</f>
        <v>0</v>
      </c>
      <c r="Q9" s="463">
        <f>SUM(B9:P9)</f>
        <v>558062.23602171591</v>
      </c>
    </row>
    <row r="10" spans="1:17">
      <c r="A10" s="459" t="s">
        <v>565</v>
      </c>
      <c r="B10" s="460">
        <f>transport!B54</f>
        <v>0</v>
      </c>
      <c r="C10" s="460">
        <f>transport!C54</f>
        <v>0</v>
      </c>
      <c r="D10" s="460">
        <f>transport!D54</f>
        <v>0</v>
      </c>
      <c r="E10" s="460">
        <f>transport!E54</f>
        <v>0</v>
      </c>
      <c r="F10" s="460">
        <f>transport!F54</f>
        <v>0</v>
      </c>
      <c r="G10" s="460">
        <f>transport!G54</f>
        <v>18988.627663898984</v>
      </c>
      <c r="H10" s="460">
        <f>transport!H54</f>
        <v>0</v>
      </c>
      <c r="I10" s="460">
        <f>transport!I54</f>
        <v>0</v>
      </c>
      <c r="J10" s="460">
        <f>transport!J54</f>
        <v>0</v>
      </c>
      <c r="K10" s="460">
        <f>transport!K54</f>
        <v>0</v>
      </c>
      <c r="L10" s="460">
        <f>transport!L54</f>
        <v>0</v>
      </c>
      <c r="M10" s="460">
        <f>transport!M54</f>
        <v>809.40270166409243</v>
      </c>
      <c r="N10" s="460">
        <f>transport!N54</f>
        <v>0</v>
      </c>
      <c r="O10" s="460">
        <f>transport!O54</f>
        <v>0</v>
      </c>
      <c r="P10" s="461">
        <f>transport!P54</f>
        <v>0</v>
      </c>
      <c r="Q10" s="459">
        <f t="shared" si="0"/>
        <v>19798.030365563078</v>
      </c>
    </row>
    <row r="11" spans="1:17">
      <c r="A11" s="459" t="s">
        <v>566</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567</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568</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931</v>
      </c>
      <c r="B14" s="467">
        <f>'SEAP template'!C25</f>
        <v>17333.755000000001</v>
      </c>
      <c r="C14" s="467"/>
      <c r="D14" s="467">
        <f>'SEAP template'!E25</f>
        <v>25952</v>
      </c>
      <c r="E14" s="467"/>
      <c r="F14" s="467"/>
      <c r="G14" s="467"/>
      <c r="H14" s="467"/>
      <c r="I14" s="467"/>
      <c r="J14" s="467"/>
      <c r="K14" s="467"/>
      <c r="L14" s="467"/>
      <c r="M14" s="467"/>
      <c r="N14" s="467"/>
      <c r="O14" s="467"/>
      <c r="P14" s="468"/>
      <c r="Q14" s="459">
        <f t="shared" si="0"/>
        <v>43285.755000000005</v>
      </c>
    </row>
    <row r="15" spans="1:17" s="472" customFormat="1">
      <c r="A15" s="469" t="s">
        <v>569</v>
      </c>
      <c r="B15" s="470">
        <f ca="1">SUM(B4:B14)</f>
        <v>416680.20935443259</v>
      </c>
      <c r="C15" s="470">
        <f t="shared" ref="C15:Q15" ca="1" si="1">SUM(C4:C14)</f>
        <v>1578.4285714285716</v>
      </c>
      <c r="D15" s="470">
        <f t="shared" ca="1" si="1"/>
        <v>608380.32925308764</v>
      </c>
      <c r="E15" s="470">
        <f t="shared" si="1"/>
        <v>17363.645510621638</v>
      </c>
      <c r="F15" s="470">
        <f t="shared" ca="1" si="1"/>
        <v>187841.12381369402</v>
      </c>
      <c r="G15" s="470">
        <f t="shared" si="1"/>
        <v>465950.13064550568</v>
      </c>
      <c r="H15" s="470">
        <f t="shared" si="1"/>
        <v>85080.285880001669</v>
      </c>
      <c r="I15" s="470">
        <f t="shared" si="1"/>
        <v>0</v>
      </c>
      <c r="J15" s="470">
        <f t="shared" si="1"/>
        <v>537.39774677100104</v>
      </c>
      <c r="K15" s="470">
        <f t="shared" si="1"/>
        <v>0</v>
      </c>
      <c r="L15" s="470">
        <f t="shared" ca="1" si="1"/>
        <v>0</v>
      </c>
      <c r="M15" s="470">
        <f t="shared" si="1"/>
        <v>24046.475668741132</v>
      </c>
      <c r="N15" s="470">
        <f t="shared" ca="1" si="1"/>
        <v>30190.409414582748</v>
      </c>
      <c r="O15" s="470">
        <f t="shared" si="1"/>
        <v>318.92</v>
      </c>
      <c r="P15" s="470">
        <f t="shared" si="1"/>
        <v>1220.2666666666667</v>
      </c>
      <c r="Q15" s="470">
        <f t="shared" ca="1" si="1"/>
        <v>1839187.6225255332</v>
      </c>
    </row>
    <row r="17" spans="1:17">
      <c r="A17" s="473" t="s">
        <v>570</v>
      </c>
      <c r="B17" s="777">
        <f ca="1">huishoudens!B10</f>
        <v>0.21146764592673734</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572</v>
      </c>
      <c r="B19" s="1143" t="s">
        <v>571</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29884.842980991987</v>
      </c>
      <c r="C22" s="460">
        <f t="shared" ref="C22:C32" ca="1" si="3">C4*$C$17</f>
        <v>0</v>
      </c>
      <c r="D22" s="460">
        <f t="shared" ref="D22:D32" si="4">D4*$D$17</f>
        <v>64251.926791404003</v>
      </c>
      <c r="E22" s="460">
        <f t="shared" ref="E22:E32" si="5">E4*$E$17</f>
        <v>2218.2408664807936</v>
      </c>
      <c r="F22" s="460">
        <f t="shared" ref="F22:F32" si="6">F4*$F$17</f>
        <v>29050.883878897359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125405.89451777414</v>
      </c>
    </row>
    <row r="23" spans="1:17">
      <c r="A23" s="459" t="s">
        <v>156</v>
      </c>
      <c r="B23" s="460">
        <f t="shared" ca="1" si="2"/>
        <v>39509.867003887957</v>
      </c>
      <c r="C23" s="460">
        <f t="shared" ca="1" si="3"/>
        <v>343.28117647058821</v>
      </c>
      <c r="D23" s="460">
        <f t="shared" ca="1" si="4"/>
        <v>37458.481222508002</v>
      </c>
      <c r="E23" s="460">
        <f t="shared" si="5"/>
        <v>848.71660087349903</v>
      </c>
      <c r="F23" s="460">
        <f t="shared" ca="1" si="6"/>
        <v>9338.5047933428104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87498.850797082865</v>
      </c>
    </row>
    <row r="24" spans="1:17">
      <c r="A24" s="459" t="s">
        <v>194</v>
      </c>
      <c r="B24" s="460">
        <f t="shared" ca="1" si="2"/>
        <v>1052.3812165455181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1052.3812165455181</v>
      </c>
    </row>
    <row r="25" spans="1:17">
      <c r="A25" s="459" t="s">
        <v>112</v>
      </c>
      <c r="B25" s="460">
        <f t="shared" ca="1" si="2"/>
        <v>787.54125146333138</v>
      </c>
      <c r="C25" s="460">
        <f t="shared" ca="1" si="3"/>
        <v>0</v>
      </c>
      <c r="D25" s="460">
        <f t="shared" si="4"/>
        <v>509.40175250800007</v>
      </c>
      <c r="E25" s="460">
        <f t="shared" si="5"/>
        <v>8.8530690120201285</v>
      </c>
      <c r="F25" s="460">
        <f t="shared" si="6"/>
        <v>4256.5869143507398</v>
      </c>
      <c r="G25" s="460">
        <f t="shared" si="7"/>
        <v>0</v>
      </c>
      <c r="H25" s="460">
        <f t="shared" si="8"/>
        <v>0</v>
      </c>
      <c r="I25" s="460">
        <f t="shared" si="9"/>
        <v>0</v>
      </c>
      <c r="J25" s="460">
        <f t="shared" si="10"/>
        <v>117.740991886656</v>
      </c>
      <c r="K25" s="460">
        <f t="shared" si="11"/>
        <v>0</v>
      </c>
      <c r="L25" s="460">
        <f t="shared" si="12"/>
        <v>0</v>
      </c>
      <c r="M25" s="460">
        <f t="shared" si="13"/>
        <v>0</v>
      </c>
      <c r="N25" s="460">
        <f t="shared" si="14"/>
        <v>0</v>
      </c>
      <c r="O25" s="460">
        <f t="shared" si="15"/>
        <v>0</v>
      </c>
      <c r="P25" s="461">
        <f t="shared" si="16"/>
        <v>0</v>
      </c>
      <c r="Q25" s="459">
        <f t="shared" ca="1" si="17"/>
        <v>5680.1239792207471</v>
      </c>
    </row>
    <row r="26" spans="1:17">
      <c r="A26" s="459" t="s">
        <v>657</v>
      </c>
      <c r="B26" s="460">
        <f t="shared" ca="1" si="2"/>
        <v>13213.129959893287</v>
      </c>
      <c r="C26" s="460">
        <f t="shared" ca="1" si="3"/>
        <v>31.827731092436977</v>
      </c>
      <c r="D26" s="460">
        <f t="shared" si="4"/>
        <v>15425.644242746857</v>
      </c>
      <c r="E26" s="460">
        <f t="shared" si="5"/>
        <v>240.77926330530249</v>
      </c>
      <c r="F26" s="460">
        <f t="shared" si="6"/>
        <v>7507.604471665406</v>
      </c>
      <c r="G26" s="460">
        <f t="shared" si="7"/>
        <v>0</v>
      </c>
      <c r="H26" s="460">
        <f t="shared" si="8"/>
        <v>0</v>
      </c>
      <c r="I26" s="460">
        <f t="shared" si="9"/>
        <v>0</v>
      </c>
      <c r="J26" s="460">
        <f t="shared" si="10"/>
        <v>72.497810470278353</v>
      </c>
      <c r="K26" s="460">
        <f t="shared" si="11"/>
        <v>0</v>
      </c>
      <c r="L26" s="460">
        <f t="shared" si="12"/>
        <v>0</v>
      </c>
      <c r="M26" s="460">
        <f t="shared" si="13"/>
        <v>0</v>
      </c>
      <c r="N26" s="460">
        <f t="shared" si="14"/>
        <v>0</v>
      </c>
      <c r="O26" s="460">
        <f t="shared" si="15"/>
        <v>0</v>
      </c>
      <c r="P26" s="461">
        <f t="shared" si="16"/>
        <v>0</v>
      </c>
      <c r="Q26" s="459">
        <f t="shared" ca="1" si="17"/>
        <v>36491.483479173563</v>
      </c>
    </row>
    <row r="27" spans="1:17" s="465" customFormat="1">
      <c r="A27" s="463" t="s">
        <v>575</v>
      </c>
      <c r="B27" s="771">
        <f t="shared" ca="1" si="2"/>
        <v>1.0921987390393004</v>
      </c>
      <c r="C27" s="464">
        <f t="shared" ca="1" si="3"/>
        <v>0</v>
      </c>
      <c r="D27" s="464">
        <f t="shared" si="4"/>
        <v>5.0684999568400997</v>
      </c>
      <c r="E27" s="464">
        <f t="shared" si="5"/>
        <v>624.95773123949698</v>
      </c>
      <c r="F27" s="464">
        <f t="shared" si="6"/>
        <v>0</v>
      </c>
      <c r="G27" s="464">
        <f t="shared" si="7"/>
        <v>119338.72129608899</v>
      </c>
      <c r="H27" s="464">
        <f t="shared" si="8"/>
        <v>21184.991184120416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141154.83091014478</v>
      </c>
    </row>
    <row r="28" spans="1:17">
      <c r="A28" s="459" t="s">
        <v>565</v>
      </c>
      <c r="B28" s="460">
        <f t="shared" ca="1" si="2"/>
        <v>0</v>
      </c>
      <c r="C28" s="460">
        <f t="shared" ca="1" si="3"/>
        <v>0</v>
      </c>
      <c r="D28" s="460">
        <f t="shared" si="4"/>
        <v>0</v>
      </c>
      <c r="E28" s="460">
        <f t="shared" si="5"/>
        <v>0</v>
      </c>
      <c r="F28" s="460">
        <f t="shared" si="6"/>
        <v>0</v>
      </c>
      <c r="G28" s="460">
        <f t="shared" si="7"/>
        <v>5069.9635862610294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5069.9635862610294</v>
      </c>
    </row>
    <row r="29" spans="1:17">
      <c r="A29" s="459" t="s">
        <v>566</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567</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568</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931</v>
      </c>
      <c r="B32" s="460">
        <f t="shared" ca="1" si="2"/>
        <v>3665.5283649208131</v>
      </c>
      <c r="C32" s="460">
        <f t="shared" ca="1" si="3"/>
        <v>0</v>
      </c>
      <c r="D32" s="460">
        <f t="shared" si="4"/>
        <v>5242.3040000000001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8907.8323649208141</v>
      </c>
    </row>
    <row r="33" spans="1:17" s="472" customFormat="1">
      <c r="A33" s="469" t="s">
        <v>569</v>
      </c>
      <c r="B33" s="470">
        <f ca="1">SUM(B22:B32)</f>
        <v>88114.382976441921</v>
      </c>
      <c r="C33" s="470">
        <f t="shared" ref="C33:Q33" ca="1" si="19">SUM(C22:C32)</f>
        <v>375.10890756302518</v>
      </c>
      <c r="D33" s="470">
        <f t="shared" ca="1" si="19"/>
        <v>122892.8265091237</v>
      </c>
      <c r="E33" s="470">
        <f t="shared" si="19"/>
        <v>3941.5475309111116</v>
      </c>
      <c r="F33" s="470">
        <f t="shared" ca="1" si="19"/>
        <v>50153.58005825631</v>
      </c>
      <c r="G33" s="470">
        <f t="shared" si="19"/>
        <v>124408.68488235002</v>
      </c>
      <c r="H33" s="470">
        <f t="shared" si="19"/>
        <v>21184.991184120416</v>
      </c>
      <c r="I33" s="470">
        <f t="shared" si="19"/>
        <v>0</v>
      </c>
      <c r="J33" s="470">
        <f t="shared" si="19"/>
        <v>190.23880235693434</v>
      </c>
      <c r="K33" s="470">
        <f t="shared" si="19"/>
        <v>0</v>
      </c>
      <c r="L33" s="470">
        <f t="shared" ca="1" si="19"/>
        <v>0</v>
      </c>
      <c r="M33" s="470">
        <f t="shared" si="19"/>
        <v>0</v>
      </c>
      <c r="N33" s="470">
        <f t="shared" ca="1" si="19"/>
        <v>0</v>
      </c>
      <c r="O33" s="470">
        <f t="shared" si="19"/>
        <v>0</v>
      </c>
      <c r="P33" s="470">
        <f t="shared" si="19"/>
        <v>0</v>
      </c>
      <c r="Q33" s="470">
        <f t="shared" ca="1" si="19"/>
        <v>411261.36085112346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564</v>
      </c>
      <c r="B1" s="1152" t="s">
        <v>885</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886</v>
      </c>
      <c r="C4" s="956" t="s">
        <v>887</v>
      </c>
      <c r="D4" s="957" t="s">
        <v>888</v>
      </c>
      <c r="E4" s="958" t="s">
        <v>889</v>
      </c>
      <c r="F4" s="958" t="s">
        <v>890</v>
      </c>
      <c r="G4" s="959" t="s">
        <v>893</v>
      </c>
      <c r="H4" s="959" t="s">
        <v>893</v>
      </c>
      <c r="I4" s="959" t="s">
        <v>893</v>
      </c>
      <c r="J4" s="958" t="s">
        <v>892</v>
      </c>
      <c r="K4" s="959" t="s">
        <v>893</v>
      </c>
      <c r="L4" s="959" t="s">
        <v>893</v>
      </c>
      <c r="M4" s="959" t="s">
        <v>893</v>
      </c>
      <c r="N4" s="958" t="s">
        <v>894</v>
      </c>
      <c r="O4" s="960" t="s">
        <v>895</v>
      </c>
      <c r="P4" s="961" t="s">
        <v>896</v>
      </c>
      <c r="Q4" s="962"/>
    </row>
    <row r="5" spans="1:17" ht="124.35" customHeight="1">
      <c r="A5" s="937" t="s">
        <v>156</v>
      </c>
      <c r="B5" s="938" t="s">
        <v>897</v>
      </c>
      <c r="C5" s="939" t="s">
        <v>898</v>
      </c>
      <c r="D5" s="939" t="s">
        <v>899</v>
      </c>
      <c r="E5" s="940" t="s">
        <v>900</v>
      </c>
      <c r="F5" s="940" t="s">
        <v>901</v>
      </c>
      <c r="G5" s="941" t="s">
        <v>893</v>
      </c>
      <c r="H5" s="941" t="s">
        <v>893</v>
      </c>
      <c r="I5" s="941" t="s">
        <v>893</v>
      </c>
      <c r="J5" s="940" t="s">
        <v>902</v>
      </c>
      <c r="K5" s="938" t="s">
        <v>903</v>
      </c>
      <c r="L5" s="941" t="s">
        <v>893</v>
      </c>
      <c r="M5" s="941" t="s">
        <v>893</v>
      </c>
      <c r="N5" s="940" t="s">
        <v>904</v>
      </c>
      <c r="O5" s="942" t="s">
        <v>895</v>
      </c>
      <c r="P5" s="950" t="s">
        <v>896</v>
      </c>
      <c r="Q5" s="933"/>
    </row>
    <row r="6" spans="1:17" ht="124.35" customHeight="1">
      <c r="A6" s="937" t="s">
        <v>194</v>
      </c>
      <c r="B6" s="943" t="s">
        <v>905</v>
      </c>
      <c r="C6" s="944" t="s">
        <v>891</v>
      </c>
      <c r="D6" s="941" t="s">
        <v>891</v>
      </c>
      <c r="E6" s="941" t="s">
        <v>891</v>
      </c>
      <c r="F6" s="941" t="s">
        <v>891</v>
      </c>
      <c r="G6" s="941" t="s">
        <v>891</v>
      </c>
      <c r="H6" s="941" t="s">
        <v>891</v>
      </c>
      <c r="I6" s="941" t="s">
        <v>891</v>
      </c>
      <c r="J6" s="941" t="s">
        <v>891</v>
      </c>
      <c r="K6" s="941" t="s">
        <v>891</v>
      </c>
      <c r="L6" s="941" t="s">
        <v>891</v>
      </c>
      <c r="M6" s="941" t="s">
        <v>891</v>
      </c>
      <c r="N6" s="941" t="s">
        <v>891</v>
      </c>
      <c r="O6" s="945" t="s">
        <v>891</v>
      </c>
      <c r="P6" s="951" t="s">
        <v>891</v>
      </c>
      <c r="Q6" s="934"/>
    </row>
    <row r="7" spans="1:17" ht="124.35" customHeight="1">
      <c r="A7" s="937" t="s">
        <v>112</v>
      </c>
      <c r="B7" s="943" t="s">
        <v>905</v>
      </c>
      <c r="C7" s="939" t="s">
        <v>898</v>
      </c>
      <c r="D7" s="939" t="s">
        <v>899</v>
      </c>
      <c r="E7" s="940" t="s">
        <v>900</v>
      </c>
      <c r="F7" s="940" t="s">
        <v>901</v>
      </c>
      <c r="G7" s="941" t="s">
        <v>893</v>
      </c>
      <c r="H7" s="941" t="s">
        <v>893</v>
      </c>
      <c r="I7" s="941" t="s">
        <v>893</v>
      </c>
      <c r="J7" s="940" t="s">
        <v>902</v>
      </c>
      <c r="K7" s="941" t="s">
        <v>893</v>
      </c>
      <c r="L7" s="941" t="s">
        <v>893</v>
      </c>
      <c r="M7" s="941" t="s">
        <v>893</v>
      </c>
      <c r="N7" s="946" t="s">
        <v>893</v>
      </c>
      <c r="O7" s="944" t="s">
        <v>893</v>
      </c>
      <c r="P7" s="952" t="s">
        <v>893</v>
      </c>
      <c r="Q7" s="933"/>
    </row>
    <row r="8" spans="1:17" ht="124.35" customHeight="1">
      <c r="A8" s="937" t="s">
        <v>657</v>
      </c>
      <c r="B8" s="938" t="s">
        <v>906</v>
      </c>
      <c r="C8" s="939" t="s">
        <v>898</v>
      </c>
      <c r="D8" s="939" t="s">
        <v>899</v>
      </c>
      <c r="E8" s="940" t="s">
        <v>900</v>
      </c>
      <c r="F8" s="940" t="s">
        <v>901</v>
      </c>
      <c r="G8" s="941" t="s">
        <v>893</v>
      </c>
      <c r="H8" s="941" t="s">
        <v>893</v>
      </c>
      <c r="I8" s="941" t="s">
        <v>893</v>
      </c>
      <c r="J8" s="940" t="s">
        <v>902</v>
      </c>
      <c r="K8" s="938" t="s">
        <v>903</v>
      </c>
      <c r="L8" s="941" t="s">
        <v>893</v>
      </c>
      <c r="M8" s="941" t="s">
        <v>893</v>
      </c>
      <c r="N8" s="940" t="s">
        <v>904</v>
      </c>
      <c r="O8" s="942" t="s">
        <v>895</v>
      </c>
      <c r="P8" s="950" t="s">
        <v>896</v>
      </c>
      <c r="Q8" s="933"/>
    </row>
    <row r="9" spans="1:17" s="465" customFormat="1" ht="124.35" customHeight="1">
      <c r="A9" s="947" t="s">
        <v>575</v>
      </c>
      <c r="B9" s="940" t="s">
        <v>907</v>
      </c>
      <c r="C9" s="945" t="s">
        <v>891</v>
      </c>
      <c r="D9" s="940" t="s">
        <v>908</v>
      </c>
      <c r="E9" s="940" t="s">
        <v>909</v>
      </c>
      <c r="F9" s="941" t="s">
        <v>891</v>
      </c>
      <c r="G9" s="940" t="s">
        <v>910</v>
      </c>
      <c r="H9" s="940" t="s">
        <v>911</v>
      </c>
      <c r="I9" s="941" t="s">
        <v>891</v>
      </c>
      <c r="J9" s="941" t="s">
        <v>891</v>
      </c>
      <c r="K9" s="941" t="s">
        <v>891</v>
      </c>
      <c r="L9" s="941" t="s">
        <v>891</v>
      </c>
      <c r="M9" s="940" t="s">
        <v>907</v>
      </c>
      <c r="N9" s="941" t="s">
        <v>891</v>
      </c>
      <c r="O9" s="941" t="s">
        <v>891</v>
      </c>
      <c r="P9" s="953" t="s">
        <v>891</v>
      </c>
      <c r="Q9" s="935"/>
    </row>
    <row r="10" spans="1:17" ht="124.35" customHeight="1">
      <c r="A10" s="937" t="s">
        <v>565</v>
      </c>
      <c r="B10" s="938" t="s">
        <v>921</v>
      </c>
      <c r="C10" s="945" t="s">
        <v>891</v>
      </c>
      <c r="D10" s="945" t="s">
        <v>891</v>
      </c>
      <c r="E10" s="945" t="s">
        <v>891</v>
      </c>
      <c r="F10" s="941" t="s">
        <v>891</v>
      </c>
      <c r="G10" s="938" t="s">
        <v>912</v>
      </c>
      <c r="H10" s="941" t="s">
        <v>891</v>
      </c>
      <c r="I10" s="941" t="s">
        <v>891</v>
      </c>
      <c r="J10" s="941" t="s">
        <v>891</v>
      </c>
      <c r="K10" s="941" t="s">
        <v>891</v>
      </c>
      <c r="L10" s="941" t="s">
        <v>891</v>
      </c>
      <c r="M10" s="938" t="s">
        <v>913</v>
      </c>
      <c r="N10" s="941" t="s">
        <v>891</v>
      </c>
      <c r="O10" s="941" t="s">
        <v>891</v>
      </c>
      <c r="P10" s="953" t="s">
        <v>891</v>
      </c>
      <c r="Q10" s="933"/>
    </row>
    <row r="11" spans="1:17" ht="21">
      <c r="A11" s="937" t="s">
        <v>566</v>
      </c>
      <c r="B11" s="948" t="s">
        <v>914</v>
      </c>
      <c r="C11" s="948" t="s">
        <v>914</v>
      </c>
      <c r="D11" s="948" t="s">
        <v>914</v>
      </c>
      <c r="E11" s="948" t="s">
        <v>914</v>
      </c>
      <c r="F11" s="948" t="s">
        <v>914</v>
      </c>
      <c r="G11" s="948" t="s">
        <v>914</v>
      </c>
      <c r="H11" s="948" t="s">
        <v>914</v>
      </c>
      <c r="I11" s="948" t="s">
        <v>914</v>
      </c>
      <c r="J11" s="948" t="s">
        <v>914</v>
      </c>
      <c r="K11" s="948" t="s">
        <v>914</v>
      </c>
      <c r="L11" s="948" t="s">
        <v>914</v>
      </c>
      <c r="M11" s="948" t="s">
        <v>914</v>
      </c>
      <c r="N11" s="948" t="s">
        <v>914</v>
      </c>
      <c r="O11" s="948" t="s">
        <v>914</v>
      </c>
      <c r="P11" s="963" t="s">
        <v>914</v>
      </c>
      <c r="Q11" s="964"/>
    </row>
    <row r="12" spans="1:17" ht="21">
      <c r="A12" s="937" t="s">
        <v>567</v>
      </c>
      <c r="B12" s="948" t="s">
        <v>914</v>
      </c>
      <c r="C12" s="948" t="s">
        <v>891</v>
      </c>
      <c r="D12" s="948" t="s">
        <v>891</v>
      </c>
      <c r="E12" s="948" t="s">
        <v>891</v>
      </c>
      <c r="F12" s="948" t="s">
        <v>891</v>
      </c>
      <c r="G12" s="948" t="s">
        <v>891</v>
      </c>
      <c r="H12" s="948" t="s">
        <v>891</v>
      </c>
      <c r="I12" s="948" t="s">
        <v>891</v>
      </c>
      <c r="J12" s="948" t="s">
        <v>891</v>
      </c>
      <c r="K12" s="948" t="s">
        <v>891</v>
      </c>
      <c r="L12" s="948" t="s">
        <v>891</v>
      </c>
      <c r="M12" s="948" t="s">
        <v>891</v>
      </c>
      <c r="N12" s="948" t="s">
        <v>891</v>
      </c>
      <c r="O12" s="948" t="s">
        <v>891</v>
      </c>
      <c r="P12" s="954" t="s">
        <v>891</v>
      </c>
      <c r="Q12" s="461"/>
    </row>
    <row r="13" spans="1:17" ht="21">
      <c r="A13" s="937" t="s">
        <v>568</v>
      </c>
      <c r="B13" s="948" t="s">
        <v>914</v>
      </c>
      <c r="C13" s="948" t="s">
        <v>891</v>
      </c>
      <c r="D13" s="948" t="s">
        <v>914</v>
      </c>
      <c r="E13" s="948" t="s">
        <v>914</v>
      </c>
      <c r="F13" s="948" t="s">
        <v>891</v>
      </c>
      <c r="G13" s="948" t="s">
        <v>914</v>
      </c>
      <c r="H13" s="948" t="s">
        <v>914</v>
      </c>
      <c r="I13" s="948" t="s">
        <v>891</v>
      </c>
      <c r="J13" s="948" t="s">
        <v>891</v>
      </c>
      <c r="K13" s="948" t="s">
        <v>891</v>
      </c>
      <c r="L13" s="948" t="s">
        <v>891</v>
      </c>
      <c r="M13" s="948" t="s">
        <v>914</v>
      </c>
      <c r="N13" s="948" t="s">
        <v>891</v>
      </c>
      <c r="O13" s="948" t="s">
        <v>891</v>
      </c>
      <c r="P13" s="963" t="s">
        <v>891</v>
      </c>
      <c r="Q13" s="964"/>
    </row>
    <row r="14" spans="1:17" ht="30">
      <c r="A14" s="920" t="s">
        <v>931</v>
      </c>
      <c r="B14" s="943" t="s">
        <v>930</v>
      </c>
      <c r="C14" s="948" t="s">
        <v>891</v>
      </c>
      <c r="D14" s="943" t="s">
        <v>930</v>
      </c>
      <c r="E14" s="948" t="s">
        <v>891</v>
      </c>
      <c r="F14" s="948" t="s">
        <v>891</v>
      </c>
      <c r="G14" s="948" t="s">
        <v>891</v>
      </c>
      <c r="H14" s="948" t="s">
        <v>891</v>
      </c>
      <c r="I14" s="948" t="s">
        <v>891</v>
      </c>
      <c r="J14" s="948" t="s">
        <v>891</v>
      </c>
      <c r="K14" s="948" t="s">
        <v>891</v>
      </c>
      <c r="L14" s="948" t="s">
        <v>891</v>
      </c>
      <c r="M14" s="948" t="s">
        <v>891</v>
      </c>
      <c r="N14" s="948" t="s">
        <v>891</v>
      </c>
      <c r="O14" s="948" t="s">
        <v>891</v>
      </c>
      <c r="P14" s="963" t="s">
        <v>891</v>
      </c>
      <c r="Q14" s="1025"/>
    </row>
    <row r="15" spans="1:17" s="472" customFormat="1" ht="21">
      <c r="A15" s="921" t="s">
        <v>569</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915</v>
      </c>
      <c r="B18" s="929" t="s">
        <v>916</v>
      </c>
      <c r="C18" s="930" t="s">
        <v>917</v>
      </c>
      <c r="D18" s="931" t="s">
        <v>918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935</v>
      </c>
    </row>
    <row r="2" spans="1:16" ht="60">
      <c r="A2" s="1160"/>
      <c r="B2" s="1161"/>
      <c r="C2" s="1161"/>
      <c r="D2" s="1162" t="s">
        <v>197</v>
      </c>
      <c r="E2" s="1162"/>
      <c r="F2" s="1162"/>
      <c r="G2" s="1162"/>
      <c r="H2" s="1162"/>
      <c r="I2" s="1026" t="s">
        <v>936</v>
      </c>
      <c r="J2" s="1026" t="s">
        <v>234</v>
      </c>
      <c r="K2" s="1026" t="s">
        <v>937</v>
      </c>
      <c r="L2" s="1026" t="s">
        <v>922</v>
      </c>
      <c r="M2" s="1026" t="s">
        <v>245</v>
      </c>
      <c r="N2" s="1026" t="s">
        <v>938</v>
      </c>
      <c r="O2" s="1026" t="s">
        <v>127</v>
      </c>
      <c r="P2" s="1161"/>
    </row>
    <row r="3" spans="1:16" ht="30">
      <c r="A3" s="1160"/>
      <c r="B3" s="1026" t="s">
        <v>939</v>
      </c>
      <c r="C3" s="1026" t="s">
        <v>940</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6607.4746365291803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11315.747201397455</v>
      </c>
      <c r="C6" s="1028"/>
      <c r="D6" s="1028"/>
      <c r="E6" s="1028"/>
      <c r="F6" s="1028"/>
      <c r="G6" s="1028"/>
      <c r="H6" s="1028"/>
      <c r="I6" s="1028"/>
      <c r="J6" s="1028"/>
      <c r="K6" s="1028"/>
      <c r="L6" s="1028"/>
      <c r="M6" s="1028"/>
      <c r="N6" s="1028"/>
      <c r="O6" s="1028"/>
      <c r="P6" s="1029">
        <f>'SEAP template'!Q74</f>
        <v>0</v>
      </c>
    </row>
    <row r="7" spans="1:16">
      <c r="A7" s="1030" t="s">
        <v>922</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1104.9000000000001</v>
      </c>
      <c r="D8" s="1028">
        <f>'SEAP template'!D76</f>
        <v>1299.8823529411768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262.57623529411774</v>
      </c>
    </row>
    <row r="9" spans="1:16">
      <c r="A9" s="1031" t="s">
        <v>941</v>
      </c>
      <c r="B9" s="1028">
        <f>'SEAP template'!B77</f>
        <v>1237.5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3535.7142857142858</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19160.721837926634</v>
      </c>
      <c r="C10" s="1032">
        <f>SUM(C4:C9)</f>
        <v>1104.9000000000001</v>
      </c>
      <c r="D10" s="1032">
        <f t="shared" ref="D10:H10" si="0">SUM(D8:D9)</f>
        <v>1299.8823529411768</v>
      </c>
      <c r="E10" s="1032">
        <f t="shared" si="0"/>
        <v>0</v>
      </c>
      <c r="F10" s="1032">
        <f t="shared" si="0"/>
        <v>0</v>
      </c>
      <c r="G10" s="1032">
        <f t="shared" si="0"/>
        <v>0</v>
      </c>
      <c r="H10" s="1032">
        <f t="shared" si="0"/>
        <v>0</v>
      </c>
      <c r="I10" s="1032">
        <f>SUM(I8:I9)</f>
        <v>0</v>
      </c>
      <c r="J10" s="1032">
        <f>SUM(J8:J9)</f>
        <v>3535.7142857142858</v>
      </c>
      <c r="K10" s="1032">
        <f t="shared" ref="K10:L10" si="1">SUM(K8:K9)</f>
        <v>0</v>
      </c>
      <c r="L10" s="1032">
        <f t="shared" si="1"/>
        <v>0</v>
      </c>
      <c r="M10" s="1032">
        <f>SUM(M8:M9)</f>
        <v>0</v>
      </c>
      <c r="N10" s="1032">
        <f>SUM(N8:N9)</f>
        <v>0</v>
      </c>
      <c r="O10" s="1032">
        <f>SUM(O8:O9)</f>
        <v>0</v>
      </c>
      <c r="P10" s="1032">
        <f>SUM(P8:P9)</f>
        <v>262.57623529411774</v>
      </c>
    </row>
    <row r="11" spans="1:16">
      <c r="A11" s="1033"/>
      <c r="B11" s="1033"/>
      <c r="C11" s="1033"/>
      <c r="D11" s="1033"/>
      <c r="E11" s="1033"/>
      <c r="F11" s="1033"/>
      <c r="G11" s="1033"/>
      <c r="H11" s="1033"/>
      <c r="I11" s="1033"/>
      <c r="J11" s="1033"/>
      <c r="K11" s="1033"/>
      <c r="L11" s="1033"/>
      <c r="M11" s="1033"/>
      <c r="N11" s="1033"/>
      <c r="O11" s="1033"/>
      <c r="P11" s="1033"/>
    </row>
    <row r="12" spans="1:16">
      <c r="A12" s="473" t="s">
        <v>942</v>
      </c>
      <c r="B12" s="777" t="s">
        <v>943</v>
      </c>
      <c r="C12" s="777">
        <f ca="1">'EF ele_warmte'!B12</f>
        <v>0.21146764592673734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944</v>
      </c>
    </row>
    <row r="15" spans="1:16">
      <c r="A15" s="1160"/>
      <c r="B15" s="1161"/>
      <c r="C15" s="1161"/>
      <c r="D15" s="1163" t="s">
        <v>197</v>
      </c>
      <c r="E15" s="1163"/>
      <c r="F15" s="1163"/>
      <c r="G15" s="1163"/>
      <c r="H15" s="1163"/>
      <c r="I15" s="1161" t="s">
        <v>936</v>
      </c>
      <c r="J15" s="1161" t="s">
        <v>234</v>
      </c>
      <c r="K15" s="1161" t="s">
        <v>937</v>
      </c>
      <c r="L15" s="1161" t="s">
        <v>922</v>
      </c>
      <c r="M15" s="1161" t="s">
        <v>245</v>
      </c>
      <c r="N15" s="1161" t="s">
        <v>945</v>
      </c>
      <c r="O15" s="1161" t="s">
        <v>127</v>
      </c>
      <c r="P15" s="1161"/>
    </row>
    <row r="16" spans="1:16" ht="30">
      <c r="A16" s="1160"/>
      <c r="B16" s="1026" t="s">
        <v>946</v>
      </c>
      <c r="C16" s="1026" t="s">
        <v>947</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1578.4285714285713</v>
      </c>
      <c r="D17" s="1029">
        <f>'SEAP template'!D87</f>
        <v>1856.9747899159665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375.10890756302524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948</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1578.4285714285713</v>
      </c>
      <c r="D20" s="1032">
        <f t="shared" ref="D20:H20" si="2">SUM(D17:D19)</f>
        <v>1856.9747899159665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375.10890756302524</v>
      </c>
    </row>
    <row r="22" spans="1:16">
      <c r="A22" s="473" t="s">
        <v>949</v>
      </c>
      <c r="B22" s="777" t="s">
        <v>943</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935</v>
      </c>
    </row>
    <row r="2" spans="1:16" ht="15.75">
      <c r="A2" s="1160"/>
      <c r="B2" s="1161"/>
      <c r="C2" s="1161"/>
      <c r="D2" s="1162" t="s">
        <v>197</v>
      </c>
      <c r="E2" s="1162"/>
      <c r="F2" s="1162"/>
      <c r="G2" s="1162"/>
      <c r="H2" s="1162"/>
      <c r="I2" s="1026" t="s">
        <v>936</v>
      </c>
      <c r="J2" s="1026" t="s">
        <v>234</v>
      </c>
      <c r="K2" s="1026" t="s">
        <v>937</v>
      </c>
      <c r="L2" s="1026" t="s">
        <v>922</v>
      </c>
      <c r="M2" s="1026" t="s">
        <v>245</v>
      </c>
      <c r="N2" s="1026" t="s">
        <v>938</v>
      </c>
      <c r="O2" s="1026" t="s">
        <v>127</v>
      </c>
      <c r="P2" s="1161"/>
    </row>
    <row r="3" spans="1:16" ht="30">
      <c r="A3" s="1160"/>
      <c r="B3" s="1026" t="s">
        <v>939</v>
      </c>
      <c r="C3" s="1026" t="s">
        <v>940</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950</v>
      </c>
      <c r="C4" s="1040" t="s">
        <v>891</v>
      </c>
      <c r="D4" s="1040" t="s">
        <v>891</v>
      </c>
      <c r="E4" s="1040" t="s">
        <v>891</v>
      </c>
      <c r="F4" s="1040" t="s">
        <v>891</v>
      </c>
      <c r="G4" s="1040" t="s">
        <v>891</v>
      </c>
      <c r="H4" s="1040" t="s">
        <v>891</v>
      </c>
      <c r="I4" s="1040" t="s">
        <v>891</v>
      </c>
      <c r="J4" s="1040" t="s">
        <v>891</v>
      </c>
      <c r="K4" s="1040" t="s">
        <v>891</v>
      </c>
      <c r="L4" s="1040" t="s">
        <v>891</v>
      </c>
      <c r="M4" s="1040" t="s">
        <v>891</v>
      </c>
      <c r="N4" s="1040" t="s">
        <v>891</v>
      </c>
      <c r="O4" s="1040" t="s">
        <v>891</v>
      </c>
      <c r="P4" s="1041" t="s">
        <v>951</v>
      </c>
    </row>
    <row r="5" spans="1:16" ht="135">
      <c r="A5" s="1042" t="s">
        <v>250</v>
      </c>
      <c r="B5" s="1039" t="s">
        <v>950</v>
      </c>
      <c r="C5" s="1040" t="s">
        <v>891</v>
      </c>
      <c r="D5" s="1040" t="s">
        <v>891</v>
      </c>
      <c r="E5" s="1040" t="s">
        <v>891</v>
      </c>
      <c r="F5" s="1040" t="s">
        <v>891</v>
      </c>
      <c r="G5" s="1040" t="s">
        <v>891</v>
      </c>
      <c r="H5" s="1040" t="s">
        <v>891</v>
      </c>
      <c r="I5" s="1040" t="s">
        <v>891</v>
      </c>
      <c r="J5" s="1040" t="s">
        <v>891</v>
      </c>
      <c r="K5" s="1040" t="s">
        <v>891</v>
      </c>
      <c r="L5" s="1040" t="s">
        <v>891</v>
      </c>
      <c r="M5" s="1040" t="s">
        <v>891</v>
      </c>
      <c r="N5" s="1040" t="s">
        <v>891</v>
      </c>
      <c r="O5" s="1040" t="s">
        <v>891</v>
      </c>
      <c r="P5" s="1041" t="s">
        <v>951</v>
      </c>
    </row>
    <row r="6" spans="1:16" ht="135">
      <c r="A6" s="1042" t="s">
        <v>251</v>
      </c>
      <c r="B6" s="1039" t="s">
        <v>950</v>
      </c>
      <c r="C6" s="1040" t="s">
        <v>891</v>
      </c>
      <c r="D6" s="1040" t="s">
        <v>891</v>
      </c>
      <c r="E6" s="1040" t="s">
        <v>891</v>
      </c>
      <c r="F6" s="1040" t="s">
        <v>891</v>
      </c>
      <c r="G6" s="1040" t="s">
        <v>891</v>
      </c>
      <c r="H6" s="1040" t="s">
        <v>891</v>
      </c>
      <c r="I6" s="1040" t="s">
        <v>891</v>
      </c>
      <c r="J6" s="1040" t="s">
        <v>891</v>
      </c>
      <c r="K6" s="1040" t="s">
        <v>891</v>
      </c>
      <c r="L6" s="1040" t="s">
        <v>891</v>
      </c>
      <c r="M6" s="1040" t="s">
        <v>891</v>
      </c>
      <c r="N6" s="1040" t="s">
        <v>891</v>
      </c>
      <c r="O6" s="1040" t="s">
        <v>891</v>
      </c>
      <c r="P6" s="1041" t="s">
        <v>951</v>
      </c>
    </row>
    <row r="7" spans="1:16" ht="135">
      <c r="A7" s="1042" t="s">
        <v>922</v>
      </c>
      <c r="B7" s="1040" t="s">
        <v>891</v>
      </c>
      <c r="C7" s="1040" t="s">
        <v>891</v>
      </c>
      <c r="D7" s="1040" t="s">
        <v>891</v>
      </c>
      <c r="E7" s="1040" t="s">
        <v>891</v>
      </c>
      <c r="F7" s="1040" t="s">
        <v>891</v>
      </c>
      <c r="G7" s="1040" t="s">
        <v>891</v>
      </c>
      <c r="H7" s="1040" t="s">
        <v>891</v>
      </c>
      <c r="I7" s="1040" t="s">
        <v>891</v>
      </c>
      <c r="J7" s="1040" t="s">
        <v>891</v>
      </c>
      <c r="K7" s="1040" t="s">
        <v>891</v>
      </c>
      <c r="L7" s="1040" t="s">
        <v>891</v>
      </c>
      <c r="M7" s="1040" t="s">
        <v>891</v>
      </c>
      <c r="N7" s="1040" t="s">
        <v>891</v>
      </c>
      <c r="O7" s="1040" t="s">
        <v>891</v>
      </c>
      <c r="P7" s="1041" t="s">
        <v>951</v>
      </c>
    </row>
    <row r="8" spans="1:16" ht="210">
      <c r="A8" s="1038" t="s">
        <v>252</v>
      </c>
      <c r="B8" s="1039" t="s">
        <v>952</v>
      </c>
      <c r="C8" s="1039" t="s">
        <v>952</v>
      </c>
      <c r="D8" s="1039" t="s">
        <v>952</v>
      </c>
      <c r="E8" s="1039" t="s">
        <v>952</v>
      </c>
      <c r="F8" s="1039" t="s">
        <v>952</v>
      </c>
      <c r="G8" s="1039" t="s">
        <v>952</v>
      </c>
      <c r="H8" s="1039" t="s">
        <v>952</v>
      </c>
      <c r="I8" s="1039" t="s">
        <v>952</v>
      </c>
      <c r="J8" s="1039" t="s">
        <v>952</v>
      </c>
      <c r="K8" s="1040" t="s">
        <v>891</v>
      </c>
      <c r="L8" s="1040" t="s">
        <v>891</v>
      </c>
      <c r="M8" s="1040" t="s">
        <v>891</v>
      </c>
      <c r="N8" s="1039" t="s">
        <v>953</v>
      </c>
      <c r="O8" s="1039" t="s">
        <v>953</v>
      </c>
      <c r="P8" s="1043"/>
    </row>
    <row r="9" spans="1:16" ht="210">
      <c r="A9" s="1044" t="s">
        <v>941</v>
      </c>
      <c r="B9" s="1039" t="s">
        <v>953</v>
      </c>
      <c r="C9" s="1039" t="s">
        <v>953</v>
      </c>
      <c r="D9" s="1039" t="s">
        <v>953</v>
      </c>
      <c r="E9" s="1039" t="s">
        <v>953</v>
      </c>
      <c r="F9" s="1039" t="s">
        <v>953</v>
      </c>
      <c r="G9" s="1039" t="s">
        <v>953</v>
      </c>
      <c r="H9" s="1039" t="s">
        <v>953</v>
      </c>
      <c r="I9" s="1039" t="s">
        <v>953</v>
      </c>
      <c r="J9" s="1039" t="s">
        <v>953</v>
      </c>
      <c r="K9" s="1040" t="s">
        <v>891</v>
      </c>
      <c r="L9" s="1039" t="s">
        <v>953</v>
      </c>
      <c r="M9" s="1039" t="s">
        <v>953</v>
      </c>
      <c r="N9" s="1039" t="s">
        <v>953</v>
      </c>
      <c r="O9" s="1039" t="s">
        <v>953</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942</v>
      </c>
      <c r="B12" s="777" t="s">
        <v>943</v>
      </c>
      <c r="C12" s="1046" t="s">
        <v>954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944</v>
      </c>
    </row>
    <row r="15" spans="1:16">
      <c r="A15" s="1160"/>
      <c r="B15" s="1161"/>
      <c r="C15" s="1161"/>
      <c r="D15" s="1163" t="s">
        <v>197</v>
      </c>
      <c r="E15" s="1163"/>
      <c r="F15" s="1163"/>
      <c r="G15" s="1163"/>
      <c r="H15" s="1163"/>
      <c r="I15" s="1161" t="s">
        <v>936</v>
      </c>
      <c r="J15" s="1161" t="s">
        <v>234</v>
      </c>
      <c r="K15" s="1161" t="s">
        <v>937</v>
      </c>
      <c r="L15" s="1161" t="s">
        <v>922</v>
      </c>
      <c r="M15" s="1161" t="s">
        <v>245</v>
      </c>
      <c r="N15" s="1161" t="s">
        <v>945</v>
      </c>
      <c r="O15" s="1161" t="s">
        <v>127</v>
      </c>
      <c r="P15" s="1161"/>
    </row>
    <row r="16" spans="1:16" ht="30">
      <c r="A16" s="1160"/>
      <c r="B16" s="1026" t="s">
        <v>946</v>
      </c>
      <c r="C16" s="1026" t="s">
        <v>947</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953</v>
      </c>
      <c r="C17" s="1039" t="s">
        <v>953</v>
      </c>
      <c r="D17" s="1039" t="s">
        <v>953</v>
      </c>
      <c r="E17" s="1039" t="s">
        <v>953</v>
      </c>
      <c r="F17" s="1039" t="s">
        <v>953</v>
      </c>
      <c r="G17" s="1039" t="s">
        <v>953</v>
      </c>
      <c r="H17" s="1039" t="s">
        <v>953</v>
      </c>
      <c r="I17" s="1039" t="s">
        <v>953</v>
      </c>
      <c r="J17" s="1039" t="s">
        <v>953</v>
      </c>
      <c r="K17" s="1040" t="s">
        <v>891</v>
      </c>
      <c r="L17" s="1040" t="s">
        <v>891</v>
      </c>
      <c r="M17" s="1040" t="s">
        <v>891</v>
      </c>
      <c r="N17" s="1039" t="s">
        <v>953</v>
      </c>
      <c r="O17" s="1039" t="s">
        <v>953</v>
      </c>
      <c r="P17" s="1047"/>
    </row>
    <row r="18" spans="1:16" ht="45">
      <c r="A18" s="1036" t="s">
        <v>258</v>
      </c>
      <c r="B18" s="1041" t="s">
        <v>914</v>
      </c>
      <c r="C18" s="1041" t="s">
        <v>914</v>
      </c>
      <c r="D18" s="1041" t="s">
        <v>914</v>
      </c>
      <c r="E18" s="1041" t="s">
        <v>914</v>
      </c>
      <c r="F18" s="1041" t="s">
        <v>914</v>
      </c>
      <c r="G18" s="1041" t="s">
        <v>914</v>
      </c>
      <c r="H18" s="1041" t="s">
        <v>914</v>
      </c>
      <c r="I18" s="1041" t="s">
        <v>914</v>
      </c>
      <c r="J18" s="1041" t="s">
        <v>914</v>
      </c>
      <c r="K18" s="1041" t="s">
        <v>914</v>
      </c>
      <c r="L18" s="1041" t="s">
        <v>914</v>
      </c>
      <c r="M18" s="1041" t="s">
        <v>914</v>
      </c>
      <c r="N18" s="1041" t="s">
        <v>914</v>
      </c>
      <c r="O18" s="1041" t="s">
        <v>914</v>
      </c>
      <c r="P18" s="1041" t="s">
        <v>914</v>
      </c>
    </row>
    <row r="19" spans="1:16" ht="45">
      <c r="A19" s="1031" t="s">
        <v>948</v>
      </c>
      <c r="B19" s="1041" t="s">
        <v>914</v>
      </c>
      <c r="C19" s="1041" t="s">
        <v>914</v>
      </c>
      <c r="D19" s="1041" t="s">
        <v>914</v>
      </c>
      <c r="E19" s="1041" t="s">
        <v>914</v>
      </c>
      <c r="F19" s="1041" t="s">
        <v>914</v>
      </c>
      <c r="G19" s="1041" t="s">
        <v>914</v>
      </c>
      <c r="H19" s="1041" t="s">
        <v>914</v>
      </c>
      <c r="I19" s="1041" t="s">
        <v>914</v>
      </c>
      <c r="J19" s="1041" t="s">
        <v>914</v>
      </c>
      <c r="K19" s="1041" t="s">
        <v>914</v>
      </c>
      <c r="L19" s="1041" t="s">
        <v>914</v>
      </c>
      <c r="M19" s="1041" t="s">
        <v>914</v>
      </c>
      <c r="N19" s="1041" t="s">
        <v>914</v>
      </c>
      <c r="O19" s="1041" t="s">
        <v>914</v>
      </c>
      <c r="P19" s="1041" t="s">
        <v>914</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949</v>
      </c>
      <c r="B22" s="777" t="s">
        <v>943</v>
      </c>
      <c r="C22" s="1046" t="s">
        <v>955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3" t="s">
        <v>753</v>
      </c>
    </row>
    <row r="7" spans="1:3">
      <c r="A7" s="125"/>
      <c r="B7" s="129"/>
      <c r="C7" s="122"/>
    </row>
    <row r="8" spans="1:3">
      <c r="A8" s="113" t="s">
        <v>594</v>
      </c>
      <c r="B8" s="75" t="s">
        <v>593</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628</v>
      </c>
    </row>
    <row r="13" spans="1:3">
      <c r="A13" s="141"/>
      <c r="B13" s="124"/>
      <c r="C13" s="303"/>
    </row>
    <row r="14" spans="1:3" s="11" customFormat="1">
      <c r="A14" s="113" t="s">
        <v>611</v>
      </c>
      <c r="B14" s="130" t="s">
        <v>612</v>
      </c>
      <c r="C14" s="131" t="s">
        <v>613</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623</v>
      </c>
      <c r="B4" s="475"/>
      <c r="C4" s="475"/>
      <c r="D4" s="475"/>
      <c r="E4" s="475"/>
      <c r="F4" s="475"/>
      <c r="G4" s="507"/>
      <c r="H4" s="507"/>
      <c r="I4" s="475"/>
      <c r="J4" s="475"/>
      <c r="K4" s="475"/>
      <c r="L4" s="475"/>
      <c r="M4" s="475"/>
      <c r="N4" s="475"/>
      <c r="O4" s="475"/>
      <c r="P4" s="475"/>
    </row>
    <row r="5" spans="1:16" outlineLevel="1">
      <c r="A5" s="682" t="s">
        <v>624</v>
      </c>
      <c r="B5" s="475"/>
      <c r="C5" s="475"/>
      <c r="D5" s="475"/>
      <c r="E5" s="475"/>
      <c r="F5" s="475"/>
      <c r="G5" s="507"/>
      <c r="H5" s="507"/>
      <c r="I5" s="475"/>
      <c r="J5" s="475"/>
      <c r="K5" s="475"/>
      <c r="L5" s="475"/>
      <c r="M5" s="475"/>
      <c r="N5" s="475"/>
      <c r="O5" s="475"/>
      <c r="P5" s="475"/>
    </row>
    <row r="6" spans="1:16" outlineLevel="1">
      <c r="A6" s="682" t="s">
        <v>625</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626</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627</v>
      </c>
      <c r="B10" s="475"/>
      <c r="C10" s="475"/>
      <c r="D10" s="475"/>
      <c r="E10" s="475"/>
      <c r="F10" s="475"/>
      <c r="G10" s="507"/>
      <c r="H10" s="507"/>
      <c r="I10" s="475"/>
      <c r="J10" s="475"/>
      <c r="K10" s="475"/>
      <c r="L10" s="475"/>
      <c r="M10" s="475"/>
      <c r="N10" s="475"/>
      <c r="O10" s="886" t="s">
        <v>646</v>
      </c>
      <c r="P10" s="886" t="s">
        <v>645</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589</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616</v>
      </c>
      <c r="B17" s="509">
        <f ca="1">'EF ele_warmte'!B12</f>
        <v>0.21146764592673734</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635</v>
      </c>
      <c r="B27" s="786">
        <f>B24*B25*B26</f>
        <v>0</v>
      </c>
      <c r="C27" s="500" t="s">
        <v>636</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635</v>
      </c>
      <c r="B35" s="785">
        <f>B31*B32*B33/1000-B31*B32*B33/1000/B34</f>
        <v>0</v>
      </c>
      <c r="C35" s="506" t="s">
        <v>636</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2019-06-29T16:07:07Z</dcterms:modified>
</cp:coreProperties>
</file>