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F20" s="1"/>
  <c r="E18"/>
  <c r="D18"/>
  <c r="D20" s="1"/>
  <c r="C18"/>
  <c r="B18"/>
  <c r="L9"/>
  <c r="K9"/>
  <c r="I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D10"/>
  <c r="B8"/>
  <c r="B6"/>
  <c r="B5"/>
  <c r="B4"/>
  <c r="O18" l="1"/>
  <c r="O9"/>
  <c r="O19"/>
  <c r="C98"/>
  <c r="D101" s="1"/>
  <c r="B17"/>
  <c r="B20" s="1"/>
  <c r="G20"/>
  <c r="B10"/>
  <c r="G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H26"/>
  <c r="E25"/>
  <c r="Q26"/>
  <c r="N26"/>
  <c r="J26"/>
  <c r="I26"/>
  <c r="R12"/>
  <c r="D5" i="17"/>
  <c r="C77" i="14" l="1"/>
  <c r="C9" i="55" s="1"/>
  <c r="F9"/>
  <c r="N78" i="14"/>
  <c r="N9" i="55"/>
  <c r="N10" s="1"/>
  <c r="M90" i="14"/>
  <c r="M17" i="55"/>
  <c r="M20" s="1"/>
  <c r="E55" i="14"/>
  <c r="D14" i="48"/>
  <c r="F90" i="14"/>
  <c r="F18" i="55"/>
  <c r="F20" s="1"/>
  <c r="N90" i="14"/>
  <c r="N18" i="55"/>
  <c r="N20" s="1"/>
  <c r="E90" i="14"/>
  <c r="E18" i="55"/>
  <c r="E20" s="1"/>
  <c r="L78" i="14"/>
  <c r="L8" i="55"/>
  <c r="G78" i="14"/>
  <c r="G9" i="55"/>
  <c r="O78" i="14"/>
  <c r="O9" i="55"/>
  <c r="P32" i="48"/>
  <c r="D22" i="14"/>
  <c r="L22"/>
  <c r="G10" i="55"/>
  <c r="P31" i="48"/>
  <c r="C101" i="18"/>
  <c r="L10" i="55"/>
  <c r="K20"/>
  <c r="F101" i="18"/>
  <c r="I8" s="1"/>
  <c r="R9" i="14"/>
  <c r="E10" i="55"/>
  <c r="O10"/>
  <c r="H20"/>
  <c r="P24" i="48"/>
  <c r="B101" i="18"/>
  <c r="C8" s="1"/>
  <c r="D76" i="14" s="1"/>
  <c r="M22"/>
  <c r="O29" i="48"/>
  <c r="O28"/>
  <c r="O25"/>
  <c r="I101" i="18"/>
  <c r="H8" s="1"/>
  <c r="G22" i="14"/>
  <c r="O22"/>
  <c r="P22"/>
  <c r="E101" i="18"/>
  <c r="E8" s="1"/>
  <c r="L90" i="14"/>
  <c r="H10" i="55"/>
  <c r="G20"/>
  <c r="O20"/>
  <c r="H101" i="18"/>
  <c r="J8" s="1"/>
  <c r="H90" i="14"/>
  <c r="Q52"/>
  <c r="K10" i="55"/>
  <c r="O32" i="48"/>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O27" i="48"/>
  <c r="O31"/>
  <c r="P27"/>
  <c r="P28"/>
  <c r="P29"/>
  <c r="Q11"/>
  <c r="Q12"/>
  <c r="O30"/>
  <c r="Q77" i="14"/>
  <c r="D78"/>
  <c r="K90"/>
  <c r="E10" i="18" l="1"/>
  <c r="F76" i="14"/>
  <c r="P9" i="55"/>
  <c r="H10" i="18"/>
  <c r="M76" i="14"/>
  <c r="D8" i="55"/>
  <c r="D10" s="1"/>
  <c r="O17" i="18"/>
  <c r="O20" s="1"/>
  <c r="C10"/>
  <c r="Q14" i="48"/>
  <c r="I10" i="18"/>
  <c r="I76" i="14"/>
  <c r="I8" i="55" s="1"/>
  <c r="I10" s="1"/>
  <c r="J20" i="18"/>
  <c r="J87" i="14"/>
  <c r="I20" i="18"/>
  <c r="I87" i="14"/>
  <c r="I17" i="55" s="1"/>
  <c r="I20" s="1"/>
  <c r="O8" i="18"/>
  <c r="O10" s="1"/>
  <c r="J10"/>
  <c r="J76" i="14"/>
  <c r="Q87"/>
  <c r="D90"/>
  <c r="F8" i="55" l="1"/>
  <c r="F10" s="1"/>
  <c r="F78" i="14"/>
  <c r="J78"/>
  <c r="J8" i="55"/>
  <c r="J10" s="1"/>
  <c r="M8"/>
  <c r="M10" s="1"/>
  <c r="M78" i="14"/>
  <c r="Q90"/>
  <c r="B17" i="6" s="1"/>
  <c r="P17" i="55"/>
  <c r="P20" s="1"/>
  <c r="J90" i="14"/>
  <c r="J17" i="55"/>
  <c r="J20" s="1"/>
  <c r="Q76" i="14"/>
  <c r="I78"/>
  <c r="C76"/>
  <c r="B76"/>
  <c r="I90"/>
  <c r="B87"/>
  <c r="C87"/>
  <c r="H14" i="15"/>
  <c r="H16" s="1"/>
  <c r="G14"/>
  <c r="G16" s="1"/>
  <c r="H10" i="14" l="1"/>
  <c r="H16" s="1"/>
  <c r="G5" i="48"/>
  <c r="P8" i="55"/>
  <c r="P10" s="1"/>
  <c r="Q78" i="14"/>
  <c r="B9" i="6" s="1"/>
  <c r="C78" i="14"/>
  <c r="C8" i="55"/>
  <c r="C10" s="1"/>
  <c r="B78" i="14"/>
  <c r="B4" i="6" s="1"/>
  <c r="B8" i="55"/>
  <c r="B10" s="1"/>
  <c r="B90" i="14"/>
  <c r="B17" i="55"/>
  <c r="B20" s="1"/>
  <c r="C90" i="14"/>
  <c r="C17" i="55"/>
  <c r="C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2"/>
  <c r="K27"/>
  <c r="K29"/>
  <c r="K28"/>
  <c r="K26"/>
  <c r="K25"/>
  <c r="K24"/>
  <c r="B10"/>
  <c r="C19" i="14"/>
  <c r="J10"/>
  <c r="J16" s="1"/>
  <c r="J27" s="1"/>
  <c r="I5" i="48"/>
  <c r="J32"/>
  <c r="J30"/>
  <c r="J28"/>
  <c r="J29"/>
  <c r="J27"/>
  <c r="J31"/>
  <c r="J24"/>
  <c r="P4"/>
  <c r="Q11" i="14"/>
  <c r="O4" i="48"/>
  <c r="P11" i="14"/>
  <c r="I30" i="48"/>
  <c r="I24"/>
  <c r="I25"/>
  <c r="I32"/>
  <c r="I22"/>
  <c r="I28"/>
  <c r="I27"/>
  <c r="I31"/>
  <c r="I26"/>
  <c r="I29"/>
  <c r="H12" i="22"/>
  <c r="H14" s="1"/>
  <c r="H13" i="48"/>
  <c r="H31" s="1"/>
  <c r="I18" i="14"/>
  <c r="E11"/>
  <c r="D4" i="48"/>
  <c r="H30"/>
  <c r="H32"/>
  <c r="H25"/>
  <c r="H26"/>
  <c r="H22"/>
  <c r="H24"/>
  <c r="H29"/>
  <c r="H28"/>
  <c r="H23"/>
  <c r="C4"/>
  <c r="D11" i="14"/>
  <c r="G30" i="48"/>
  <c r="G32"/>
  <c r="G26"/>
  <c r="G24"/>
  <c r="G22"/>
  <c r="G29"/>
  <c r="G25"/>
  <c r="G23"/>
  <c r="M5"/>
  <c r="N10" i="14"/>
  <c r="N16" s="1"/>
  <c r="B4" i="48"/>
  <c r="C11" i="14"/>
  <c r="F32" i="48"/>
  <c r="F28"/>
  <c r="F27"/>
  <c r="F29"/>
  <c r="F24"/>
  <c r="F31"/>
  <c r="F30"/>
  <c r="N32"/>
  <c r="N28"/>
  <c r="N27"/>
  <c r="N29"/>
  <c r="N24"/>
  <c r="N31"/>
  <c r="N30"/>
  <c r="B7"/>
  <c r="C24" i="14"/>
  <c r="C26" s="1"/>
  <c r="E30" i="48"/>
  <c r="E24"/>
  <c r="E32"/>
  <c r="E31"/>
  <c r="E29"/>
  <c r="E28"/>
  <c r="M32"/>
  <c r="M30"/>
  <c r="M24"/>
  <c r="M25"/>
  <c r="M29"/>
  <c r="M26"/>
  <c r="M22"/>
  <c r="L10" i="14"/>
  <c r="L16" s="1"/>
  <c r="L27" s="1"/>
  <c r="K5" i="48"/>
  <c r="D22"/>
  <c r="D30"/>
  <c r="D24"/>
  <c r="D28"/>
  <c r="D31"/>
  <c r="D29"/>
  <c r="D32"/>
  <c r="L30"/>
  <c r="L28"/>
  <c r="L24"/>
  <c r="L32"/>
  <c r="L27"/>
  <c r="L22"/>
  <c r="L29"/>
  <c r="L31"/>
  <c r="P5"/>
  <c r="P23" s="1"/>
  <c r="Q10"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0" i="14" l="1"/>
  <c r="I22" s="1"/>
  <c r="I27" s="1"/>
  <c r="H9" i="48"/>
  <c r="G12" i="22"/>
  <c r="G13" i="48"/>
  <c r="H18" i="14"/>
  <c r="R18" s="1"/>
  <c r="M23" i="48"/>
  <c r="P22" i="16"/>
  <c r="Q43" i="14" s="1"/>
  <c r="Q13"/>
  <c r="P8" i="48"/>
  <c r="P26" s="1"/>
  <c r="K15"/>
  <c r="K23"/>
  <c r="P22"/>
  <c r="I15"/>
  <c r="I23"/>
  <c r="O22"/>
  <c r="O5"/>
  <c r="O23" s="1"/>
  <c r="P10" i="14"/>
  <c r="M13" i="48"/>
  <c r="M31" s="1"/>
  <c r="N18" i="14"/>
  <c r="F4" i="48"/>
  <c r="F22" s="1"/>
  <c r="G11" i="14"/>
  <c r="K33" i="48"/>
  <c r="G31" i="20"/>
  <c r="H48" i="14" s="1"/>
  <c r="I52"/>
  <c r="I61" s="1"/>
  <c r="I63" s="1"/>
  <c r="I33" i="48"/>
  <c r="J46" i="14"/>
  <c r="J61" s="1"/>
  <c r="J63" s="1"/>
  <c r="Q16"/>
  <c r="Q27" s="1"/>
  <c r="N46"/>
  <c r="D16" i="15"/>
  <c r="D20" s="1"/>
  <c r="E40" i="14" s="1"/>
  <c r="L46"/>
  <c r="L61" s="1"/>
  <c r="L63"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H20" i="14" l="1"/>
  <c r="G9" i="48"/>
  <c r="G31"/>
  <c r="Q13"/>
  <c r="C20" i="14"/>
  <c r="B9" i="48"/>
  <c r="F20" i="14"/>
  <c r="F22" s="1"/>
  <c r="E9" i="48"/>
  <c r="E27" s="1"/>
  <c r="D9"/>
  <c r="D27" s="1"/>
  <c r="E20" i="14"/>
  <c r="E22" s="1"/>
  <c r="P13"/>
  <c r="O8" i="48"/>
  <c r="O26" s="1"/>
  <c r="O33" s="1"/>
  <c r="N4"/>
  <c r="N22" s="1"/>
  <c r="O11" i="14"/>
  <c r="M10" i="48"/>
  <c r="M28" s="1"/>
  <c r="N19" i="14"/>
  <c r="E12" i="13"/>
  <c r="F41" i="14" s="1"/>
  <c r="F11"/>
  <c r="E4" i="48"/>
  <c r="J4"/>
  <c r="J22" s="1"/>
  <c r="K11" i="14"/>
  <c r="G10" i="48"/>
  <c r="H19" i="14"/>
  <c r="R19" s="1"/>
  <c r="H27" i="48"/>
  <c r="H33" s="1"/>
  <c r="H15"/>
  <c r="P46" i="14"/>
  <c r="P61" s="1"/>
  <c r="P63" s="1"/>
  <c r="P16"/>
  <c r="P27" s="1"/>
  <c r="Q63"/>
  <c r="E10"/>
  <c r="P15" i="48"/>
  <c r="D5"/>
  <c r="P3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C22" l="1"/>
  <c r="G28" i="48"/>
  <c r="Q10"/>
  <c r="M18" i="22"/>
  <c r="N50" i="14" s="1"/>
  <c r="N52" s="1"/>
  <c r="N61" s="1"/>
  <c r="N20"/>
  <c r="N22" s="1"/>
  <c r="N27" s="1"/>
  <c r="M9" i="48"/>
  <c r="G27"/>
  <c r="G15"/>
  <c r="E22"/>
  <c r="Q4"/>
  <c r="Q9"/>
  <c r="B15"/>
  <c r="O15"/>
  <c r="D15"/>
  <c r="H22" i="14"/>
  <c r="H27" s="1"/>
  <c r="H63" s="1"/>
  <c r="R11"/>
  <c r="J5" i="48"/>
  <c r="K10" i="14"/>
  <c r="E20" i="15"/>
  <c r="F40" i="14" s="1"/>
  <c r="E5" i="48"/>
  <c r="F10" i="14"/>
  <c r="L15" i="48"/>
  <c r="Q7"/>
  <c r="R24" i="14"/>
  <c r="R26" s="1"/>
  <c r="J18" i="16"/>
  <c r="N18"/>
  <c r="E18"/>
  <c r="F18"/>
  <c r="F22" s="1"/>
  <c r="G43" i="14" s="1"/>
  <c r="M27" i="48" l="1"/>
  <c r="M33" s="1"/>
  <c r="M15"/>
  <c r="N63" i="14"/>
  <c r="G33" i="48"/>
  <c r="R20" i="14"/>
  <c r="R22" s="1"/>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<sst xmlns="http://schemas.openxmlformats.org/spreadsheetml/2006/main" count="2502" uniqueCount="969">
  <si>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</si>
  <si>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</si>
  <si>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</si>
  <si>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</si>
  <si>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</si>
  <si>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</si>
  <si>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</si>
  <si>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</si>
  <si>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</si>
  <si>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</si>
  <si>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</si>
  <si>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</si>
  <si>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</si>
  <si>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</si>
  <si>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</si>
  <si>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</si>
  <si>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</si>
  <si>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</si>
  <si>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</si>
  <si>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</si>
  <si>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</si>
  <si>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</si>
  <si>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</si>
  <si>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</si>
  <si>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</si>
  <si>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</si>
  <si>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</si>
  <si>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</si>
  <si>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</si>
  <si>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</si>
  <si>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</si>
  <si>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</si>
  <si>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</si>
  <si>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</si>
  <si>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</si>
  <si>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</si>
  <si>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</si>
  <si>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</si>
  <si>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</si>
  <si>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</si>
  <si>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</si>
  <si>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</si>
  <si>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</si>
  <si>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</si>
  <si>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</si>
  <si>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</si>
  <si>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</si>
  <si>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</si>
  <si>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</si>
  <si>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</si>
  <si>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</si>
  <si>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</si>
  <si>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</si>
  <si>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</si>
  <si>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</si>
  <si>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</si>
  <si>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</si>
  <si>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</si>
  <si>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</si>
  <si>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</si>
  <si>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</si>
  <si>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</si>
  <si>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</si>
  <si>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</si>
  <si>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</si>
  <si>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</si>
  <si>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</si>
  <si>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</si>
  <si>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</si>
  <si>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</si>
  <si>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</si>
  <si>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</si>
  <si>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</si>
  <si>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</si>
  <si>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</si>
  <si>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</si>
  <si>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</si>
  <si>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</si>
  <si>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</si>
  <si>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</si>
  <si>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</si>
  <si>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</si>
  <si>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</si>
  <si>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</si>
  <si>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</si>
  <si>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</si>
  <si>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</si>
  <si>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</si>
  <si>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</si>
  <si>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</si>
  <si>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</si>
  <si>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</si>
  <si>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</si>
  <si>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</si>
  <si>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</si>
  <si>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</si>
  <si>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</si>
  <si>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</si>
  <si>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</si>
  <si>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</si>
  <si>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</si>
  <si>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</si>
  <si>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</si>
  <si>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</si>
  <si>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</si>
  <si>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</si>
  <si>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</si>
  <si>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</si>
  <si>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</si>
  <si>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</si>
  <si>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</si>
  <si>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</si>
  <si>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</si>
  <si>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</si>
  <si>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</si>
  <si>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</si>
  <si>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</si>
  <si>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</si>
  <si>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</si>
  <si>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</si>
  <si>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</si>
  <si>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</si>
  <si>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</si>
  <si>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</si>
  <si>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</si>
  <si>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</si>
  <si>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</si>
  <si>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</si>
  <si>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</si>
  <si>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</si>
  <si>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</si>
  <si>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</si>
  <si>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</si>
  <si>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</si>
  <si>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</si>
  <si>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</si>
  <si>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</si>
  <si>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</si>
  <si>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</si>
  <si>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</si>
  <si>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</si>
  <si>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</si>
  <si>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</si>
  <si>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</si>
  <si>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</si>
  <si>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</si>
  <si>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</si>
  <si>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</si>
  <si>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</si>
  <si>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</si>
  <si>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</si>
  <si>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</si>
  <si>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</si>
  <si>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</si>
  <si>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</si>
  <si>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</si>
  <si>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</si>
  <si>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</si>
  <si>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</si>
  <si>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</si>
  <si>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</si>
  <si>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</si>
  <si>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</si>
  <si>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</si>
  <si>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</si>
  <si>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</si>
  <si>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</si>
  <si>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</si>
  <si>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</si>
  <si>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</si>
  <si>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</si>
  <si>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</si>
  <si>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</si>
  <si>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</si>
  <si>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</si>
  <si>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</si>
  <si>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</si>
  <si>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</si>
  <si>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</si>
  <si>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</si>
  <si>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</si>
  <si>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</si>
  <si>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</si>
  <si>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</si>
  <si>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</si>
  <si>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</si>
  <si>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</si>
  <si>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</si>
  <si>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</si>
  <si>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</si>
  <si>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</si>
  <si>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</si>
  <si>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</si>
  <si>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</si>
  <si>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</si>
  <si>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</si>
  <si>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</si>
  <si>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</si>
  <si>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</si>
  <si>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</si>
  <si>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</si>
  <si>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</si>
  <si>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</si>
  <si>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</si>
  <si>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</si>
  <si>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</si>
  <si>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</si>
  <si>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</si>
  <si>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</si>
  <si>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</si>
  <si>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</si>
  <si>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</si>
  <si>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</si>
  <si>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</si>
  <si>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</si>
  <si>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</si>
  <si>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</si>
  <si>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</si>
  <si>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</si>
  <si>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</si>
  <si>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</si>
  <si>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</si>
  <si>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</si>
  <si>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</si>
  <si>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</si>
  <si>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</si>
  <si>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</si>
  <si>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</si>
  <si>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</si>
  <si>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</si>
  <si>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</si>
  <si>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</si>
  <si>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</si>
  <si>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</si>
  <si>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</si>
  <si>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</si>
  <si>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</si>
  <si>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</si>
  <si>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</si>
  <si>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</si>
  <si>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</si>
  <si>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</si>
  <si>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</si>
  <si>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</si>
  <si>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</si>
  <si>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</si>
  <si>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</si>
  <si>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</si>
  <si>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</si>
  <si>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</si>
  <si>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</si>
  <si>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</si>
  <si>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</si>
  <si>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</si>
  <si>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</si>
  <si>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</si>
  <si>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</si>
  <si>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</si>
  <si>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</si>
  <si>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</si>
  <si>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</si>
  <si>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</si>
  <si>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</si>
  <si>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</si>
  <si>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</si>
  <si>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</si>
  <si>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</si>
  <si>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</si>
  <si>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</si>
  <si>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</si>
  <si>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</si>
  <si>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</si>
  <si>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</si>
  <si>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</si>
  <si>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</si>
  <si>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</si>
  <si>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</si>
  <si>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</si>
  <si>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</si>
  <si>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</si>
  <si>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</si>
  <si>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</si>
  <si>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</si>
  <si>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</si>
  <si>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</si>
  <si>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</si>
  <si>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</si>
  <si>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</si>
  <si>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</si>
  <si>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</si>
  <si>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</si>
  <si>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</si>
  <si>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</si>
  <si>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</si>
  <si>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</si>
  <si>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</si>
  <si>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</si>
  <si>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</si>
  <si>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</si>
  <si>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</si>
  <si>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</si>
  <si>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</si>
  <si>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</si>
  <si>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</si>
  <si>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</si>
  <si>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</si>
  <si>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</si>
  <si>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</si>
  <si>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</si>
  <si>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</si>
  <si>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</si>
  <si>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</si>
  <si>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</si>
  <si>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</si>
  <si>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</si>
  <si>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</si>
  <si>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</si>
  <si>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</si>
  <si>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</si>
  <si>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</si>
  <si>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</si>
  <si>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</si>
  <si>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</si>
  <si>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</si>
  <si>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</si>
  <si>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</si>
  <si>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</si>
  <si>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</si>
  <si>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</si>
  <si>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</si>
  <si>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</si>
  <si>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</si>
  <si>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</si>
  <si>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</si>
  <si>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</si>
  <si>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</si>
  <si>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</si>
  <si>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</si>
  <si>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</si>
  <si>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</si>
  <si>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</si>
  <si>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</si>
  <si>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</si>
  <si>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</si>
  <si>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</si>
  <si>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</si>
  <si>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</si>
  <si>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</si>
  <si>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</si>
  <si>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</si>
  <si>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</si>
  <si>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</si>
  <si>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</si>
  <si>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</si>
  <si>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</si>
  <si>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</si>
  <si>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</si>
  <si>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</si>
  <si>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</si>
  <si>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</si>
  <si>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</si>
  <si>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</si>
  <si>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</si>
  <si>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</si>
  <si>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</si>
  <si>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</si>
  <si>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</si>
  <si>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</si>
  <si>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</si>
  <si>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</si>
  <si>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</si>
  <si>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</si>
  <si>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</si>
  <si>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</si>
  <si>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</si>
  <si>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</si>
  <si>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</si>
  <si>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</si>
  <si>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</si>
  <si>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</si>
  <si>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</si>
  <si>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</si>
  <si>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</si>
  <si>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</si>
  <si>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</si>
  <si>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</si>
  <si>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</si>
  <si>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</si>
  <si>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</si>
  <si>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</si>
  <si>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</si>
  <si>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</si>
  <si>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</si>
  <si>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</si>
  <si>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</si>
  <si>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</si>
  <si>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</si>
  <si>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</si>
  <si>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</si>
  <si>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</si>
  <si>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</si>
  <si>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</si>
  <si>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</si>
  <si>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</si>
  <si>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</si>
  <si>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</si>
  <si>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</si>
  <si>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</si>
  <si>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</si>
  <si>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</si>
  <si>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</si>
  <si>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</si>
  <si>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</si>
  <si>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</si>
  <si>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</si>
  <si>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</si>
  <si>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</si>
  <si>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</si>
  <si>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</si>
  <si>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</si>
  <si>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</si>
  <si>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</si>
  <si>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</si>
  <si>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</si>
  <si>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</si>
  <si>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</si>
  <si>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</si>
  <si>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</si>
  <si>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</si>
  <si>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</si>
  <si>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</si>
  <si>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</si>
  <si>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</si>
  <si>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</si>
  <si>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</si>
  <si>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</si>
  <si>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</si>
  <si>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</si>
  <si>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</si>
  <si>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</si>
  <si>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</si>
  <si>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</si>
  <si>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</si>
  <si>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</si>
  <si>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</si>
  <si>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</si>
  <si>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</si>
  <si>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</si>
  <si>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</si>
  <si>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</si>
  <si>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</si>
  <si>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</si>
  <si>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</si>
  <si>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</si>
  <si>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</si>
  <si>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</si>
  <si>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</si>
  <si>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</si>
  <si>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</si>
  <si>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</si>
  <si>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</si>
  <si>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</si>
  <si>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</si>
  <si>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</si>
  <si>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</si>
  <si>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</si>
  <si>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</si>
  <si>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</si>
  <si>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</si>
  <si>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</si>
  <si>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</si>
  <si>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</si>
  <si>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</si>
  <si>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</si>
  <si>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</si>
  <si>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</si>
  <si>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</si>
  <si>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</si>
  <si>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</si>
  <si>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</si>
  <si>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</si>
  <si>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</si>
  <si>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</si>
  <si>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</si>
  <si>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</si>
  <si>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</si>
  <si>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</si>
  <si>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</si>
  <si>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</si>
  <si>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</si>
  <si>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</si>
  <si>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</si>
  <si>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</si>
  <si>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</si>
  <si>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</si>
  <si>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</si>
  <si>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</si>
  <si>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</si>
  <si>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</si>
  <si>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</si>
  <si>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</si>
  <si>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</si>
  <si>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</si>
  <si>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</si>
  <si>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</si>
  <si>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</si>
  <si>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</si>
  <si>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</si>
  <si>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</si>
  <si>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</si>
  <si>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</si>
  <si>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</si>
  <si>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</si>
  <si>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</si>
  <si>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</si>
  <si>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</si>
  <si>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</si>
  <si>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</si>
  <si>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</si>
  <si>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</si>
  <si>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</si>
  <si>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</si>
  <si>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</si>
  <si>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</si>
  <si>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</si>
  <si>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</si>
  <si>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</si>
  <si>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</si>
  <si>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</si>
  <si>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</si>
  <si>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</si>
  <si>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</si>
  <si>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</si>
  <si>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</si>
  <si>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</si>
  <si>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</si>
  <si>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</si>
  <si>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</si>
  <si>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</si>
  <si>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</si>
  <si>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</si>
  <si>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</si>
  <si>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</si>
  <si>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</si>
  <si>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</si>
  <si>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</si>
  <si>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</si>
  <si>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</si>
  <si>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</si>
  <si>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</si>
  <si>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</si>
  <si>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</si>
  <si>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</si>
  <si>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</si>
  <si>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</si>
  <si>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</si>
  <si>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</si>
  <si>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</si>
  <si>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</si>
  <si>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</si>
  <si>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</si>
  <si>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</si>
  <si>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</si>
  <si>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</si>
  <si>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</si>
  <si>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</si>
  <si>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</si>
  <si>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</si>
  <si>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</si>
  <si>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</si>
  <si>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</si>
  <si>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</si>
  <si>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</si>
  <si>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</si>
  <si>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</si>
  <si>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</si>
  <si>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</si>
  <si>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</si>
  <si>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</si>
  <si>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</si>
  <si>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</si>
  <si>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</si>
  <si>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</si>
  <si>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</si>
  <si>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</si>
  <si>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</si>
  <si>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</si>
  <si>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</si>
  <si>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</si>
  <si>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</si>
  <si>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</si>
  <si>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</si>
  <si>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</si>
  <si>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</si>
  <si>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</si>
  <si>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</si>
  <si>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</si>
  <si>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</si>
  <si>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</si>
  <si>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</si>
  <si>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</si>
  <si>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</si>
  <si>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</si>
  <si>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</si>
  <si>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</si>
  <si>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</si>
  <si>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</si>
  <si>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</si>
  <si>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</si>
  <si>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</si>
  <si>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</si>
  <si>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</si>
  <si>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</si>
  <si>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</si>
  <si>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</si>
  <si>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</si>
  <si>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</si>
  <si>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</si>
  <si>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</si>
  <si>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</si>
  <si>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</si>
  <si>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</si>
  <si>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</si>
  <si>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</si>
  <si>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</si>
  <si>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</si>
  <si>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</si>
  <si>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</si>
  <si>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</si>
  <si>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</si>
  <si>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</si>
  <si>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</si>
  <si>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</si>
  <si>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</si>
  <si>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</si>
  <si>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</si>
  <si>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</si>
  <si>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</si>
  <si>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</si>
  <si>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</si>
  <si>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</si>
  <si>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</si>
  <si>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</si>
  <si>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</si>
  <si>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</si>
  <si>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</si>
  <si>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</si>
  <si>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</si>
  <si>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</si>
  <si>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</si>
  <si>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</si>
  <si>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</si>
  <si>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</si>
  <si>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</si>
  <si>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</si>
  <si>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</si>
  <si>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</si>
  <si>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</si>
  <si>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</si>
  <si>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</si>
  <si>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</si>
  <si>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</si>
  <si>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</si>
  <si>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</si>
  <si>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</si>
  <si>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</si>
  <si>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</si>
  <si>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</si>
  <si>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</si>
  <si>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</si>
  <si>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</si>
  <si>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</si>
  <si>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</si>
  <si>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</si>
  <si>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</si>
  <si>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</si>
  <si>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</si>
  <si>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</si>
  <si>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</si>
  <si>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</si>
  <si>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</si>
  <si>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</si>
  <si>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</si>
  <si>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</si>
  <si>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</si>
  <si>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</si>
  <si>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</si>
  <si>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</si>
  <si>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</si>
  <si>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</si>
  <si>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</si>
  <si>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</si>
  <si>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</si>
  <si>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</si>
  <si>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</si>
  <si>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</si>
  <si>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</si>
  <si>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</si>
  <si>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</si>
  <si>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</si>
  <si>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</si>
  <si>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</si>
  <si>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</si>
  <si>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</si>
  <si>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</si>
  <si>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</si>
  <si>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</si>
  <si>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</si>
  <si>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</si>
  <si>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</si>
  <si>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</si>
  <si>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</si>
  <si>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</si>
  <si>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</si>
  <si>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</si>
  <si>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</si>
  <si>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</si>
  <si>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</si>
  <si>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</si>
  <si>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</si>
  <si>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</si>
  <si>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</si>
  <si>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</si>
  <si>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</si>
  <si>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</si>
  <si>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</si>
  <si>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</si>
  <si>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</si>
  <si>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</si>
  <si>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</si>
  <si>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</si>
  <si>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</si>
  <si>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</si>
  <si>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</si>
  <si>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</si>
  <si>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</si>
  <si>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</si>
  <si>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</si>
  <si>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</si>
  <si>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</si>
  <si>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</si>
  <si>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</si>
  <si>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</si>
  <si>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</si>
  <si>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</si>
  <si>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</si>
  <si>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</si>
  <si>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</si>
  <si>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</si>
  <si>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</si>
  <si>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</si>
  <si>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</si>
  <si>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</si>
  <si>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</si>
  <si>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</si>
  <si>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</si>
  <si>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</si>
  <si>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</si>
  <si>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</si>
  <si>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</si>
  <si>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</si>
  <si>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</si>
  <si>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</si>
  <si>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</si>
  <si>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</si>
  <si>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</si>
  <si>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</si>
  <si>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</si>
  <si>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</si>
  <si>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</si>
  <si>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</si>
  <si>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</si>
  <si>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</si>
  <si>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</si>
  <si>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</si>
  <si>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</si>
  <si>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</si>
  <si>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</si>
  <si>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</si>
  <si>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</si>
  <si>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</si>
  <si>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</si>
  <si>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</si>
  <si>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</si>
  <si>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</si>
  <si>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</si>
  <si>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</si>
  <si>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</si>
  <si>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</si>
  <si>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</si>
  <si>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</si>
  <si>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</si>
  <si>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</si>
  <si>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</si>
  <si>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</si>
  <si>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</si>
  <si>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</si>
  <si>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</si>
  <si>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</si>
  <si>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</si>
  <si>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</si>
  <si>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</si>
  <si>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</si>
  <si>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</si>
  <si>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</si>
  <si>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</si>
  <si>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</si>
  <si>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</si>
  <si>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</si>
  <si>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</si>
  <si>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</si>
  <si>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</si>
  <si>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</si>
  <si>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</si>
  <si>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</si>
  <si>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</si>
  <si>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</si>
  <si>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</si>
  <si>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</si>
  <si>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</si>
  <si>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</si>
  <si>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</si>
  <si>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</si>
  <si>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</si>
  <si>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</si>
  <si>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</si>
  <si>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</si>
  <si>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</si>
  <si>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</si>
  <si>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</si>
  <si>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</si>
  <si>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</si>
  <si>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</si>
  <si>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</si>
  <si>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</si>
  <si>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</si>
  <si>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</si>
  <si>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</si>
  <si>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</si>
  <si>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</si>
  <si>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</si>
  <si>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</si>
  <si>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</si>
  <si>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</si>
  <si>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</si>
  <si>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</si>
  <si>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</si>
  <si>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</si>
  <si>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</si>
  <si>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</si>
  <si>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</si>
  <si>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</si>
  <si>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</si>
  <si>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</si>
  <si>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</si>
  <si>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</si>
  <si>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</si>
  <si>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</si>
  <si>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</si>
  <si>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</si>
  <si>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</si>
  <si>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</si>
  <si>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</si>
  <si>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</si>
  <si>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</si>
  <si>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</si>
  <si>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</si>
  <si>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</si>
  <si>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</si>
  <si>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</si>
  <si>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</si>
  <si>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</si>
  <si>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</si>
  <si>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</si>
  <si>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</si>
  <si>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</si>
  <si>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</si>
  <si>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</si>
  <si>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</si>
  <si>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</si>
  <si>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</si>
  <si>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</si>
  <si>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</si>
  <si>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</si>
  <si>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</si>
  <si>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</si>
  <si>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</si>
  <si>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</si>
  <si>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</si>
  <si>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</si>
  <si>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</si>
  <si>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</si>
  <si>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</si>
  <si>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</si>
  <si>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</si>
  <si>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</si>
  <si>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</si>
  <si>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</si>
  <si>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</si>
  <si>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</si>
  <si>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</si>
  <si>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</si>
  <si>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</si>
  <si>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</si>
  <si>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</si>
  <si>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</si>
  <si>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</si>
  <si>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</si>
  <si>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</si>
  <si>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</si>
  <si>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</si>
  <si>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</si>
  <si>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</si>
  <si>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</si>
  <si>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</si>
  <si>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</si>
  <si>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</si>
  <si>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</si>
  <si>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</si>
  <si>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</si>
  <si>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</si>
  <si>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</si>
  <si>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</si>
  <si>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</si>
  <si>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</si>
  <si>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</si>
  <si>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</si>
  <si>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</si>
  <si>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</si>
  <si>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</si>
  <si>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</si>
  <si>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</si>
  <si>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</si>
  <si>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</si>
  <si>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</si>
  <si>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</si>
  <si>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</si>
  <si>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</si>
  <si>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</si>
  <si>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</si>
  <si>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</si>
  <si>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</si>
  <si>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</si>
  <si>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</si>
  <si>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</si>
  <si>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</si>
  <si>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</si>
  <si>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</si>
  <si>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</si>
  <si>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</si>
  <si>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</si>
  <si>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</si>
  <si>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</si>
  <si>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</si>
  <si>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71011</t>
  </si>
  <si>
    <t>DIEPENBEEK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</si>
  <si>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</si>
  <si>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</si>
  <si>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</si>
  <si>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</si>
  <si>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</si>
  <si>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</si>
  <si>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</si>
  <si>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KH Limburg</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</si>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</sst>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71011</v>
      </c>
      <c r="B6" s="396"/>
      <c r="C6" s="397"/>
    </row>
    <row r="7" spans="1:7" s="394" customFormat="1" ht="15.75" customHeight="1">
      <c r="A7" s="398" t="str">
        <f>txtMunicipality</f>
        <v>DIEPENBEEK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23854.297999999999</v>
      </c>
      <c r="D10" s="687">
        <f ca="1">tertiair!C16</f>
        <v>321.42857142857144</v>
      </c>
      <c r="E10" s="687">
        <f ca="1">tertiair!D16</f>
        <v>22914.141971142857</v>
      </c>
      <c r="F10" s="687">
        <f>tertiair!E16</f>
        <v>422.20877991459196</v>
      </c>
      <c r="G10" s="687">
        <f ca="1">tertiair!F16</f>
        <v>6170.4619124667979</v>
      </c>
      <c r="H10" s="687">
        <f>tertiair!G16</f>
        <v>0</v>
      </c>
      <c r="I10" s="687">
        <f>tertiair!H16</f>
        <v>0</v>
      </c>
      <c r="J10" s="687">
        <f>tertiair!I16</f>
        <v>0</v>
      </c>
      <c r="K10" s="687">
        <f>tertiair!J16</f>
        <v>0</v>
      </c>
      <c r="L10" s="687">
        <f>tertiair!K16</f>
        <v>0</v>
      </c>
      <c r="M10" s="687">
        <f ca="1">tertiair!L16</f>
        <v>0</v>
      </c>
      <c r="N10" s="687">
        <f>tertiair!M16</f>
        <v>0</v>
      </c>
      <c r="O10" s="687">
        <f ca="1">tertiair!N16</f>
        <v>509.34639865602242</v>
      </c>
      <c r="P10" s="687">
        <f>tertiair!O16</f>
        <v>4.6900000000000004</v>
      </c>
      <c r="Q10" s="688">
        <f>tertiair!P16</f>
        <v>19.066666666666666</v>
      </c>
      <c r="R10" s="690">
        <f ca="1">SUM(C10:Q10)</f>
        <v>54215.642300275504</v>
      </c>
      <c r="S10" s="67"/>
    </row>
    <row r="11" spans="1:19" s="456" customFormat="1">
      <c r="A11" s="802" t="s">
        <v>225</v>
      </c>
      <c r="B11" s="807"/>
      <c r="C11" s="687">
        <f>huishoudens!B8</f>
        <v>35559.114092088465</v>
      </c>
      <c r="D11" s="687">
        <f>huishoudens!C8</f>
        <v>0</v>
      </c>
      <c r="E11" s="687">
        <f>huishoudens!D8</f>
        <v>48815.810647999999</v>
      </c>
      <c r="F11" s="687">
        <f>huishoudens!E8</f>
        <v>2129.1202625987698</v>
      </c>
      <c r="G11" s="687">
        <f>huishoudens!F8</f>
        <v>61688.817195364223</v>
      </c>
      <c r="H11" s="687">
        <f>huishoudens!G8</f>
        <v>0</v>
      </c>
      <c r="I11" s="687">
        <f>huishoudens!H8</f>
        <v>0</v>
      </c>
      <c r="J11" s="687">
        <f>huishoudens!I8</f>
        <v>0</v>
      </c>
      <c r="K11" s="687">
        <f>huishoudens!J8</f>
        <v>0</v>
      </c>
      <c r="L11" s="687">
        <f>huishoudens!K8</f>
        <v>0</v>
      </c>
      <c r="M11" s="687">
        <f>huishoudens!L8</f>
        <v>0</v>
      </c>
      <c r="N11" s="687">
        <f>huishoudens!M8</f>
        <v>0</v>
      </c>
      <c r="O11" s="687">
        <f>huishoudens!N8</f>
        <v>14432.644090937356</v>
      </c>
      <c r="P11" s="687">
        <f>huishoudens!O8</f>
        <v>136.01000000000002</v>
      </c>
      <c r="Q11" s="688">
        <f>huishoudens!P8</f>
        <v>572</v>
      </c>
      <c r="R11" s="690">
        <f>SUM(C11:Q11)</f>
        <v>163333.51628898882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12626.199000000001</v>
      </c>
      <c r="D13" s="687">
        <f>industrie!C18</f>
        <v>0</v>
      </c>
      <c r="E13" s="687">
        <f>industrie!D18</f>
        <v>4372.5604560000002</v>
      </c>
      <c r="F13" s="687">
        <f>industrie!E18</f>
        <v>111.47246196088406</v>
      </c>
      <c r="G13" s="687">
        <f>industrie!F18</f>
        <v>2857.9264710948164</v>
      </c>
      <c r="H13" s="687">
        <f>industrie!G18</f>
        <v>0</v>
      </c>
      <c r="I13" s="687">
        <f>industrie!H18</f>
        <v>0</v>
      </c>
      <c r="J13" s="687">
        <f>industrie!I18</f>
        <v>0</v>
      </c>
      <c r="K13" s="687">
        <f>industrie!J18</f>
        <v>184.91212899213826</v>
      </c>
      <c r="L13" s="687">
        <f>industrie!K18</f>
        <v>0</v>
      </c>
      <c r="M13" s="687">
        <f>industrie!L18</f>
        <v>0</v>
      </c>
      <c r="N13" s="687">
        <f>industrie!M18</f>
        <v>0</v>
      </c>
      <c r="O13" s="687">
        <f>industrie!N18</f>
        <v>214.50020955241808</v>
      </c>
      <c r="P13" s="687">
        <f>industrie!O18</f>
        <v>0</v>
      </c>
      <c r="Q13" s="688">
        <f>industrie!P18</f>
        <v>0</v>
      </c>
      <c r="R13" s="690">
        <f>SUM(C13:Q13)</f>
        <v>20367.570727600254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72039.611092088453</v>
      </c>
      <c r="D16" s="720">
        <f t="shared" ref="D16:R16" ca="1" si="0">SUM(D9:D15)</f>
        <v>321.42857142857144</v>
      </c>
      <c r="E16" s="720">
        <f t="shared" ca="1" si="0"/>
        <v>76102.513075142866</v>
      </c>
      <c r="F16" s="720">
        <f t="shared" si="0"/>
        <v>2662.801504474246</v>
      </c>
      <c r="G16" s="720">
        <f t="shared" ca="1" si="0"/>
        <v>70717.205578925845</v>
      </c>
      <c r="H16" s="720">
        <f t="shared" si="0"/>
        <v>0</v>
      </c>
      <c r="I16" s="720">
        <f t="shared" si="0"/>
        <v>0</v>
      </c>
      <c r="J16" s="720">
        <f t="shared" si="0"/>
        <v>0</v>
      </c>
      <c r="K16" s="720">
        <f t="shared" si="0"/>
        <v>184.91212899213826</v>
      </c>
      <c r="L16" s="720">
        <f t="shared" si="0"/>
        <v>0</v>
      </c>
      <c r="M16" s="720">
        <f t="shared" ca="1" si="0"/>
        <v>0</v>
      </c>
      <c r="N16" s="720">
        <f t="shared" si="0"/>
        <v>0</v>
      </c>
      <c r="O16" s="720">
        <f t="shared" ca="1" si="0"/>
        <v>15156.490699145796</v>
      </c>
      <c r="P16" s="720">
        <f t="shared" si="0"/>
        <v>140.70000000000002</v>
      </c>
      <c r="Q16" s="720">
        <f t="shared" si="0"/>
        <v>591.06666666666672</v>
      </c>
      <c r="R16" s="720">
        <f t="shared" ca="1" si="0"/>
        <v>237916.72931686457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4080.434811827352</v>
      </c>
      <c r="I19" s="687">
        <f>transport!H54</f>
        <v>0</v>
      </c>
      <c r="J19" s="687">
        <f>transport!I54</f>
        <v>0</v>
      </c>
      <c r="K19" s="687">
        <f>transport!J54</f>
        <v>0</v>
      </c>
      <c r="L19" s="687">
        <f>transport!K54</f>
        <v>0</v>
      </c>
      <c r="M19" s="687">
        <f>transport!L54</f>
        <v>0</v>
      </c>
      <c r="N19" s="687">
        <f>transport!M54</f>
        <v>173.93120867477771</v>
      </c>
      <c r="O19" s="687">
        <f>transport!N54</f>
        <v>0</v>
      </c>
      <c r="P19" s="687">
        <f>transport!O54</f>
        <v>0</v>
      </c>
      <c r="Q19" s="688">
        <f>transport!P54</f>
        <v>0</v>
      </c>
      <c r="R19" s="690">
        <f>SUM(C19:Q19)</f>
        <v>4254.3660205021297</v>
      </c>
      <c r="S19" s="67"/>
    </row>
    <row r="20" spans="1:19" s="456" customFormat="1">
      <c r="A20" s="802" t="s">
        <v>307</v>
      </c>
      <c r="B20" s="807"/>
      <c r="C20" s="687">
        <f>transport!B14</f>
        <v>1.5019014110027238</v>
      </c>
      <c r="D20" s="687">
        <f>transport!C14</f>
        <v>0</v>
      </c>
      <c r="E20" s="687">
        <f>transport!D14</f>
        <v>7.2931086723164613</v>
      </c>
      <c r="F20" s="687">
        <f>transport!E14</f>
        <v>809.00156059613641</v>
      </c>
      <c r="G20" s="687">
        <f>transport!F14</f>
        <v>0</v>
      </c>
      <c r="H20" s="687">
        <f>transport!G14</f>
        <v>142550.7713432789</v>
      </c>
      <c r="I20" s="687">
        <f>transport!H14</f>
        <v>24798.807983542341</v>
      </c>
      <c r="J20" s="687">
        <f>transport!I14</f>
        <v>0</v>
      </c>
      <c r="K20" s="687">
        <f>transport!J14</f>
        <v>0</v>
      </c>
      <c r="L20" s="687">
        <f>transport!K14</f>
        <v>0</v>
      </c>
      <c r="M20" s="687">
        <f>transport!L14</f>
        <v>0</v>
      </c>
      <c r="N20" s="687">
        <f>transport!M14</f>
        <v>7302.9888481644293</v>
      </c>
      <c r="O20" s="687">
        <f>transport!N14</f>
        <v>0</v>
      </c>
      <c r="P20" s="687">
        <f>transport!O14</f>
        <v>0</v>
      </c>
      <c r="Q20" s="688">
        <f>transport!P14</f>
        <v>0</v>
      </c>
      <c r="R20" s="690">
        <f>SUM(C20:Q20)</f>
        <v>175470.36474566514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1.5019014110027238</v>
      </c>
      <c r="D22" s="805">
        <f t="shared" ref="D22:R22" si="1">SUM(D18:D21)</f>
        <v>0</v>
      </c>
      <c r="E22" s="805">
        <f t="shared" si="1"/>
        <v>7.2931086723164613</v>
      </c>
      <c r="F22" s="805">
        <f t="shared" si="1"/>
        <v>809.00156059613641</v>
      </c>
      <c r="G22" s="805">
        <f t="shared" si="1"/>
        <v>0</v>
      </c>
      <c r="H22" s="805">
        <f t="shared" si="1"/>
        <v>146631.20615510625</v>
      </c>
      <c r="I22" s="805">
        <f t="shared" si="1"/>
        <v>24798.807983542341</v>
      </c>
      <c r="J22" s="805">
        <f t="shared" si="1"/>
        <v>0</v>
      </c>
      <c r="K22" s="805">
        <f t="shared" si="1"/>
        <v>0</v>
      </c>
      <c r="L22" s="805">
        <f t="shared" si="1"/>
        <v>0</v>
      </c>
      <c r="M22" s="805">
        <f t="shared" si="1"/>
        <v>0</v>
      </c>
      <c r="N22" s="805">
        <f t="shared" si="1"/>
        <v>7476.9200568392071</v>
      </c>
      <c r="O22" s="805">
        <f t="shared" si="1"/>
        <v>0</v>
      </c>
      <c r="P22" s="805">
        <f t="shared" si="1"/>
        <v>0</v>
      </c>
      <c r="Q22" s="805">
        <f t="shared" si="1"/>
        <v>0</v>
      </c>
      <c r="R22" s="805">
        <f t="shared" si="1"/>
        <v>179724.73076616728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668.495</v>
      </c>
      <c r="D24" s="687">
        <f>+landbouw!C8</f>
        <v>0</v>
      </c>
      <c r="E24" s="687">
        <f>+landbouw!D8</f>
        <v>29.207662000000003</v>
      </c>
      <c r="F24" s="687">
        <f>+landbouw!E8</f>
        <v>7.0006243632657199</v>
      </c>
      <c r="G24" s="687">
        <f>+landbouw!F8</f>
        <v>2861.6665483222891</v>
      </c>
      <c r="H24" s="687">
        <f>+landbouw!G8</f>
        <v>0</v>
      </c>
      <c r="I24" s="687">
        <f>+landbouw!H8</f>
        <v>0</v>
      </c>
      <c r="J24" s="687">
        <f>+landbouw!I8</f>
        <v>0</v>
      </c>
      <c r="K24" s="687">
        <f>+landbouw!J8</f>
        <v>59.702595322903463</v>
      </c>
      <c r="L24" s="687">
        <f>+landbouw!K8</f>
        <v>0</v>
      </c>
      <c r="M24" s="687">
        <f>+landbouw!L8</f>
        <v>0</v>
      </c>
      <c r="N24" s="687">
        <f>+landbouw!M8</f>
        <v>0</v>
      </c>
      <c r="O24" s="687">
        <f>+landbouw!N8</f>
        <v>0</v>
      </c>
      <c r="P24" s="687">
        <f>+landbouw!O8</f>
        <v>0</v>
      </c>
      <c r="Q24" s="688">
        <f>+landbouw!P8</f>
        <v>0</v>
      </c>
      <c r="R24" s="690">
        <f>SUM(C24:Q24)</f>
        <v>3626.0724300084585</v>
      </c>
      <c r="S24" s="67"/>
    </row>
    <row r="25" spans="1:19" s="456" customFormat="1" ht="15" thickBot="1">
      <c r="A25" s="824" t="s">
        <v>925</v>
      </c>
      <c r="B25" s="988"/>
      <c r="C25" s="989">
        <f>IF(Onbekend_ele_kWh="---",0,Onbekend_ele_kWh)/1000+IF(REST_rest_ele_kWh="---",0,REST_rest_ele_kWh)/1000</f>
        <v>2404.7979999999998</v>
      </c>
      <c r="D25" s="989"/>
      <c r="E25" s="989">
        <f>IF(onbekend_gas_kWh="---",0,onbekend_gas_kWh)/1000+IF(REST_rest_gas_kWh="---",0,REST_rest_gas_kWh)/1000</f>
        <v>1348.769</v>
      </c>
      <c r="F25" s="989"/>
      <c r="G25" s="989"/>
      <c r="H25" s="989"/>
      <c r="I25" s="989"/>
      <c r="J25" s="989"/>
      <c r="K25" s="989"/>
      <c r="L25" s="989"/>
      <c r="M25" s="989"/>
      <c r="N25" s="989"/>
      <c r="O25" s="989"/>
      <c r="P25" s="989"/>
      <c r="Q25" s="990"/>
      <c r="R25" s="690">
        <f>SUM(C25:Q25)</f>
        <v>3753.567</v>
      </c>
      <c r="S25" s="67"/>
    </row>
    <row r="26" spans="1:19" s="456" customFormat="1" ht="15.75" thickBot="1">
      <c r="A26" s="693" t="s">
        <v>926</v>
      </c>
      <c r="B26" s="810"/>
      <c r="C26" s="805">
        <f>SUM(C24:C25)</f>
        <v>3073.2929999999997</v>
      </c>
      <c r="D26" s="805">
        <f t="shared" ref="D26:R26" si="2">SUM(D24:D25)</f>
        <v>0</v>
      </c>
      <c r="E26" s="805">
        <f t="shared" si="2"/>
        <v>1377.976662</v>
      </c>
      <c r="F26" s="805">
        <f t="shared" si="2"/>
        <v>7.0006243632657199</v>
      </c>
      <c r="G26" s="805">
        <f t="shared" si="2"/>
        <v>2861.6665483222891</v>
      </c>
      <c r="H26" s="805">
        <f t="shared" si="2"/>
        <v>0</v>
      </c>
      <c r="I26" s="805">
        <f t="shared" si="2"/>
        <v>0</v>
      </c>
      <c r="J26" s="805">
        <f t="shared" si="2"/>
        <v>0</v>
      </c>
      <c r="K26" s="805">
        <f t="shared" si="2"/>
        <v>59.702595322903463</v>
      </c>
      <c r="L26" s="805">
        <f t="shared" si="2"/>
        <v>0</v>
      </c>
      <c r="M26" s="805">
        <f t="shared" si="2"/>
        <v>0</v>
      </c>
      <c r="N26" s="805">
        <f t="shared" si="2"/>
        <v>0</v>
      </c>
      <c r="O26" s="805">
        <f t="shared" si="2"/>
        <v>0</v>
      </c>
      <c r="P26" s="805">
        <f t="shared" si="2"/>
        <v>0</v>
      </c>
      <c r="Q26" s="805">
        <f t="shared" si="2"/>
        <v>0</v>
      </c>
      <c r="R26" s="805">
        <f t="shared" si="2"/>
        <v>7379.6394300084585</v>
      </c>
      <c r="S26" s="67"/>
    </row>
    <row r="27" spans="1:19" s="456" customFormat="1" ht="17.25" thickTop="1" thickBot="1">
      <c r="A27" s="694" t="s">
        <v>116</v>
      </c>
      <c r="B27" s="797"/>
      <c r="C27" s="695">
        <f ca="1">C22+C16+C26</f>
        <v>75114.405993499458</v>
      </c>
      <c r="D27" s="695">
        <f t="shared" ref="D27:R27" ca="1" si="3">D22+D16+D26</f>
        <v>321.42857142857144</v>
      </c>
      <c r="E27" s="695">
        <f t="shared" ca="1" si="3"/>
        <v>77487.782845815178</v>
      </c>
      <c r="F27" s="695">
        <f t="shared" si="3"/>
        <v>3478.8036894336478</v>
      </c>
      <c r="G27" s="695">
        <f t="shared" ca="1" si="3"/>
        <v>73578.872127248134</v>
      </c>
      <c r="H27" s="695">
        <f t="shared" si="3"/>
        <v>146631.20615510625</v>
      </c>
      <c r="I27" s="695">
        <f t="shared" si="3"/>
        <v>24798.807983542341</v>
      </c>
      <c r="J27" s="695">
        <f t="shared" si="3"/>
        <v>0</v>
      </c>
      <c r="K27" s="695">
        <f t="shared" si="3"/>
        <v>244.61472431504171</v>
      </c>
      <c r="L27" s="695">
        <f t="shared" si="3"/>
        <v>0</v>
      </c>
      <c r="M27" s="695">
        <f t="shared" ca="1" si="3"/>
        <v>0</v>
      </c>
      <c r="N27" s="695">
        <f t="shared" si="3"/>
        <v>7476.9200568392071</v>
      </c>
      <c r="O27" s="695">
        <f t="shared" ca="1" si="3"/>
        <v>15156.490699145796</v>
      </c>
      <c r="P27" s="695">
        <f t="shared" si="3"/>
        <v>140.70000000000002</v>
      </c>
      <c r="Q27" s="695">
        <f t="shared" si="3"/>
        <v>591.06666666666672</v>
      </c>
      <c r="R27" s="695">
        <f t="shared" ca="1" si="3"/>
        <v>425021.09951304033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5042.7766184513139</v>
      </c>
      <c r="D40" s="687">
        <f ca="1">tertiair!C20</f>
        <v>76.386554621848759</v>
      </c>
      <c r="E40" s="687">
        <f ca="1">tertiair!D20</f>
        <v>4628.656678170857</v>
      </c>
      <c r="F40" s="687">
        <f>tertiair!E20</f>
        <v>95.841393040612374</v>
      </c>
      <c r="G40" s="687">
        <f ca="1">tertiair!F20</f>
        <v>1647.5133306286352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11491.174574913268</v>
      </c>
    </row>
    <row r="41" spans="1:18">
      <c r="A41" s="815" t="s">
        <v>225</v>
      </c>
      <c r="B41" s="822"/>
      <c r="C41" s="687">
        <f ca="1">huishoudens!B12</f>
        <v>7517.1639557964072</v>
      </c>
      <c r="D41" s="687">
        <f ca="1">huishoudens!C12</f>
        <v>0</v>
      </c>
      <c r="E41" s="687">
        <f>huishoudens!D12</f>
        <v>9860.7937508960003</v>
      </c>
      <c r="F41" s="687">
        <f>huishoudens!E12</f>
        <v>483.31029960992078</v>
      </c>
      <c r="G41" s="687">
        <f>huishoudens!F12</f>
        <v>16470.91419116225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34332.182197464579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2669.1668351386138</v>
      </c>
      <c r="D43" s="687">
        <f ca="1">industrie!C22</f>
        <v>0</v>
      </c>
      <c r="E43" s="687">
        <f>industrie!D22</f>
        <v>883.25721211200005</v>
      </c>
      <c r="F43" s="687">
        <f>industrie!E22</f>
        <v>25.304248865120684</v>
      </c>
      <c r="G43" s="687">
        <f>industrie!F22</f>
        <v>763.06636778231598</v>
      </c>
      <c r="H43" s="687">
        <f>industrie!G22</f>
        <v>0</v>
      </c>
      <c r="I43" s="687">
        <f>industrie!H22</f>
        <v>0</v>
      </c>
      <c r="J43" s="687">
        <f>industrie!I22</f>
        <v>0</v>
      </c>
      <c r="K43" s="687">
        <f>industrie!J22</f>
        <v>65.458893663216941</v>
      </c>
      <c r="L43" s="687">
        <f>industrie!K22</f>
        <v>0</v>
      </c>
      <c r="M43" s="687">
        <f>industrie!L22</f>
        <v>0</v>
      </c>
      <c r="N43" s="687">
        <f>industrie!M22</f>
        <v>0</v>
      </c>
      <c r="O43" s="687">
        <f>industrie!N22</f>
        <v>0</v>
      </c>
      <c r="P43" s="687">
        <f>industrie!O22</f>
        <v>0</v>
      </c>
      <c r="Q43" s="762">
        <f>industrie!P22</f>
        <v>0</v>
      </c>
      <c r="R43" s="842">
        <f t="shared" ca="1" si="4"/>
        <v>4406.2535575612683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15229.107409386335</v>
      </c>
      <c r="D46" s="720">
        <f t="shared" ref="D46:Q46" ca="1" si="5">SUM(D39:D45)</f>
        <v>76.386554621848759</v>
      </c>
      <c r="E46" s="720">
        <f t="shared" ca="1" si="5"/>
        <v>15372.707641178857</v>
      </c>
      <c r="F46" s="720">
        <f t="shared" si="5"/>
        <v>604.45594151565388</v>
      </c>
      <c r="G46" s="720">
        <f t="shared" ca="1" si="5"/>
        <v>18881.493889573205</v>
      </c>
      <c r="H46" s="720">
        <f t="shared" si="5"/>
        <v>0</v>
      </c>
      <c r="I46" s="720">
        <f t="shared" si="5"/>
        <v>0</v>
      </c>
      <c r="J46" s="720">
        <f t="shared" si="5"/>
        <v>0</v>
      </c>
      <c r="K46" s="720">
        <f t="shared" si="5"/>
        <v>65.458893663216941</v>
      </c>
      <c r="L46" s="720">
        <f t="shared" si="5"/>
        <v>0</v>
      </c>
      <c r="M46" s="720">
        <f t="shared" ca="1" si="5"/>
        <v>0</v>
      </c>
      <c r="N46" s="720">
        <f t="shared" si="5"/>
        <v>0</v>
      </c>
      <c r="O46" s="720">
        <f t="shared" ca="1" si="5"/>
        <v>0</v>
      </c>
      <c r="P46" s="720">
        <f t="shared" si="5"/>
        <v>0</v>
      </c>
      <c r="Q46" s="720">
        <f t="shared" si="5"/>
        <v>0</v>
      </c>
      <c r="R46" s="720">
        <f ca="1">SUM(R39:R45)</f>
        <v>50229.610329939118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1089.476094757903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1089.476094757903</v>
      </c>
    </row>
    <row r="50" spans="1:18">
      <c r="A50" s="818" t="s">
        <v>307</v>
      </c>
      <c r="B50" s="828"/>
      <c r="C50" s="995">
        <f ca="1">transport!B18</f>
        <v>0.31750057447188645</v>
      </c>
      <c r="D50" s="995">
        <f>transport!C18</f>
        <v>0</v>
      </c>
      <c r="E50" s="995">
        <f>transport!D18</f>
        <v>1.4732079518079253</v>
      </c>
      <c r="F50" s="995">
        <f>transport!E18</f>
        <v>183.64335425532298</v>
      </c>
      <c r="G50" s="995">
        <f>transport!F18</f>
        <v>0</v>
      </c>
      <c r="H50" s="995">
        <f>transport!G18</f>
        <v>38061.05594865547</v>
      </c>
      <c r="I50" s="995">
        <f>transport!H18</f>
        <v>6174.9031879020431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44421.393199339116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0.31750057447188645</v>
      </c>
      <c r="D52" s="720">
        <f t="shared" ref="D52:Q52" ca="1" si="6">SUM(D48:D51)</f>
        <v>0</v>
      </c>
      <c r="E52" s="720">
        <f t="shared" si="6"/>
        <v>1.4732079518079253</v>
      </c>
      <c r="F52" s="720">
        <f t="shared" si="6"/>
        <v>183.64335425532298</v>
      </c>
      <c r="G52" s="720">
        <f t="shared" si="6"/>
        <v>0</v>
      </c>
      <c r="H52" s="720">
        <f t="shared" si="6"/>
        <v>39150.532043413376</v>
      </c>
      <c r="I52" s="720">
        <f t="shared" si="6"/>
        <v>6174.9031879020431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45510.869294097021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141.31922706556324</v>
      </c>
      <c r="D54" s="995">
        <f ca="1">+landbouw!C12</f>
        <v>0</v>
      </c>
      <c r="E54" s="995">
        <f>+landbouw!D12</f>
        <v>5.8999477240000013</v>
      </c>
      <c r="F54" s="995">
        <f>+landbouw!E12</f>
        <v>1.5891417304613185</v>
      </c>
      <c r="G54" s="995">
        <f>+landbouw!F12</f>
        <v>764.06496840205125</v>
      </c>
      <c r="H54" s="995">
        <f>+landbouw!G12</f>
        <v>0</v>
      </c>
      <c r="I54" s="995">
        <f>+landbouw!H12</f>
        <v>0</v>
      </c>
      <c r="J54" s="995">
        <f>+landbouw!I12</f>
        <v>0</v>
      </c>
      <c r="K54" s="995">
        <f>+landbouw!J12</f>
        <v>21.134718744307825</v>
      </c>
      <c r="L54" s="995">
        <f>+landbouw!K12</f>
        <v>0</v>
      </c>
      <c r="M54" s="995">
        <f>+landbouw!L12</f>
        <v>0</v>
      </c>
      <c r="N54" s="995">
        <f>+landbouw!M12</f>
        <v>0</v>
      </c>
      <c r="O54" s="995">
        <f>+landbouw!N12</f>
        <v>0</v>
      </c>
      <c r="P54" s="995">
        <f>+landbouw!O12</f>
        <v>0</v>
      </c>
      <c r="Q54" s="996">
        <f>+landbouw!P12</f>
        <v>0</v>
      </c>
      <c r="R54" s="719">
        <f ca="1">SUM(C54:Q54)</f>
        <v>934.00800366638362</v>
      </c>
    </row>
    <row r="55" spans="1:18" ht="15" thickBot="1">
      <c r="A55" s="818" t="s">
        <v>925</v>
      </c>
      <c r="B55" s="828"/>
      <c r="C55" s="995">
        <f ca="1">C25*'EF ele_warmte'!B12</f>
        <v>508.3720814797602</v>
      </c>
      <c r="D55" s="995"/>
      <c r="E55" s="995">
        <f>E25*EF_CO2_aardgas</f>
        <v>272.45133800000002</v>
      </c>
      <c r="F55" s="995"/>
      <c r="G55" s="995"/>
      <c r="H55" s="995"/>
      <c r="I55" s="995"/>
      <c r="J55" s="995"/>
      <c r="K55" s="995"/>
      <c r="L55" s="995"/>
      <c r="M55" s="995"/>
      <c r="N55" s="995"/>
      <c r="O55" s="995"/>
      <c r="P55" s="995"/>
      <c r="Q55" s="996"/>
      <c r="R55" s="719">
        <f ca="1">SUM(C55:Q55)</f>
        <v>780.82341947976022</v>
      </c>
    </row>
    <row r="56" spans="1:18" ht="15.75" thickBot="1">
      <c r="A56" s="816" t="s">
        <v>926</v>
      </c>
      <c r="B56" s="829"/>
      <c r="C56" s="720">
        <f ca="1">SUM(C54:C55)</f>
        <v>649.69130854532341</v>
      </c>
      <c r="D56" s="720">
        <f t="shared" ref="D56:Q56" ca="1" si="7">SUM(D54:D55)</f>
        <v>0</v>
      </c>
      <c r="E56" s="720">
        <f t="shared" si="7"/>
        <v>278.35128572400004</v>
      </c>
      <c r="F56" s="720">
        <f t="shared" si="7"/>
        <v>1.5891417304613185</v>
      </c>
      <c r="G56" s="720">
        <f t="shared" si="7"/>
        <v>764.06496840205125</v>
      </c>
      <c r="H56" s="720">
        <f t="shared" si="7"/>
        <v>0</v>
      </c>
      <c r="I56" s="720">
        <f t="shared" si="7"/>
        <v>0</v>
      </c>
      <c r="J56" s="720">
        <f t="shared" si="7"/>
        <v>0</v>
      </c>
      <c r="K56" s="720">
        <f t="shared" si="7"/>
        <v>21.134718744307825</v>
      </c>
      <c r="L56" s="720">
        <f t="shared" si="7"/>
        <v>0</v>
      </c>
      <c r="M56" s="720">
        <f t="shared" si="7"/>
        <v>0</v>
      </c>
      <c r="N56" s="720">
        <f t="shared" si="7"/>
        <v>0</v>
      </c>
      <c r="O56" s="720">
        <f t="shared" si="7"/>
        <v>0</v>
      </c>
      <c r="P56" s="720">
        <f t="shared" si="7"/>
        <v>0</v>
      </c>
      <c r="Q56" s="721">
        <f t="shared" si="7"/>
        <v>0</v>
      </c>
      <c r="R56" s="722">
        <f ca="1">SUM(R54:R55)</f>
        <v>1714.8314231461438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15879.116218506131</v>
      </c>
      <c r="D61" s="728">
        <f t="shared" ref="D61:Q61" ca="1" si="8">D46+D52+D56</f>
        <v>76.386554621848759</v>
      </c>
      <c r="E61" s="728">
        <f t="shared" ca="1" si="8"/>
        <v>15652.532134854664</v>
      </c>
      <c r="F61" s="728">
        <f t="shared" si="8"/>
        <v>789.6884375014381</v>
      </c>
      <c r="G61" s="728">
        <f t="shared" ca="1" si="8"/>
        <v>19645.558857975255</v>
      </c>
      <c r="H61" s="728">
        <f t="shared" si="8"/>
        <v>39150.532043413376</v>
      </c>
      <c r="I61" s="728">
        <f t="shared" si="8"/>
        <v>6174.9031879020431</v>
      </c>
      <c r="J61" s="728">
        <f t="shared" si="8"/>
        <v>0</v>
      </c>
      <c r="K61" s="728">
        <f t="shared" si="8"/>
        <v>86.593612407524773</v>
      </c>
      <c r="L61" s="728">
        <f t="shared" si="8"/>
        <v>0</v>
      </c>
      <c r="M61" s="728">
        <f t="shared" ca="1" si="8"/>
        <v>0</v>
      </c>
      <c r="N61" s="728">
        <f t="shared" si="8"/>
        <v>0</v>
      </c>
      <c r="O61" s="728">
        <f t="shared" ca="1" si="8"/>
        <v>0</v>
      </c>
      <c r="P61" s="728">
        <f t="shared" si="8"/>
        <v>0</v>
      </c>
      <c r="Q61" s="728">
        <f t="shared" si="8"/>
        <v>0</v>
      </c>
      <c r="R61" s="728">
        <f ca="1">R46+R52+R56</f>
        <v>97455.311047182287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0.21139907862521523</v>
      </c>
      <c r="D63" s="772">
        <f t="shared" ca="1" si="9"/>
        <v>0.23764705882352946</v>
      </c>
      <c r="E63" s="997">
        <f t="shared" ca="1" si="9"/>
        <v>0.20199999999999999</v>
      </c>
      <c r="F63" s="772">
        <f t="shared" si="9"/>
        <v>0.22700000000000001</v>
      </c>
      <c r="G63" s="772">
        <f t="shared" ca="1" si="9"/>
        <v>0.26700000000000002</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3505.1497479300751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225</v>
      </c>
      <c r="D76" s="1007">
        <f>'lokale energieproductie'!C8</f>
        <v>264.70588235294116</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53.470588235294116</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3505.1497479300751</v>
      </c>
      <c r="C78" s="743">
        <f>SUM(C72:C77)</f>
        <v>225</v>
      </c>
      <c r="D78" s="744">
        <f t="shared" ref="D78:H78" si="10">SUM(D76:D77)</f>
        <v>264.70588235294116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53.470588235294116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321.42857142857144</v>
      </c>
      <c r="D87" s="765">
        <f>'lokale energieproductie'!C17</f>
        <v>378.15126050420173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76.386554621848759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321.42857142857144</v>
      </c>
      <c r="D90" s="743">
        <f t="shared" ref="D90:H90" si="12">SUM(D87:D89)</f>
        <v>378.15126050420173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76.386554621848759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35559.114092088465</v>
      </c>
      <c r="C4" s="460">
        <f>huishoudens!C8</f>
        <v>0</v>
      </c>
      <c r="D4" s="460">
        <f>huishoudens!D8</f>
        <v>48815.810647999999</v>
      </c>
      <c r="E4" s="460">
        <f>huishoudens!E8</f>
        <v>2129.1202625987698</v>
      </c>
      <c r="F4" s="460">
        <f>huishoudens!F8</f>
        <v>61688.817195364223</v>
      </c>
      <c r="G4" s="460">
        <f>huishoudens!G8</f>
        <v>0</v>
      </c>
      <c r="H4" s="460">
        <f>huishoudens!H8</f>
        <v>0</v>
      </c>
      <c r="I4" s="460">
        <f>huishoudens!I8</f>
        <v>0</v>
      </c>
      <c r="J4" s="460">
        <f>huishoudens!J8</f>
        <v>0</v>
      </c>
      <c r="K4" s="460">
        <f>huishoudens!K8</f>
        <v>0</v>
      </c>
      <c r="L4" s="460">
        <f>huishoudens!L8</f>
        <v>0</v>
      </c>
      <c r="M4" s="460">
        <f>huishoudens!M8</f>
        <v>0</v>
      </c>
      <c r="N4" s="460">
        <f>huishoudens!N8</f>
        <v>14432.644090937356</v>
      </c>
      <c r="O4" s="460">
        <f>huishoudens!O8</f>
        <v>136.01000000000002</v>
      </c>
      <c r="P4" s="461">
        <f>huishoudens!P8</f>
        <v>572</v>
      </c>
      <c r="Q4" s="462">
        <f>SUM(B4:P4)</f>
        <v>163333.51628898882</v>
      </c>
    </row>
    <row r="5" spans="1:17">
      <c r="A5" s="459" t="s">
        <v>156</v>
      </c>
      <c r="B5" s="460">
        <f ca="1">tertiair!B16</f>
        <v>23060.126</v>
      </c>
      <c r="C5" s="460">
        <f ca="1">tertiair!C16</f>
        <v>321.42857142857144</v>
      </c>
      <c r="D5" s="460">
        <f ca="1">tertiair!D16</f>
        <v>22914.141971142857</v>
      </c>
      <c r="E5" s="460">
        <f>tertiair!E16</f>
        <v>422.20877991459196</v>
      </c>
      <c r="F5" s="460">
        <f ca="1">tertiair!F16</f>
        <v>6170.4619124667979</v>
      </c>
      <c r="G5" s="460">
        <f>tertiair!G16</f>
        <v>0</v>
      </c>
      <c r="H5" s="460">
        <f>tertiair!H16</f>
        <v>0</v>
      </c>
      <c r="I5" s="460">
        <f>tertiair!I16</f>
        <v>0</v>
      </c>
      <c r="J5" s="460">
        <f>tertiair!J16</f>
        <v>0</v>
      </c>
      <c r="K5" s="460">
        <f>tertiair!K16</f>
        <v>0</v>
      </c>
      <c r="L5" s="460">
        <f ca="1">tertiair!L16</f>
        <v>0</v>
      </c>
      <c r="M5" s="460">
        <f>tertiair!M16</f>
        <v>0</v>
      </c>
      <c r="N5" s="460">
        <f ca="1">tertiair!N16</f>
        <v>509.34639865602242</v>
      </c>
      <c r="O5" s="460">
        <f>tertiair!O16</f>
        <v>4.6900000000000004</v>
      </c>
      <c r="P5" s="461">
        <f>tertiair!P16</f>
        <v>19.066666666666666</v>
      </c>
      <c r="Q5" s="459">
        <f t="shared" ref="Q5:Q14" ca="1" si="0">SUM(B5:P5)</f>
        <v>53421.470300275505</v>
      </c>
    </row>
    <row r="6" spans="1:17">
      <c r="A6" s="459" t="s">
        <v>194</v>
      </c>
      <c r="B6" s="460">
        <f>'openbare verlichting'!B8</f>
        <v>794.17200000000003</v>
      </c>
      <c r="C6" s="460"/>
      <c r="D6" s="460"/>
      <c r="E6" s="460"/>
      <c r="F6" s="460"/>
      <c r="G6" s="460"/>
      <c r="H6" s="460"/>
      <c r="I6" s="460"/>
      <c r="J6" s="460"/>
      <c r="K6" s="460"/>
      <c r="L6" s="460"/>
      <c r="M6" s="460"/>
      <c r="N6" s="460"/>
      <c r="O6" s="460"/>
      <c r="P6" s="461"/>
      <c r="Q6" s="459">
        <f t="shared" si="0"/>
        <v>794.17200000000003</v>
      </c>
    </row>
    <row r="7" spans="1:17">
      <c r="A7" s="459" t="s">
        <v>112</v>
      </c>
      <c r="B7" s="460">
        <f>landbouw!B8</f>
        <v>668.495</v>
      </c>
      <c r="C7" s="460">
        <f>landbouw!C8</f>
        <v>0</v>
      </c>
      <c r="D7" s="460">
        <f>landbouw!D8</f>
        <v>29.207662000000003</v>
      </c>
      <c r="E7" s="460">
        <f>landbouw!E8</f>
        <v>7.0006243632657199</v>
      </c>
      <c r="F7" s="460">
        <f>landbouw!F8</f>
        <v>2861.6665483222891</v>
      </c>
      <c r="G7" s="460">
        <f>landbouw!G8</f>
        <v>0</v>
      </c>
      <c r="H7" s="460">
        <f>landbouw!H8</f>
        <v>0</v>
      </c>
      <c r="I7" s="460">
        <f>landbouw!I8</f>
        <v>0</v>
      </c>
      <c r="J7" s="460">
        <f>landbouw!J8</f>
        <v>59.702595322903463</v>
      </c>
      <c r="K7" s="460">
        <f>landbouw!K8</f>
        <v>0</v>
      </c>
      <c r="L7" s="460">
        <f>landbouw!L8</f>
        <v>0</v>
      </c>
      <c r="M7" s="460">
        <f>landbouw!M8</f>
        <v>0</v>
      </c>
      <c r="N7" s="460">
        <f>landbouw!N8</f>
        <v>0</v>
      </c>
      <c r="O7" s="460">
        <f>landbouw!O8</f>
        <v>0</v>
      </c>
      <c r="P7" s="461">
        <f>landbouw!P8</f>
        <v>0</v>
      </c>
      <c r="Q7" s="459">
        <f t="shared" si="0"/>
        <v>3626.0724300084585</v>
      </c>
    </row>
    <row r="8" spans="1:17">
      <c r="A8" s="459" t="s">
        <v>655</v>
      </c>
      <c r="B8" s="460">
        <f>industrie!B18</f>
        <v>12626.199000000001</v>
      </c>
      <c r="C8" s="460">
        <f>industrie!C18</f>
        <v>0</v>
      </c>
      <c r="D8" s="460">
        <f>industrie!D18</f>
        <v>4372.5604560000002</v>
      </c>
      <c r="E8" s="460">
        <f>industrie!E18</f>
        <v>111.47246196088406</v>
      </c>
      <c r="F8" s="460">
        <f>industrie!F18</f>
        <v>2857.9264710948164</v>
      </c>
      <c r="G8" s="460">
        <f>industrie!G18</f>
        <v>0</v>
      </c>
      <c r="H8" s="460">
        <f>industrie!H18</f>
        <v>0</v>
      </c>
      <c r="I8" s="460">
        <f>industrie!I18</f>
        <v>0</v>
      </c>
      <c r="J8" s="460">
        <f>industrie!J18</f>
        <v>184.91212899213826</v>
      </c>
      <c r="K8" s="460">
        <f>industrie!K18</f>
        <v>0</v>
      </c>
      <c r="L8" s="460">
        <f>industrie!L18</f>
        <v>0</v>
      </c>
      <c r="M8" s="460">
        <f>industrie!M18</f>
        <v>0</v>
      </c>
      <c r="N8" s="460">
        <f>industrie!N18</f>
        <v>214.50020955241808</v>
      </c>
      <c r="O8" s="460">
        <f>industrie!O18</f>
        <v>0</v>
      </c>
      <c r="P8" s="461">
        <f>industrie!P18</f>
        <v>0</v>
      </c>
      <c r="Q8" s="459">
        <f t="shared" si="0"/>
        <v>20367.570727600254</v>
      </c>
    </row>
    <row r="9" spans="1:17" s="465" customFormat="1">
      <c r="A9" s="463" t="s">
        <v>573</v>
      </c>
      <c r="B9" s="464">
        <f>transport!B14</f>
        <v>1.5019014110027238</v>
      </c>
      <c r="C9" s="464">
        <f>transport!C14</f>
        <v>0</v>
      </c>
      <c r="D9" s="464">
        <f>transport!D14</f>
        <v>7.2931086723164613</v>
      </c>
      <c r="E9" s="464">
        <f>transport!E14</f>
        <v>809.00156059613641</v>
      </c>
      <c r="F9" s="464">
        <f>transport!F14</f>
        <v>0</v>
      </c>
      <c r="G9" s="464">
        <f>transport!G14</f>
        <v>142550.7713432789</v>
      </c>
      <c r="H9" s="464">
        <f>transport!H14</f>
        <v>24798.807983542341</v>
      </c>
      <c r="I9" s="464">
        <f>transport!I14</f>
        <v>0</v>
      </c>
      <c r="J9" s="464">
        <f>transport!J14</f>
        <v>0</v>
      </c>
      <c r="K9" s="464">
        <f>transport!K14</f>
        <v>0</v>
      </c>
      <c r="L9" s="464">
        <f>transport!L14</f>
        <v>0</v>
      </c>
      <c r="M9" s="464">
        <f>transport!M14</f>
        <v>7302.9888481644293</v>
      </c>
      <c r="N9" s="464">
        <f>transport!N14</f>
        <v>0</v>
      </c>
      <c r="O9" s="464">
        <f>transport!O14</f>
        <v>0</v>
      </c>
      <c r="P9" s="464">
        <f>transport!P14</f>
        <v>0</v>
      </c>
      <c r="Q9" s="463">
        <f>SUM(B9:P9)</f>
        <v>175470.36474566514</v>
      </c>
    </row>
    <row r="10" spans="1:17">
      <c r="A10" s="459" t="s">
        <v>563</v>
      </c>
      <c r="B10" s="460">
        <f>transport!B54</f>
        <v>0</v>
      </c>
      <c r="C10" s="460">
        <f>transport!C54</f>
        <v>0</v>
      </c>
      <c r="D10" s="460">
        <f>transport!D54</f>
        <v>0</v>
      </c>
      <c r="E10" s="460">
        <f>transport!E54</f>
        <v>0</v>
      </c>
      <c r="F10" s="460">
        <f>transport!F54</f>
        <v>0</v>
      </c>
      <c r="G10" s="460">
        <f>transport!G54</f>
        <v>4080.434811827352</v>
      </c>
      <c r="H10" s="460">
        <f>transport!H54</f>
        <v>0</v>
      </c>
      <c r="I10" s="460">
        <f>transport!I54</f>
        <v>0</v>
      </c>
      <c r="J10" s="460">
        <f>transport!J54</f>
        <v>0</v>
      </c>
      <c r="K10" s="460">
        <f>transport!K54</f>
        <v>0</v>
      </c>
      <c r="L10" s="460">
        <f>transport!L54</f>
        <v>0</v>
      </c>
      <c r="M10" s="460">
        <f>transport!M54</f>
        <v>173.93120867477771</v>
      </c>
      <c r="N10" s="460">
        <f>transport!N54</f>
        <v>0</v>
      </c>
      <c r="O10" s="460">
        <f>transport!O54</f>
        <v>0</v>
      </c>
      <c r="P10" s="461">
        <f>transport!P54</f>
        <v>0</v>
      </c>
      <c r="Q10" s="459">
        <f t="shared" si="0"/>
        <v>4254.3660205021297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2404.7979999999998</v>
      </c>
      <c r="C14" s="467"/>
      <c r="D14" s="467">
        <f>'SEAP template'!E25</f>
        <v>1348.769</v>
      </c>
      <c r="E14" s="467"/>
      <c r="F14" s="467"/>
      <c r="G14" s="467"/>
      <c r="H14" s="467"/>
      <c r="I14" s="467"/>
      <c r="J14" s="467"/>
      <c r="K14" s="467"/>
      <c r="L14" s="467"/>
      <c r="M14" s="467"/>
      <c r="N14" s="467"/>
      <c r="O14" s="467"/>
      <c r="P14" s="468"/>
      <c r="Q14" s="459">
        <f t="shared" si="0"/>
        <v>3753.567</v>
      </c>
    </row>
    <row r="15" spans="1:17" s="472" customFormat="1">
      <c r="A15" s="469" t="s">
        <v>567</v>
      </c>
      <c r="B15" s="470">
        <f ca="1">SUM(B4:B14)</f>
        <v>75114.405993499473</v>
      </c>
      <c r="C15" s="470">
        <f t="shared" ref="C15:Q15" ca="1" si="1">SUM(C4:C14)</f>
        <v>321.42857142857144</v>
      </c>
      <c r="D15" s="470">
        <f t="shared" ca="1" si="1"/>
        <v>77487.782845815178</v>
      </c>
      <c r="E15" s="470">
        <f t="shared" si="1"/>
        <v>3478.8036894336483</v>
      </c>
      <c r="F15" s="470">
        <f t="shared" ca="1" si="1"/>
        <v>73578.872127248134</v>
      </c>
      <c r="G15" s="470">
        <f t="shared" si="1"/>
        <v>146631.20615510625</v>
      </c>
      <c r="H15" s="470">
        <f t="shared" si="1"/>
        <v>24798.807983542341</v>
      </c>
      <c r="I15" s="470">
        <f t="shared" si="1"/>
        <v>0</v>
      </c>
      <c r="J15" s="470">
        <f t="shared" si="1"/>
        <v>244.61472431504171</v>
      </c>
      <c r="K15" s="470">
        <f t="shared" si="1"/>
        <v>0</v>
      </c>
      <c r="L15" s="470">
        <f t="shared" ca="1" si="1"/>
        <v>0</v>
      </c>
      <c r="M15" s="470">
        <f t="shared" si="1"/>
        <v>7476.9200568392071</v>
      </c>
      <c r="N15" s="470">
        <f t="shared" ca="1" si="1"/>
        <v>15156.490699145796</v>
      </c>
      <c r="O15" s="470">
        <f t="shared" si="1"/>
        <v>140.70000000000002</v>
      </c>
      <c r="P15" s="470">
        <f t="shared" si="1"/>
        <v>591.06666666666672</v>
      </c>
      <c r="Q15" s="470">
        <f t="shared" ca="1" si="1"/>
        <v>425021.09951304027</v>
      </c>
    </row>
    <row r="17" spans="1:17">
      <c r="A17" s="473" t="s">
        <v>568</v>
      </c>
      <c r="B17" s="777">
        <f ca="1">huishoudens!B10</f>
        <v>0.2113990786252152</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7517.1639557964072</v>
      </c>
      <c r="C22" s="460">
        <f t="shared" ref="C22:C32" ca="1" si="3">C4*$C$17</f>
        <v>0</v>
      </c>
      <c r="D22" s="460">
        <f t="shared" ref="D22:D32" si="4">D4*$D$17</f>
        <v>9860.7937508960003</v>
      </c>
      <c r="E22" s="460">
        <f t="shared" ref="E22:E32" si="5">E4*$E$17</f>
        <v>483.31029960992078</v>
      </c>
      <c r="F22" s="460">
        <f t="shared" ref="F22:F32" si="6">F4*$F$17</f>
        <v>16470.91419116225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34332.182197464579</v>
      </c>
    </row>
    <row r="23" spans="1:17">
      <c r="A23" s="459" t="s">
        <v>156</v>
      </c>
      <c r="B23" s="460">
        <f t="shared" ca="1" si="2"/>
        <v>4874.8893893813693</v>
      </c>
      <c r="C23" s="460">
        <f t="shared" ca="1" si="3"/>
        <v>76.386554621848759</v>
      </c>
      <c r="D23" s="460">
        <f t="shared" ca="1" si="4"/>
        <v>4628.656678170857</v>
      </c>
      <c r="E23" s="460">
        <f t="shared" si="5"/>
        <v>95.841393040612374</v>
      </c>
      <c r="F23" s="460">
        <f t="shared" ca="1" si="6"/>
        <v>1647.5133306286352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11323.287345843322</v>
      </c>
    </row>
    <row r="24" spans="1:17">
      <c r="A24" s="459" t="s">
        <v>194</v>
      </c>
      <c r="B24" s="460">
        <f t="shared" ca="1" si="2"/>
        <v>167.88722906994442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167.88722906994442</v>
      </c>
    </row>
    <row r="25" spans="1:17">
      <c r="A25" s="459" t="s">
        <v>112</v>
      </c>
      <c r="B25" s="460">
        <f t="shared" ca="1" si="2"/>
        <v>141.31922706556324</v>
      </c>
      <c r="C25" s="460">
        <f t="shared" ca="1" si="3"/>
        <v>0</v>
      </c>
      <c r="D25" s="460">
        <f t="shared" si="4"/>
        <v>5.8999477240000013</v>
      </c>
      <c r="E25" s="460">
        <f t="shared" si="5"/>
        <v>1.5891417304613185</v>
      </c>
      <c r="F25" s="460">
        <f t="shared" si="6"/>
        <v>764.06496840205125</v>
      </c>
      <c r="G25" s="460">
        <f t="shared" si="7"/>
        <v>0</v>
      </c>
      <c r="H25" s="460">
        <f t="shared" si="8"/>
        <v>0</v>
      </c>
      <c r="I25" s="460">
        <f t="shared" si="9"/>
        <v>0</v>
      </c>
      <c r="J25" s="460">
        <f t="shared" si="10"/>
        <v>21.134718744307825</v>
      </c>
      <c r="K25" s="460">
        <f t="shared" si="11"/>
        <v>0</v>
      </c>
      <c r="L25" s="460">
        <f t="shared" si="12"/>
        <v>0</v>
      </c>
      <c r="M25" s="460">
        <f t="shared" si="13"/>
        <v>0</v>
      </c>
      <c r="N25" s="460">
        <f t="shared" si="14"/>
        <v>0</v>
      </c>
      <c r="O25" s="460">
        <f t="shared" si="15"/>
        <v>0</v>
      </c>
      <c r="P25" s="461">
        <f t="shared" si="16"/>
        <v>0</v>
      </c>
      <c r="Q25" s="459">
        <f t="shared" ca="1" si="17"/>
        <v>934.00800366638362</v>
      </c>
    </row>
    <row r="26" spans="1:17">
      <c r="A26" s="459" t="s">
        <v>655</v>
      </c>
      <c r="B26" s="460">
        <f t="shared" ca="1" si="2"/>
        <v>2669.1668351386138</v>
      </c>
      <c r="C26" s="460">
        <f t="shared" ca="1" si="3"/>
        <v>0</v>
      </c>
      <c r="D26" s="460">
        <f t="shared" si="4"/>
        <v>883.25721211200005</v>
      </c>
      <c r="E26" s="460">
        <f t="shared" si="5"/>
        <v>25.304248865120684</v>
      </c>
      <c r="F26" s="460">
        <f t="shared" si="6"/>
        <v>763.06636778231598</v>
      </c>
      <c r="G26" s="460">
        <f t="shared" si="7"/>
        <v>0</v>
      </c>
      <c r="H26" s="460">
        <f t="shared" si="8"/>
        <v>0</v>
      </c>
      <c r="I26" s="460">
        <f t="shared" si="9"/>
        <v>0</v>
      </c>
      <c r="J26" s="460">
        <f t="shared" si="10"/>
        <v>65.458893663216941</v>
      </c>
      <c r="K26" s="460">
        <f t="shared" si="11"/>
        <v>0</v>
      </c>
      <c r="L26" s="460">
        <f t="shared" si="12"/>
        <v>0</v>
      </c>
      <c r="M26" s="460">
        <f t="shared" si="13"/>
        <v>0</v>
      </c>
      <c r="N26" s="460">
        <f t="shared" si="14"/>
        <v>0</v>
      </c>
      <c r="O26" s="460">
        <f t="shared" si="15"/>
        <v>0</v>
      </c>
      <c r="P26" s="461">
        <f t="shared" si="16"/>
        <v>0</v>
      </c>
      <c r="Q26" s="459">
        <f t="shared" ca="1" si="17"/>
        <v>4406.2535575612683</v>
      </c>
    </row>
    <row r="27" spans="1:17" s="465" customFormat="1">
      <c r="A27" s="463" t="s">
        <v>573</v>
      </c>
      <c r="B27" s="771">
        <f t="shared" ca="1" si="2"/>
        <v>0.31750057447188645</v>
      </c>
      <c r="C27" s="464">
        <f t="shared" ca="1" si="3"/>
        <v>0</v>
      </c>
      <c r="D27" s="464">
        <f t="shared" si="4"/>
        <v>1.4732079518079253</v>
      </c>
      <c r="E27" s="464">
        <f t="shared" si="5"/>
        <v>183.64335425532298</v>
      </c>
      <c r="F27" s="464">
        <f t="shared" si="6"/>
        <v>0</v>
      </c>
      <c r="G27" s="464">
        <f t="shared" si="7"/>
        <v>38061.05594865547</v>
      </c>
      <c r="H27" s="464">
        <f t="shared" si="8"/>
        <v>6174.9031879020431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44421.393199339116</v>
      </c>
    </row>
    <row r="28" spans="1:17">
      <c r="A28" s="459" t="s">
        <v>563</v>
      </c>
      <c r="B28" s="460">
        <f t="shared" ca="1" si="2"/>
        <v>0</v>
      </c>
      <c r="C28" s="460">
        <f t="shared" ca="1" si="3"/>
        <v>0</v>
      </c>
      <c r="D28" s="460">
        <f t="shared" si="4"/>
        <v>0</v>
      </c>
      <c r="E28" s="460">
        <f t="shared" si="5"/>
        <v>0</v>
      </c>
      <c r="F28" s="460">
        <f t="shared" si="6"/>
        <v>0</v>
      </c>
      <c r="G28" s="460">
        <f t="shared" si="7"/>
        <v>1089.476094757903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1089.476094757903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508.3720814797602</v>
      </c>
      <c r="C32" s="460">
        <f t="shared" ca="1" si="3"/>
        <v>0</v>
      </c>
      <c r="D32" s="460">
        <f t="shared" si="4"/>
        <v>272.45133800000002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780.82341947976022</v>
      </c>
    </row>
    <row r="33" spans="1:17" s="472" customFormat="1">
      <c r="A33" s="469" t="s">
        <v>567</v>
      </c>
      <c r="B33" s="470">
        <f ca="1">SUM(B22:B32)</f>
        <v>15879.116218506131</v>
      </c>
      <c r="C33" s="470">
        <f t="shared" ref="C33:Q33" ca="1" si="19">SUM(C22:C32)</f>
        <v>76.386554621848759</v>
      </c>
      <c r="D33" s="470">
        <f t="shared" ca="1" si="19"/>
        <v>15652.532134854664</v>
      </c>
      <c r="E33" s="470">
        <f t="shared" si="19"/>
        <v>789.6884375014381</v>
      </c>
      <c r="F33" s="470">
        <f t="shared" ca="1" si="19"/>
        <v>19645.558857975255</v>
      </c>
      <c r="G33" s="470">
        <f t="shared" si="19"/>
        <v>39150.532043413376</v>
      </c>
      <c r="H33" s="470">
        <f t="shared" si="19"/>
        <v>6174.9031879020431</v>
      </c>
      <c r="I33" s="470">
        <f t="shared" si="19"/>
        <v>0</v>
      </c>
      <c r="J33" s="470">
        <f t="shared" si="19"/>
        <v>86.593612407524773</v>
      </c>
      <c r="K33" s="470">
        <f t="shared" si="19"/>
        <v>0</v>
      </c>
      <c r="L33" s="470">
        <f t="shared" ca="1" si="19"/>
        <v>0</v>
      </c>
      <c r="M33" s="470">
        <f t="shared" si="19"/>
        <v>0</v>
      </c>
      <c r="N33" s="470">
        <f t="shared" ca="1" si="19"/>
        <v>0</v>
      </c>
      <c r="O33" s="470">
        <f t="shared" si="19"/>
        <v>0</v>
      </c>
      <c r="P33" s="470">
        <f t="shared" si="19"/>
        <v>0</v>
      </c>
      <c r="Q33" s="470">
        <f t="shared" ca="1" si="19"/>
        <v>97455.311047182287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3505.1497479300751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225</v>
      </c>
      <c r="D8" s="1028">
        <f>'SEAP template'!D76</f>
        <v>264.70588235294116</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53.470588235294116</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3505.1497479300751</v>
      </c>
      <c r="C10" s="1032">
        <f>SUM(C4:C9)</f>
        <v>225</v>
      </c>
      <c r="D10" s="1032">
        <f t="shared" ref="D10:H10" si="0">SUM(D8:D9)</f>
        <v>264.70588235294116</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53.470588235294116</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0.2113990786252152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321.42857142857144</v>
      </c>
      <c r="D17" s="1029">
        <f>'SEAP template'!D87</f>
        <v>378.15126050420173</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76.386554621848759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321.42857142857144</v>
      </c>
      <c r="D20" s="1032">
        <f t="shared" ref="D20:H20" si="2">SUM(D17:D19)</f>
        <v>378.15126050420173</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76.386554621848759</v>
      </c>
    </row>
    <row r="22" spans="1:16">
      <c r="A22" s="473" t="s">
        <v>947</v>
      </c>
      <c r="B22" s="777" t="s">
        <v>941</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0.2113990786252152</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0.2113990786252152</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0.2113990786252152</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71011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7323</v>
      </c>
      <c r="C9" s="336">
        <v>7870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1388</v>
      </c>
    </row>
    <row r="15" spans="1:6">
      <c r="A15" s="1277" t="s">
        <v>184</v>
      </c>
      <c r="B15" s="333">
        <v>10</v>
      </c>
    </row>
    <row r="16" spans="1:6">
      <c r="A16" s="1277" t="s">
        <v>6</v>
      </c>
      <c r="B16" s="333">
        <v>427</v>
      </c>
    </row>
    <row r="17" spans="1:6">
      <c r="A17" s="1277" t="s">
        <v>7</v>
      </c>
      <c r="B17" s="333">
        <v>235</v>
      </c>
    </row>
    <row r="18" spans="1:6">
      <c r="A18" s="1277" t="s">
        <v>8</v>
      </c>
      <c r="B18" s="333">
        <v>452</v>
      </c>
    </row>
    <row r="19" spans="1:6">
      <c r="A19" s="1277" t="s">
        <v>9</v>
      </c>
      <c r="B19" s="333">
        <v>401</v>
      </c>
    </row>
    <row r="20" spans="1:6">
      <c r="A20" s="1277" t="s">
        <v>10</v>
      </c>
      <c r="B20" s="333">
        <v>258</v>
      </c>
    </row>
    <row r="21" spans="1:6">
      <c r="A21" s="1277" t="s">
        <v>11</v>
      </c>
      <c r="B21" s="333">
        <v>87</v>
      </c>
    </row>
    <row r="22" spans="1:6">
      <c r="A22" s="1277" t="s">
        <v>12</v>
      </c>
      <c r="B22" s="333">
        <v>2330</v>
      </c>
    </row>
    <row r="23" spans="1:6">
      <c r="A23" s="1277" t="s">
        <v>13</v>
      </c>
      <c r="B23" s="333">
        <v>2</v>
      </c>
    </row>
    <row r="24" spans="1:6">
      <c r="A24" s="1277" t="s">
        <v>14</v>
      </c>
      <c r="B24" s="333">
        <v>1</v>
      </c>
    </row>
    <row r="25" spans="1:6">
      <c r="A25" s="1277" t="s">
        <v>15</v>
      </c>
      <c r="B25" s="333">
        <v>32</v>
      </c>
    </row>
    <row r="26" spans="1:6">
      <c r="A26" s="1277" t="s">
        <v>16</v>
      </c>
      <c r="B26" s="333">
        <v>128</v>
      </c>
    </row>
    <row r="27" spans="1:6">
      <c r="A27" s="1277" t="s">
        <v>17</v>
      </c>
      <c r="B27" s="333">
        <v>0</v>
      </c>
    </row>
    <row r="28" spans="1:6">
      <c r="A28" s="1277" t="s">
        <v>18</v>
      </c>
      <c r="B28" s="333">
        <v>31372</v>
      </c>
    </row>
    <row r="29" spans="1:6">
      <c r="A29" s="1277" t="s">
        <v>957</v>
      </c>
      <c r="B29" s="333">
        <v>66</v>
      </c>
    </row>
    <row r="30" spans="1:6">
      <c r="A30" s="1273" t="s">
        <v>958</v>
      </c>
      <c r="B30" s="1273">
        <v>13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25113</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3242</v>
      </c>
      <c r="D39" s="333">
        <v>54119524</v>
      </c>
      <c r="E39" s="333">
        <v>7535</v>
      </c>
      <c r="F39" s="333">
        <v>32474512</v>
      </c>
    </row>
    <row r="40" spans="1:6">
      <c r="A40" s="1277" t="s">
        <v>30</v>
      </c>
      <c r="B40" s="1277" t="s">
        <v>29</v>
      </c>
      <c r="C40" s="333">
        <v>0</v>
      </c>
      <c r="D40" s="333">
        <v>0</v>
      </c>
      <c r="E40" s="333">
        <v>0</v>
      </c>
      <c r="F40" s="333">
        <v>0</v>
      </c>
    </row>
    <row r="41" spans="1:6">
      <c r="A41" s="1277" t="s">
        <v>32</v>
      </c>
      <c r="B41" s="1277" t="s">
        <v>33</v>
      </c>
      <c r="C41" s="333">
        <v>24</v>
      </c>
      <c r="D41" s="333">
        <v>3605708</v>
      </c>
      <c r="E41" s="333">
        <v>81</v>
      </c>
      <c r="F41" s="333">
        <v>1879505</v>
      </c>
    </row>
    <row r="42" spans="1:6">
      <c r="A42" s="1277" t="s">
        <v>32</v>
      </c>
      <c r="B42" s="1277" t="s">
        <v>34</v>
      </c>
      <c r="C42" s="333">
        <v>0</v>
      </c>
      <c r="D42" s="333">
        <v>0</v>
      </c>
      <c r="E42" s="333">
        <v>0</v>
      </c>
      <c r="F42" s="333">
        <v>0</v>
      </c>
    </row>
    <row r="43" spans="1:6">
      <c r="A43" s="1277" t="s">
        <v>32</v>
      </c>
      <c r="B43" s="1277" t="s">
        <v>35</v>
      </c>
      <c r="C43" s="333">
        <v>0</v>
      </c>
      <c r="D43" s="333">
        <v>0</v>
      </c>
      <c r="E43" s="333">
        <v>3</v>
      </c>
      <c r="F43" s="333">
        <v>51962</v>
      </c>
    </row>
    <row r="44" spans="1:6">
      <c r="A44" s="1277" t="s">
        <v>32</v>
      </c>
      <c r="B44" s="1277" t="s">
        <v>36</v>
      </c>
      <c r="C44" s="333">
        <v>0</v>
      </c>
      <c r="D44" s="333">
        <v>0</v>
      </c>
      <c r="E44" s="333">
        <v>10</v>
      </c>
      <c r="F44" s="333">
        <v>8160431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7</v>
      </c>
      <c r="D48" s="333">
        <v>1241920</v>
      </c>
      <c r="E48" s="333">
        <v>2</v>
      </c>
      <c r="F48" s="333">
        <v>2346230</v>
      </c>
    </row>
    <row r="49" spans="1:6">
      <c r="A49" s="1277" t="s">
        <v>32</v>
      </c>
      <c r="B49" s="1277" t="s">
        <v>40</v>
      </c>
      <c r="C49" s="333">
        <v>0</v>
      </c>
      <c r="D49" s="333">
        <v>0</v>
      </c>
      <c r="E49" s="333">
        <v>3</v>
      </c>
      <c r="F49" s="333">
        <v>47894</v>
      </c>
    </row>
    <row r="50" spans="1:6">
      <c r="A50" s="1277" t="s">
        <v>32</v>
      </c>
      <c r="B50" s="1277" t="s">
        <v>41</v>
      </c>
      <c r="C50" s="333">
        <v>0</v>
      </c>
      <c r="D50" s="333">
        <v>0</v>
      </c>
      <c r="E50" s="333">
        <v>6</v>
      </c>
      <c r="F50" s="333">
        <v>140177</v>
      </c>
    </row>
    <row r="51" spans="1:6">
      <c r="A51" s="1277" t="s">
        <v>42</v>
      </c>
      <c r="B51" s="1277" t="s">
        <v>43</v>
      </c>
      <c r="C51" s="333">
        <v>0</v>
      </c>
      <c r="D51" s="333">
        <v>0</v>
      </c>
      <c r="E51" s="333">
        <v>41</v>
      </c>
      <c r="F51" s="333">
        <v>668495</v>
      </c>
    </row>
    <row r="52" spans="1:6">
      <c r="A52" s="1277" t="s">
        <v>42</v>
      </c>
      <c r="B52" s="1277" t="s">
        <v>29</v>
      </c>
      <c r="C52" s="333">
        <v>1</v>
      </c>
      <c r="D52" s="333">
        <v>32381</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88</v>
      </c>
      <c r="F54" s="333">
        <v>794172</v>
      </c>
    </row>
    <row r="55" spans="1:6">
      <c r="A55" s="1277" t="s">
        <v>46</v>
      </c>
      <c r="B55" s="1277" t="s">
        <v>29</v>
      </c>
      <c r="C55" s="333">
        <v>0</v>
      </c>
      <c r="D55" s="333">
        <v>0</v>
      </c>
      <c r="E55" s="333">
        <v>0</v>
      </c>
      <c r="F55" s="333">
        <v>0</v>
      </c>
    </row>
    <row r="56" spans="1:6">
      <c r="A56" s="1277" t="s">
        <v>48</v>
      </c>
      <c r="B56" s="1277" t="s">
        <v>29</v>
      </c>
      <c r="C56" s="333">
        <v>37</v>
      </c>
      <c r="D56" s="333">
        <v>1348769</v>
      </c>
      <c r="E56" s="333">
        <v>157</v>
      </c>
      <c r="F56" s="333">
        <v>2404798</v>
      </c>
    </row>
    <row r="57" spans="1:6">
      <c r="A57" s="1277" t="s">
        <v>49</v>
      </c>
      <c r="B57" s="1277" t="s">
        <v>50</v>
      </c>
      <c r="C57" s="333">
        <v>20</v>
      </c>
      <c r="D57" s="333">
        <v>1569301</v>
      </c>
      <c r="E57" s="333">
        <v>59</v>
      </c>
      <c r="F57" s="333">
        <v>1827873</v>
      </c>
    </row>
    <row r="58" spans="1:6">
      <c r="A58" s="1277" t="s">
        <v>49</v>
      </c>
      <c r="B58" s="1277" t="s">
        <v>51</v>
      </c>
      <c r="C58" s="333">
        <v>14</v>
      </c>
      <c r="D58" s="333">
        <v>1480489</v>
      </c>
      <c r="E58" s="333">
        <v>28</v>
      </c>
      <c r="F58" s="333">
        <v>1330113</v>
      </c>
    </row>
    <row r="59" spans="1:6">
      <c r="A59" s="1277" t="s">
        <v>49</v>
      </c>
      <c r="B59" s="1277" t="s">
        <v>52</v>
      </c>
      <c r="C59" s="333">
        <v>62</v>
      </c>
      <c r="D59" s="333">
        <v>2315740</v>
      </c>
      <c r="E59" s="333">
        <v>159</v>
      </c>
      <c r="F59" s="333">
        <v>5897939</v>
      </c>
    </row>
    <row r="60" spans="1:6">
      <c r="A60" s="1277" t="s">
        <v>49</v>
      </c>
      <c r="B60" s="1277" t="s">
        <v>53</v>
      </c>
      <c r="C60" s="333">
        <v>50</v>
      </c>
      <c r="D60" s="333">
        <v>3492158</v>
      </c>
      <c r="E60" s="333">
        <v>94</v>
      </c>
      <c r="F60" s="333">
        <v>1720456</v>
      </c>
    </row>
    <row r="61" spans="1:6">
      <c r="A61" s="1277" t="s">
        <v>49</v>
      </c>
      <c r="B61" s="1277" t="s">
        <v>54</v>
      </c>
      <c r="C61" s="333">
        <v>71</v>
      </c>
      <c r="D61" s="333">
        <v>9536708</v>
      </c>
      <c r="E61" s="333">
        <v>231</v>
      </c>
      <c r="F61" s="333">
        <v>8001584</v>
      </c>
    </row>
    <row r="62" spans="1:6">
      <c r="A62" s="1277" t="s">
        <v>49</v>
      </c>
      <c r="B62" s="1277" t="s">
        <v>55</v>
      </c>
      <c r="C62" s="333">
        <v>12</v>
      </c>
      <c r="D62" s="333">
        <v>7722011</v>
      </c>
      <c r="E62" s="333">
        <v>17</v>
      </c>
      <c r="F62" s="333">
        <v>4057161</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2</v>
      </c>
      <c r="D65" s="333">
        <v>107041</v>
      </c>
      <c r="E65" s="333">
        <v>1</v>
      </c>
      <c r="F65" s="333">
        <v>6088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12</v>
      </c>
      <c r="F68" s="333">
        <v>196963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91620293</v>
      </c>
      <c r="E73" s="333">
        <v>165300351.12575513</v>
      </c>
      <c r="F73" s="333">
        <v>104622678</v>
      </c>
    </row>
    <row r="74" spans="1:6">
      <c r="A74" s="1277" t="s">
        <v>64</v>
      </c>
      <c r="B74" s="1277" t="s">
        <v>774</v>
      </c>
      <c r="C74" s="1288" t="s">
        <v>775</v>
      </c>
      <c r="D74" s="333">
        <v>8826973.0083442628</v>
      </c>
      <c r="E74" s="333">
        <v>15252320.991640929</v>
      </c>
      <c r="F74" s="333">
        <v>10665245.526880451</v>
      </c>
    </row>
    <row r="75" spans="1:6">
      <c r="A75" s="1277" t="s">
        <v>65</v>
      </c>
      <c r="B75" s="1277" t="s">
        <v>772</v>
      </c>
      <c r="C75" s="1288" t="s">
        <v>776</v>
      </c>
      <c r="D75" s="333">
        <v>26786277</v>
      </c>
      <c r="E75" s="333">
        <v>46641785.318738937</v>
      </c>
      <c r="F75" s="333">
        <v>29723467</v>
      </c>
    </row>
    <row r="76" spans="1:6">
      <c r="A76" s="1277" t="s">
        <v>65</v>
      </c>
      <c r="B76" s="1277" t="s">
        <v>774</v>
      </c>
      <c r="C76" s="1288" t="s">
        <v>777</v>
      </c>
      <c r="D76" s="333">
        <v>21286.9</v>
      </c>
      <c r="E76" s="333">
        <v>34064.261583642496</v>
      </c>
      <c r="F76" s="333">
        <v>24755</v>
      </c>
    </row>
    <row r="77" spans="1:6">
      <c r="A77" s="1277" t="s">
        <v>66</v>
      </c>
      <c r="B77" s="1277" t="s">
        <v>772</v>
      </c>
      <c r="C77" s="1288" t="s">
        <v>778</v>
      </c>
      <c r="D77" s="333">
        <v>69706667</v>
      </c>
      <c r="E77" s="333">
        <v>77303557.681332141</v>
      </c>
      <c r="F77" s="333">
        <v>71319837</v>
      </c>
    </row>
    <row r="78" spans="1:6">
      <c r="A78" s="1273" t="s">
        <v>66</v>
      </c>
      <c r="B78" s="1273" t="s">
        <v>774</v>
      </c>
      <c r="C78" s="1273" t="s">
        <v>779</v>
      </c>
      <c r="D78" s="1273">
        <v>9674992</v>
      </c>
      <c r="E78" s="1273">
        <v>9256314.2105291151</v>
      </c>
      <c r="F78" s="336">
        <v>9376164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1118745.9833114729</v>
      </c>
      <c r="C83" s="333">
        <v>1022964.1614280606</v>
      </c>
      <c r="D83" s="333">
        <v>1040704.9462390979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3084.6020920884657</v>
      </c>
    </row>
    <row r="92" spans="1:6">
      <c r="A92" s="1273" t="s">
        <v>69</v>
      </c>
      <c r="B92" s="336">
        <v>420.54765584160941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1118</v>
      </c>
    </row>
    <row r="98" spans="1:6">
      <c r="A98" s="1277" t="s">
        <v>72</v>
      </c>
      <c r="B98" s="333">
        <v>3</v>
      </c>
    </row>
    <row r="99" spans="1:6">
      <c r="A99" s="1277" t="s">
        <v>73</v>
      </c>
      <c r="B99" s="333">
        <v>35</v>
      </c>
    </row>
    <row r="100" spans="1:6">
      <c r="A100" s="1277" t="s">
        <v>74</v>
      </c>
      <c r="B100" s="333">
        <v>338</v>
      </c>
    </row>
    <row r="101" spans="1:6">
      <c r="A101" s="1277" t="s">
        <v>75</v>
      </c>
      <c r="B101" s="333">
        <v>82</v>
      </c>
    </row>
    <row r="102" spans="1:6">
      <c r="A102" s="1277" t="s">
        <v>76</v>
      </c>
      <c r="B102" s="333">
        <v>67</v>
      </c>
    </row>
    <row r="103" spans="1:6">
      <c r="A103" s="1277" t="s">
        <v>77</v>
      </c>
      <c r="B103" s="333">
        <v>126</v>
      </c>
    </row>
    <row r="104" spans="1:6">
      <c r="A104" s="1277" t="s">
        <v>78</v>
      </c>
      <c r="B104" s="333">
        <v>4617</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13</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81</v>
      </c>
    </row>
    <row r="130" spans="1:6">
      <c r="A130" s="1277" t="s">
        <v>295</v>
      </c>
      <c r="B130" s="333">
        <v>3</v>
      </c>
    </row>
    <row r="131" spans="1:6">
      <c r="A131" s="1277" t="s">
        <v>296</v>
      </c>
      <c r="B131" s="333">
        <v>1</v>
      </c>
    </row>
    <row r="132" spans="1:6">
      <c r="A132" s="1273" t="s">
        <v>297</v>
      </c>
      <c r="B132" s="336">
        <v>17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75114.405993499458</v>
      </c>
      <c r="C3" s="43" t="s">
        <v>170</v>
      </c>
      <c r="D3" s="43"/>
      <c r="E3" s="156"/>
      <c r="F3" s="43"/>
      <c r="G3" s="43"/>
      <c r="H3" s="43"/>
      <c r="I3" s="43"/>
      <c r="J3" s="43"/>
      <c r="K3" s="96"/>
    </row>
    <row r="4" spans="1:11">
      <c r="A4" s="364" t="s">
        <v>171</v>
      </c>
      <c r="B4" s="49">
        <f>IF(ISERROR('SEAP template'!B78),0,'SEAP template'!B78)</f>
        <v>3505.1497479300751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53.470588235294116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0.2113990786252152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76.386554621848759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321.42857142857144</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794.17200000000003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794.17200000000003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0.2113990786252152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167.88722906994442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32474.511999999999</v>
      </c>
      <c r="C5" s="17">
        <f>IF(ISERROR('Eigen informatie GS &amp; warmtenet'!B57),0,'Eigen informatie GS &amp; warmtenet'!B57)</f>
        <v>0</v>
      </c>
      <c r="D5" s="30">
        <f>(SUM(HH_hh_gas_kWh,HH_rest_gas_kWh)/1000)*0.902</f>
        <v>48815.810647999999</v>
      </c>
      <c r="E5" s="17">
        <f>B46*B57</f>
        <v>2129.1202625987698</v>
      </c>
      <c r="F5" s="17">
        <f>B51*B62</f>
        <v>61688.817195364223</v>
      </c>
      <c r="G5" s="18"/>
      <c r="H5" s="17"/>
      <c r="I5" s="17"/>
      <c r="J5" s="17">
        <f>B50*B61+C50*C61</f>
        <v>0</v>
      </c>
      <c r="K5" s="17"/>
      <c r="L5" s="17"/>
      <c r="M5" s="17"/>
      <c r="N5" s="17">
        <f>B48*B59+C48*C59</f>
        <v>14432.644090937356</v>
      </c>
      <c r="O5" s="17">
        <f>B69*B70*B71</f>
        <v>136.01000000000002</v>
      </c>
      <c r="P5" s="17">
        <f>B77*B78*B79/1000-B77*B78*B79/1000/B80</f>
        <v>572</v>
      </c>
    </row>
    <row r="6" spans="1:16">
      <c r="A6" s="16" t="s">
        <v>632</v>
      </c>
      <c r="B6" s="779">
        <f>kWh_PV_kleiner_dan_10kW</f>
        <v>3084.6020920884657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35559.114092088465</v>
      </c>
      <c r="C8" s="21">
        <f>C5</f>
        <v>0</v>
      </c>
      <c r="D8" s="21">
        <f>D5</f>
        <v>48815.810647999999</v>
      </c>
      <c r="E8" s="21">
        <f>E5</f>
        <v>2129.1202625987698</v>
      </c>
      <c r="F8" s="21">
        <f>F5</f>
        <v>61688.817195364223</v>
      </c>
      <c r="G8" s="21"/>
      <c r="H8" s="21"/>
      <c r="I8" s="21"/>
      <c r="J8" s="21">
        <f>J5</f>
        <v>0</v>
      </c>
      <c r="K8" s="21"/>
      <c r="L8" s="21">
        <f>L5</f>
        <v>0</v>
      </c>
      <c r="M8" s="21">
        <f>M5</f>
        <v>0</v>
      </c>
      <c r="N8" s="21">
        <f>N5</f>
        <v>14432.644090937356</v>
      </c>
      <c r="O8" s="21">
        <f>O5</f>
        <v>136.01000000000002</v>
      </c>
      <c r="P8" s="21">
        <f>P5</f>
        <v>572</v>
      </c>
    </row>
    <row r="9" spans="1:16">
      <c r="B9" s="19"/>
      <c r="C9" s="19"/>
      <c r="D9" s="260"/>
      <c r="E9" s="19"/>
      <c r="F9" s="19"/>
      <c r="G9" s="19"/>
      <c r="H9" s="19"/>
      <c r="I9" s="19"/>
      <c r="J9" s="19"/>
      <c r="K9" s="19"/>
      <c r="L9" s="19"/>
      <c r="M9" s="19"/>
      <c r="N9" s="19"/>
      <c r="O9" s="19"/>
      <c r="P9" s="19"/>
    </row>
    <row r="10" spans="1:16">
      <c r="A10" s="24" t="s">
        <v>214</v>
      </c>
      <c r="B10" s="25">
        <f ca="1">'EF ele_warmte'!B12</f>
        <v>0.2113990786252152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7517.1639557964072</v>
      </c>
      <c r="C12" s="23">
        <f ca="1">C10*C8</f>
        <v>0</v>
      </c>
      <c r="D12" s="23">
        <f>D8*D10</f>
        <v>9860.7937508960003</v>
      </c>
      <c r="E12" s="23">
        <f>E10*E8</f>
        <v>483.31029960992078</v>
      </c>
      <c r="F12" s="23">
        <f>F10*F8</f>
        <v>16470.91419116225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1118</v>
      </c>
      <c r="C18" s="167" t="s">
        <v>111</v>
      </c>
      <c r="D18" s="229"/>
      <c r="E18" s="15"/>
    </row>
    <row r="19" spans="1:7">
      <c r="A19" s="172" t="s">
        <v>72</v>
      </c>
      <c r="B19" s="37">
        <f>aantalw2001_ander</f>
        <v>3</v>
      </c>
      <c r="C19" s="167" t="s">
        <v>111</v>
      </c>
      <c r="D19" s="230"/>
      <c r="E19" s="15"/>
    </row>
    <row r="20" spans="1:7">
      <c r="A20" s="172" t="s">
        <v>73</v>
      </c>
      <c r="B20" s="37">
        <f>aantalw2001_propaan</f>
        <v>35</v>
      </c>
      <c r="C20" s="168">
        <f>IF(ISERROR(B20/SUM($B$20,$B$21,$B$22)*100),0,B20/SUM($B$20,$B$21,$B$22)*100)</f>
        <v>7.6923076923076925</v>
      </c>
      <c r="D20" s="230"/>
      <c r="E20" s="15"/>
    </row>
    <row r="21" spans="1:7">
      <c r="A21" s="172" t="s">
        <v>74</v>
      </c>
      <c r="B21" s="37">
        <f>aantalw2001_elektriciteit</f>
        <v>338</v>
      </c>
      <c r="C21" s="168">
        <f>IF(ISERROR(B21/SUM($B$20,$B$21,$B$22)*100),0,B21/SUM($B$20,$B$21,$B$22)*100)</f>
        <v>74.285714285714292</v>
      </c>
      <c r="D21" s="230"/>
      <c r="E21" s="15"/>
    </row>
    <row r="22" spans="1:7">
      <c r="A22" s="172" t="s">
        <v>75</v>
      </c>
      <c r="B22" s="37">
        <f>aantalw2001_hout</f>
        <v>82</v>
      </c>
      <c r="C22" s="168">
        <f>IF(ISERROR(B22/SUM($B$20,$B$21,$B$22)*100),0,B22/SUM($B$20,$B$21,$B$22)*100)</f>
        <v>18.021978021978022</v>
      </c>
      <c r="D22" s="230"/>
      <c r="E22" s="15"/>
    </row>
    <row r="23" spans="1:7">
      <c r="A23" s="172" t="s">
        <v>76</v>
      </c>
      <c r="B23" s="37">
        <f>aantalw2001_niet_gespec</f>
        <v>67</v>
      </c>
      <c r="C23" s="167" t="s">
        <v>111</v>
      </c>
      <c r="D23" s="229"/>
      <c r="E23" s="15"/>
    </row>
    <row r="24" spans="1:7">
      <c r="A24" s="172" t="s">
        <v>77</v>
      </c>
      <c r="B24" s="37">
        <f>aantalw2001_steenkool</f>
        <v>126</v>
      </c>
      <c r="C24" s="167" t="s">
        <v>111</v>
      </c>
      <c r="D24" s="230"/>
      <c r="E24" s="15"/>
    </row>
    <row r="25" spans="1:7">
      <c r="A25" s="172" t="s">
        <v>78</v>
      </c>
      <c r="B25" s="37">
        <f>aantalw2001_stookolie</f>
        <v>4617</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7323</v>
      </c>
      <c r="C28" s="36"/>
      <c r="D28" s="229"/>
    </row>
    <row r="29" spans="1:7" s="15" customFormat="1">
      <c r="A29" s="231" t="s">
        <v>713</v>
      </c>
      <c r="B29" s="37">
        <f>SUM(HH_hh_gas_aantal,HH_rest_gas_aantal)</f>
        <v>3242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3242</v>
      </c>
      <c r="C32" s="168">
        <f>IF(ISERROR(B32/SUM($B$32,$B$34,$B$35,$B$36,$B$38,$B$39)*100),0,B32/SUM($B$32,$B$34,$B$35,$B$36,$B$38,$B$39)*100)</f>
        <v>44.453585630056217</v>
      </c>
      <c r="D32" s="234"/>
      <c r="G32" s="15"/>
    </row>
    <row r="33" spans="1:7">
      <c r="A33" s="172" t="s">
        <v>72</v>
      </c>
      <c r="B33" s="34" t="s">
        <v>111</v>
      </c>
      <c r="C33" s="168"/>
      <c r="D33" s="234"/>
      <c r="G33" s="15"/>
    </row>
    <row r="34" spans="1:7">
      <c r="A34" s="172" t="s">
        <v>73</v>
      </c>
      <c r="B34" s="33">
        <f>IF((($B$28-$B$32-$B$39-$B$77-$B$38)*C20/100)&lt;0,0,($B$28-$B$32-$B$39-$B$77-$B$38)*C20/100)</f>
        <v>103.50769230769234</v>
      </c>
      <c r="C34" s="168">
        <f>IF(ISERROR(B34/SUM($B$32,$B$34,$B$35,$B$36,$B$38,$B$39)*100),0,B34/SUM($B$32,$B$34,$B$35,$B$36,$B$38,$B$39)*100)</f>
        <v>1.4192745414464876</v>
      </c>
      <c r="D34" s="234"/>
      <c r="G34" s="15"/>
    </row>
    <row r="35" spans="1:7">
      <c r="A35" s="172" t="s">
        <v>74</v>
      </c>
      <c r="B35" s="33">
        <f>IF((($B$28-$B$32-$B$39-$B$77-$B$38)*C21/100)&lt;0,0,($B$28-$B$32-$B$39-$B$77-$B$38)*C21/100)</f>
        <v>999.58857142857175</v>
      </c>
      <c r="C35" s="168">
        <f>IF(ISERROR(B35/SUM($B$32,$B$34,$B$35,$B$36,$B$38,$B$39)*100),0,B35/SUM($B$32,$B$34,$B$35,$B$36,$B$38,$B$39)*100)</f>
        <v>13.706137000254651</v>
      </c>
      <c r="D35" s="234"/>
      <c r="G35" s="15"/>
    </row>
    <row r="36" spans="1:7">
      <c r="A36" s="172" t="s">
        <v>75</v>
      </c>
      <c r="B36" s="33">
        <f>IF((($B$28-$B$32-$B$39-$B$77-$B$38)*C22/100)&lt;0,0,($B$28-$B$32-$B$39-$B$77-$B$38)*C22/100)</f>
        <v>242.50373626373633</v>
      </c>
      <c r="C36" s="168">
        <f>IF(ISERROR(B36/SUM($B$32,$B$34,$B$35,$B$36,$B$38,$B$39)*100),0,B36/SUM($B$32,$B$34,$B$35,$B$36,$B$38,$B$39)*100)</f>
        <v>3.3251574971031999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2705.3999999999996</v>
      </c>
      <c r="C39" s="168">
        <f>IF(ISERROR(B39/SUM($B$32,$B$34,$B$35,$B$36,$B$38,$B$39)*100),0,B39/SUM($B$32,$B$34,$B$35,$B$36,$B$38,$B$39)*100)</f>
        <v>37.095845331139444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3242</v>
      </c>
      <c r="C44" s="34" t="s">
        <v>111</v>
      </c>
      <c r="D44" s="175"/>
    </row>
    <row r="45" spans="1:7">
      <c r="A45" s="172" t="s">
        <v>72</v>
      </c>
      <c r="B45" s="33" t="str">
        <f t="shared" si="0"/>
        <v>-</v>
      </c>
      <c r="C45" s="34" t="s">
        <v>111</v>
      </c>
      <c r="D45" s="175"/>
    </row>
    <row r="46" spans="1:7">
      <c r="A46" s="172" t="s">
        <v>73</v>
      </c>
      <c r="B46" s="33">
        <f t="shared" si="0"/>
        <v>103.50769230769234</v>
      </c>
      <c r="C46" s="34" t="s">
        <v>111</v>
      </c>
      <c r="D46" s="175"/>
    </row>
    <row r="47" spans="1:7">
      <c r="A47" s="172" t="s">
        <v>74</v>
      </c>
      <c r="B47" s="33">
        <f t="shared" si="0"/>
        <v>999.58857142857175</v>
      </c>
      <c r="C47" s="34" t="s">
        <v>111</v>
      </c>
      <c r="D47" s="175"/>
    </row>
    <row r="48" spans="1:7">
      <c r="A48" s="172" t="s">
        <v>75</v>
      </c>
      <c r="B48" s="33">
        <f t="shared" si="0"/>
        <v>242.50373626373633</v>
      </c>
      <c r="C48" s="33">
        <f>B48*10</f>
        <v>2425.0373626373635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2705.3999999999996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22835.126</v>
      </c>
      <c r="C5" s="17">
        <f>IF(ISERROR('Eigen informatie GS &amp; warmtenet'!B58),0,'Eigen informatie GS &amp; warmtenet'!B58)</f>
        <v>0</v>
      </c>
      <c r="D5" s="30">
        <f>SUM(D6:D12)</f>
        <v>23556.999113999998</v>
      </c>
      <c r="E5" s="17">
        <f>SUM(E6:E12)</f>
        <v>422.20877991459196</v>
      </c>
      <c r="F5" s="17">
        <f>SUM(F6:F12)</f>
        <v>6170.4619124667979</v>
      </c>
      <c r="G5" s="18"/>
      <c r="H5" s="17"/>
      <c r="I5" s="17"/>
      <c r="J5" s="17">
        <f>SUM(J6:J12)</f>
        <v>0</v>
      </c>
      <c r="K5" s="17"/>
      <c r="L5" s="17"/>
      <c r="M5" s="17"/>
      <c r="N5" s="17">
        <f>SUM(N6:N12)</f>
        <v>509.34639865602242</v>
      </c>
      <c r="O5" s="17">
        <f>B38*B39*B40</f>
        <v>4.6900000000000004</v>
      </c>
      <c r="P5" s="17">
        <f>B46*B47*B48/1000-B46*B47*B48/1000/B49</f>
        <v>19.066666666666666</v>
      </c>
      <c r="R5" s="32"/>
    </row>
    <row r="6" spans="1:18">
      <c r="A6" s="32" t="s">
        <v>54</v>
      </c>
      <c r="B6" s="37">
        <f>B26</f>
        <v>8001.5839999999998</v>
      </c>
      <c r="C6" s="33"/>
      <c r="D6" s="37">
        <f>IF(ISERROR(TER_kantoor_gas_kWh/1000),0,TER_kantoor_gas_kWh/1000)*0.902</f>
        <v>8602.1106159999999</v>
      </c>
      <c r="E6" s="33">
        <f>$C$26*'E Balans VL '!I12/100/3.6*1000000</f>
        <v>280.08691620413657</v>
      </c>
      <c r="F6" s="33">
        <f>$C$26*('E Balans VL '!L12+'E Balans VL '!N12)/100/3.6*1000000</f>
        <v>1213.2119267250694</v>
      </c>
      <c r="G6" s="34"/>
      <c r="H6" s="33"/>
      <c r="I6" s="33"/>
      <c r="J6" s="33">
        <f>$C$26*('E Balans VL '!D12+'E Balans VL '!E12)/100/3.6*1000000</f>
        <v>0</v>
      </c>
      <c r="K6" s="33"/>
      <c r="L6" s="33"/>
      <c r="M6" s="33"/>
      <c r="N6" s="33">
        <f>$C$26*'E Balans VL '!Y12/100/3.6*1000000</f>
        <v>61.849739893132913</v>
      </c>
      <c r="O6" s="33"/>
      <c r="P6" s="33"/>
      <c r="R6" s="32"/>
    </row>
    <row r="7" spans="1:18">
      <c r="A7" s="32" t="s">
        <v>53</v>
      </c>
      <c r="B7" s="37">
        <f t="shared" ref="B7:B12" si="0">B27</f>
        <v>1720.4559999999999</v>
      </c>
      <c r="C7" s="33"/>
      <c r="D7" s="37">
        <f>IF(ISERROR(TER_horeca_gas_kWh/1000),0,TER_horeca_gas_kWh/1000)*0.902</f>
        <v>3149.926516</v>
      </c>
      <c r="E7" s="33">
        <f>$C$27*'E Balans VL '!I9/100/3.6*1000000</f>
        <v>97.056594893429818</v>
      </c>
      <c r="F7" s="33">
        <f>$C$27*('E Balans VL '!L9+'E Balans VL '!N9)/100/3.6*1000000</f>
        <v>299.71295632574947</v>
      </c>
      <c r="G7" s="34"/>
      <c r="H7" s="33"/>
      <c r="I7" s="33"/>
      <c r="J7" s="33">
        <f>$C$27*('E Balans VL '!D9+'E Balans VL '!E9)/100/3.6*1000000</f>
        <v>0</v>
      </c>
      <c r="K7" s="33"/>
      <c r="L7" s="33"/>
      <c r="M7" s="33"/>
      <c r="N7" s="33">
        <f>$C$27*'E Balans VL '!Y9/100/3.6*1000000</f>
        <v>0</v>
      </c>
      <c r="O7" s="33"/>
      <c r="P7" s="33"/>
      <c r="R7" s="32"/>
    </row>
    <row r="8" spans="1:18">
      <c r="A8" s="6" t="s">
        <v>52</v>
      </c>
      <c r="B8" s="37">
        <f t="shared" si="0"/>
        <v>5897.9390000000003</v>
      </c>
      <c r="C8" s="33"/>
      <c r="D8" s="37">
        <f>IF(ISERROR(TER_handel_gas_kWh/1000),0,TER_handel_gas_kWh/1000)*0.902</f>
        <v>2088.7974799999997</v>
      </c>
      <c r="E8" s="33">
        <f>$C$28*'E Balans VL '!I13/100/3.6*1000000</f>
        <v>30.279419604088339</v>
      </c>
      <c r="F8" s="33">
        <f>$C$28*('E Balans VL '!L13+'E Balans VL '!N13)/100/3.6*1000000</f>
        <v>909.37106128728908</v>
      </c>
      <c r="G8" s="34"/>
      <c r="H8" s="33"/>
      <c r="I8" s="33"/>
      <c r="J8" s="33">
        <f>$C$28*('E Balans VL '!D13+'E Balans VL '!E13)/100/3.6*1000000</f>
        <v>0</v>
      </c>
      <c r="K8" s="33"/>
      <c r="L8" s="33"/>
      <c r="M8" s="33"/>
      <c r="N8" s="33">
        <f>$C$28*'E Balans VL '!Y13/100/3.6*1000000</f>
        <v>2.7585380643361623</v>
      </c>
      <c r="O8" s="33"/>
      <c r="P8" s="33"/>
      <c r="R8" s="32"/>
    </row>
    <row r="9" spans="1:18">
      <c r="A9" s="32" t="s">
        <v>51</v>
      </c>
      <c r="B9" s="37">
        <f t="shared" si="0"/>
        <v>1330.1130000000001</v>
      </c>
      <c r="C9" s="33"/>
      <c r="D9" s="37">
        <f>IF(ISERROR(TER_gezond_gas_kWh/1000),0,TER_gezond_gas_kWh/1000)*0.902</f>
        <v>1335.4010780000001</v>
      </c>
      <c r="E9" s="33">
        <f>$C$29*'E Balans VL '!I10/100/3.6*1000000</f>
        <v>0.5513223657747145</v>
      </c>
      <c r="F9" s="33">
        <f>$C$29*('E Balans VL '!L10+'E Balans VL '!N10)/100/3.6*1000000</f>
        <v>327.58775553493552</v>
      </c>
      <c r="G9" s="34"/>
      <c r="H9" s="33"/>
      <c r="I9" s="33"/>
      <c r="J9" s="33">
        <f>$C$29*('E Balans VL '!D10+'E Balans VL '!E10)/100/3.6*1000000</f>
        <v>0</v>
      </c>
      <c r="K9" s="33"/>
      <c r="L9" s="33"/>
      <c r="M9" s="33"/>
      <c r="N9" s="33">
        <f>$C$29*'E Balans VL '!Y10/100/3.6*1000000</f>
        <v>11.495468516095874</v>
      </c>
      <c r="O9" s="33"/>
      <c r="P9" s="33"/>
      <c r="R9" s="32"/>
    </row>
    <row r="10" spans="1:18">
      <c r="A10" s="32" t="s">
        <v>50</v>
      </c>
      <c r="B10" s="37">
        <f t="shared" si="0"/>
        <v>1827.873</v>
      </c>
      <c r="C10" s="33"/>
      <c r="D10" s="37">
        <f>IF(ISERROR(TER_ander_gas_kWh/1000),0,TER_ander_gas_kWh/1000)*0.902</f>
        <v>1415.5095019999999</v>
      </c>
      <c r="E10" s="33">
        <f>$C$30*'E Balans VL '!I14/100/3.6*1000000</f>
        <v>11.142758906557507</v>
      </c>
      <c r="F10" s="33">
        <f>$C$30*('E Balans VL '!L14+'E Balans VL '!N14)/100/3.6*1000000</f>
        <v>484.59417131980058</v>
      </c>
      <c r="G10" s="34"/>
      <c r="H10" s="33"/>
      <c r="I10" s="33"/>
      <c r="J10" s="33">
        <f>$C$30*('E Balans VL '!D14+'E Balans VL '!E14)/100/3.6*1000000</f>
        <v>0</v>
      </c>
      <c r="K10" s="33"/>
      <c r="L10" s="33"/>
      <c r="M10" s="33"/>
      <c r="N10" s="33">
        <f>$C$30*'E Balans VL '!Y14/100/3.6*1000000</f>
        <v>421.28522907164734</v>
      </c>
      <c r="O10" s="33"/>
      <c r="P10" s="33"/>
      <c r="R10" s="32"/>
    </row>
    <row r="11" spans="1:18">
      <c r="A11" s="32" t="s">
        <v>55</v>
      </c>
      <c r="B11" s="37">
        <f t="shared" si="0"/>
        <v>4057.1610000000001</v>
      </c>
      <c r="C11" s="33"/>
      <c r="D11" s="37">
        <f>IF(ISERROR(TER_onderwijs_gas_kWh/1000),0,TER_onderwijs_gas_kWh/1000)*0.902</f>
        <v>6965.2539220000008</v>
      </c>
      <c r="E11" s="33">
        <f>$C$31*'E Balans VL '!I11/100/3.6*1000000</f>
        <v>3.0917679406050764</v>
      </c>
      <c r="F11" s="33">
        <f>$C$31*('E Balans VL '!L11+'E Balans VL '!N11)/100/3.6*1000000</f>
        <v>2935.9840412739541</v>
      </c>
      <c r="G11" s="34"/>
      <c r="H11" s="33"/>
      <c r="I11" s="33"/>
      <c r="J11" s="33">
        <f>$C$31*('E Balans VL '!D11+'E Balans VL '!E11)/100/3.6*1000000</f>
        <v>0</v>
      </c>
      <c r="K11" s="33"/>
      <c r="L11" s="33"/>
      <c r="M11" s="33"/>
      <c r="N11" s="33">
        <f>$C$31*'E Balans VL '!Y11/100/3.6*1000000</f>
        <v>11.957423110810183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225</v>
      </c>
      <c r="C13" s="248">
        <f ca="1">'lokale energieproductie'!O91+'lokale energieproductie'!O60</f>
        <v>321.42857142857144</v>
      </c>
      <c r="D13" s="311">
        <f ca="1">('lokale energieproductie'!P60+'lokale energieproductie'!P91)*(-1)</f>
        <v>-642.85714285714289</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23060.126</v>
      </c>
      <c r="C16" s="21">
        <f ca="1">C5+C13+C14</f>
        <v>321.42857142857144</v>
      </c>
      <c r="D16" s="21">
        <f t="shared" ref="D16:N16" ca="1" si="1">MAX((D5+D13+D14),0)</f>
        <v>22914.141971142857</v>
      </c>
      <c r="E16" s="21">
        <f t="shared" si="1"/>
        <v>422.20877991459196</v>
      </c>
      <c r="F16" s="21">
        <f t="shared" ca="1" si="1"/>
        <v>6170.4619124667979</v>
      </c>
      <c r="G16" s="21">
        <f t="shared" si="1"/>
        <v>0</v>
      </c>
      <c r="H16" s="21">
        <f t="shared" si="1"/>
        <v>0</v>
      </c>
      <c r="I16" s="21">
        <f t="shared" si="1"/>
        <v>0</v>
      </c>
      <c r="J16" s="21">
        <f t="shared" si="1"/>
        <v>0</v>
      </c>
      <c r="K16" s="21">
        <f t="shared" si="1"/>
        <v>0</v>
      </c>
      <c r="L16" s="21">
        <f t="shared" ca="1" si="1"/>
        <v>0</v>
      </c>
      <c r="M16" s="21">
        <f t="shared" si="1"/>
        <v>0</v>
      </c>
      <c r="N16" s="21">
        <f t="shared" ca="1" si="1"/>
        <v>509.34639865602242</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0.2113990786252152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4874.8893893813693</v>
      </c>
      <c r="C20" s="23">
        <f t="shared" ref="C20:P20" ca="1" si="2">C16*C18</f>
        <v>76.386554621848759</v>
      </c>
      <c r="D20" s="23">
        <f t="shared" ca="1" si="2"/>
        <v>4628.656678170857</v>
      </c>
      <c r="E20" s="23">
        <f t="shared" si="2"/>
        <v>95.841393040612374</v>
      </c>
      <c r="F20" s="23">
        <f t="shared" ca="1" si="2"/>
        <v>1647.5133306286352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8001.5839999999998</v>
      </c>
      <c r="C26" s="39">
        <f>IF(ISERROR(B26*3.6/1000000/'E Balans VL '!Z12*100),0,B26*3.6/1000000/'E Balans VL '!Z12*100)</f>
        <v>0.16838006565177294</v>
      </c>
      <c r="D26" s="238" t="s">
        <v>719</v>
      </c>
      <c r="F26" s="6"/>
    </row>
    <row r="27" spans="1:18">
      <c r="A27" s="232" t="s">
        <v>53</v>
      </c>
      <c r="B27" s="33">
        <f>IF(ISERROR(TER_horeca_ele_kWh/1000),0,TER_horeca_ele_kWh/1000)</f>
        <v>1720.4559999999999</v>
      </c>
      <c r="C27" s="39">
        <f>IF(ISERROR(B27*3.6/1000000/'E Balans VL '!Z9*100),0,B27*3.6/1000000/'E Balans VL '!Z9*100)</f>
        <v>0.1456661750834099</v>
      </c>
      <c r="D27" s="238" t="s">
        <v>719</v>
      </c>
      <c r="F27" s="6"/>
    </row>
    <row r="28" spans="1:18">
      <c r="A28" s="172" t="s">
        <v>52</v>
      </c>
      <c r="B28" s="33">
        <f>IF(ISERROR(TER_handel_ele_kWh/1000),0,TER_handel_ele_kWh/1000)</f>
        <v>5897.9390000000003</v>
      </c>
      <c r="C28" s="39">
        <f>IF(ISERROR(B28*3.6/1000000/'E Balans VL '!Z13*100),0,B28*3.6/1000000/'E Balans VL '!Z13*100)</f>
        <v>0.16328362565362345</v>
      </c>
      <c r="D28" s="238" t="s">
        <v>719</v>
      </c>
      <c r="F28" s="6"/>
    </row>
    <row r="29" spans="1:18">
      <c r="A29" s="232" t="s">
        <v>51</v>
      </c>
      <c r="B29" s="33">
        <f>IF(ISERROR(TER_gezond_ele_kWh/1000),0,TER_gezond_ele_kWh/1000)</f>
        <v>1330.1130000000001</v>
      </c>
      <c r="C29" s="39">
        <f>IF(ISERROR(B29*3.6/1000000/'E Balans VL '!Z10*100),0,B29*3.6/1000000/'E Balans VL '!Z10*100)</f>
        <v>0.17289994397816047</v>
      </c>
      <c r="D29" s="238" t="s">
        <v>719</v>
      </c>
      <c r="F29" s="6"/>
    </row>
    <row r="30" spans="1:18">
      <c r="A30" s="232" t="s">
        <v>50</v>
      </c>
      <c r="B30" s="33">
        <f>IF(ISERROR(TER_ander_ele_kWh/1000),0,TER_ander_ele_kWh/1000)</f>
        <v>1827.873</v>
      </c>
      <c r="C30" s="39">
        <f>IF(ISERROR(B30*3.6/1000000/'E Balans VL '!Z14*100),0,B30*3.6/1000000/'E Balans VL '!Z14*100)</f>
        <v>0.14167692037594318</v>
      </c>
      <c r="D30" s="238" t="s">
        <v>719</v>
      </c>
      <c r="F30" s="6"/>
    </row>
    <row r="31" spans="1:18">
      <c r="A31" s="232" t="s">
        <v>55</v>
      </c>
      <c r="B31" s="33">
        <f>IF(ISERROR(TER_onderwijs_ele_kWh/1000),0,TER_onderwijs_ele_kWh/1000)</f>
        <v>4057.1610000000001</v>
      </c>
      <c r="C31" s="39">
        <f>IF(ISERROR(B31*3.6/1000000/'E Balans VL '!Z11*100),0,B31*3.6/1000000/'E Balans VL '!Z11*100)</f>
        <v>0.77620403186044684</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12626.199000000001</v>
      </c>
      <c r="C5" s="17">
        <f>IF(ISERROR('Eigen informatie GS &amp; warmtenet'!B59),0,'Eigen informatie GS &amp; warmtenet'!B59)</f>
        <v>0</v>
      </c>
      <c r="D5" s="30">
        <f>SUM(D6:D15)</f>
        <v>4372.5604560000002</v>
      </c>
      <c r="E5" s="17">
        <f>SUM(E6:E15)</f>
        <v>111.47246196088406</v>
      </c>
      <c r="F5" s="17">
        <f>SUM(F6:F15)</f>
        <v>2857.9264710948164</v>
      </c>
      <c r="G5" s="18"/>
      <c r="H5" s="17"/>
      <c r="I5" s="17"/>
      <c r="J5" s="17">
        <f>SUM(J6:J15)</f>
        <v>184.91212899213826</v>
      </c>
      <c r="K5" s="17"/>
      <c r="L5" s="17"/>
      <c r="M5" s="17"/>
      <c r="N5" s="17">
        <f>SUM(N6:N15)</f>
        <v>214.50020955241808</v>
      </c>
      <c r="O5" s="17">
        <f>B43*B44*B45</f>
        <v>0</v>
      </c>
      <c r="P5" s="17">
        <f>B51*B52*B53/1000-B51*B52*B53/1000/B54</f>
        <v>0</v>
      </c>
      <c r="R5" s="32"/>
    </row>
    <row r="6" spans="1:18">
      <c r="A6" s="6" t="s">
        <v>35</v>
      </c>
      <c r="B6" s="37">
        <f>IF( ISERROR(IND_ijzer_ele_kWh/1000),0,IND_ijzer_ele_kWh/1000)</f>
        <v>51.962000000000003</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8160.4309999999996</v>
      </c>
      <c r="C8" s="33"/>
      <c r="D8" s="37">
        <f>IF( ISERROR(IND_metaal_Gas_kWH/1000),0,IND_metaal_Gas_kWH/1000)*0.902</f>
        <v>0</v>
      </c>
      <c r="E8" s="33">
        <f>C30*'E Balans VL '!I18/100/3.6*1000000</f>
        <v>57.34154811957179</v>
      </c>
      <c r="F8" s="33">
        <f>C30*'E Balans VL '!L18/100/3.6*1000000+C30*'E Balans VL '!N18/100/3.6*1000000</f>
        <v>895.9675805793546</v>
      </c>
      <c r="G8" s="34"/>
      <c r="H8" s="33"/>
      <c r="I8" s="33"/>
      <c r="J8" s="40">
        <f>C30*'E Balans VL '!D18/100/3.6*1000000+C30*'E Balans VL '!E18/100/3.6*1000000</f>
        <v>168.36728045583672</v>
      </c>
      <c r="K8" s="33"/>
      <c r="L8" s="33"/>
      <c r="M8" s="33"/>
      <c r="N8" s="33">
        <f>C30*'E Balans VL '!Y18/100/3.6*1000000</f>
        <v>30.585883101610229</v>
      </c>
      <c r="O8" s="33"/>
      <c r="P8" s="33"/>
      <c r="R8" s="32"/>
    </row>
    <row r="9" spans="1:18">
      <c r="A9" s="6" t="s">
        <v>33</v>
      </c>
      <c r="B9" s="37">
        <f t="shared" si="0"/>
        <v>1879.5050000000001</v>
      </c>
      <c r="C9" s="33"/>
      <c r="D9" s="37">
        <f>IF( ISERROR(IND_andere_gas_kWh/1000),0,IND_andere_gas_kWh/1000)*0.902</f>
        <v>3252.3486160000002</v>
      </c>
      <c r="E9" s="33">
        <f>C31*'E Balans VL '!I19/100/3.6*1000000</f>
        <v>31.568588942138696</v>
      </c>
      <c r="F9" s="33">
        <f>C31*'E Balans VL '!L19/100/3.6*1000000+C31*'E Balans VL '!N19/100/3.6*1000000</f>
        <v>1469.2899603882609</v>
      </c>
      <c r="G9" s="34"/>
      <c r="H9" s="33"/>
      <c r="I9" s="33"/>
      <c r="J9" s="40">
        <f>C31*'E Balans VL '!D19/100/3.6*1000000+C31*'E Balans VL '!E19/100/3.6*1000000</f>
        <v>0.1695147598859178</v>
      </c>
      <c r="K9" s="33"/>
      <c r="L9" s="33"/>
      <c r="M9" s="33"/>
      <c r="N9" s="33">
        <f>C31*'E Balans VL '!Y19/100/3.6*1000000</f>
        <v>139.30147450304901</v>
      </c>
      <c r="O9" s="33"/>
      <c r="P9" s="33"/>
      <c r="R9" s="32"/>
    </row>
    <row r="10" spans="1:18">
      <c r="A10" s="6" t="s">
        <v>41</v>
      </c>
      <c r="B10" s="37">
        <f t="shared" si="0"/>
        <v>140.17699999999999</v>
      </c>
      <c r="C10" s="33"/>
      <c r="D10" s="37">
        <f>IF( ISERROR(IND_voed_gas_kWh/1000),0,IND_voed_gas_kWh/1000)*0.902</f>
        <v>0</v>
      </c>
      <c r="E10" s="33">
        <f>C32*'E Balans VL '!I20/100/3.6*1000000</f>
        <v>1.2789166974504507</v>
      </c>
      <c r="F10" s="33">
        <f>C32*'E Balans VL '!L20/100/3.6*1000000+C32*'E Balans VL '!N20/100/3.6*1000000</f>
        <v>22.614934579971305</v>
      </c>
      <c r="G10" s="34"/>
      <c r="H10" s="33"/>
      <c r="I10" s="33"/>
      <c r="J10" s="40">
        <f>C32*'E Balans VL '!D20/100/3.6*1000000+C32*'E Balans VL '!E20/100/3.6*1000000</f>
        <v>0.57734079048984432</v>
      </c>
      <c r="K10" s="33"/>
      <c r="L10" s="33"/>
      <c r="M10" s="33"/>
      <c r="N10" s="33">
        <f>C32*'E Balans VL '!Y20/100/3.6*1000000</f>
        <v>2.0506789773332827</v>
      </c>
      <c r="O10" s="33"/>
      <c r="P10" s="33"/>
      <c r="R10" s="32"/>
    </row>
    <row r="11" spans="1:18">
      <c r="A11" s="6" t="s">
        <v>40</v>
      </c>
      <c r="B11" s="37">
        <f t="shared" si="0"/>
        <v>47.893999999999998</v>
      </c>
      <c r="C11" s="33"/>
      <c r="D11" s="37">
        <f>IF( ISERROR(IND_textiel_gas_kWh/1000),0,IND_textiel_gas_kWh/1000)*0.902</f>
        <v>0</v>
      </c>
      <c r="E11" s="33">
        <f>C33*'E Balans VL '!I21/100/3.6*1000000</f>
        <v>0.10923733004283567</v>
      </c>
      <c r="F11" s="33">
        <f>C33*'E Balans VL '!L21/100/3.6*1000000+C33*'E Balans VL '!N21/100/3.6*1000000</f>
        <v>1.0237786714848749</v>
      </c>
      <c r="G11" s="34"/>
      <c r="H11" s="33"/>
      <c r="I11" s="33"/>
      <c r="J11" s="40">
        <f>C33*'E Balans VL '!D21/100/3.6*1000000+C33*'E Balans VL '!E21/100/3.6*1000000</f>
        <v>0</v>
      </c>
      <c r="K11" s="33"/>
      <c r="L11" s="33"/>
      <c r="M11" s="33"/>
      <c r="N11" s="33">
        <f>C33*'E Balans VL '!Y21/100/3.6*1000000</f>
        <v>0.3397535746422119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2346.23</v>
      </c>
      <c r="C15" s="33"/>
      <c r="D15" s="37">
        <f>IF( ISERROR(IND_rest_gas_kWh/1000),0,IND_rest_gas_kWh/1000)*0.902</f>
        <v>1120.2118400000002</v>
      </c>
      <c r="E15" s="33">
        <f>C37*'E Balans VL '!I15/100/3.6*1000000</f>
        <v>21.174170871680289</v>
      </c>
      <c r="F15" s="33">
        <f>C37*'E Balans VL '!L15/100/3.6*1000000+C37*'E Balans VL '!N15/100/3.6*1000000</f>
        <v>469.03021687574505</v>
      </c>
      <c r="G15" s="34"/>
      <c r="H15" s="33"/>
      <c r="I15" s="33"/>
      <c r="J15" s="40">
        <f>C37*'E Balans VL '!D15/100/3.6*1000000+C37*'E Balans VL '!E15/100/3.6*1000000</f>
        <v>15.797992985925788</v>
      </c>
      <c r="K15" s="33"/>
      <c r="L15" s="33"/>
      <c r="M15" s="33"/>
      <c r="N15" s="33">
        <f>C37*'E Balans VL '!Y15/100/3.6*1000000</f>
        <v>42.222419395783369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12626.199000000001</v>
      </c>
      <c r="C18" s="21">
        <f>C5+C16</f>
        <v>0</v>
      </c>
      <c r="D18" s="21">
        <f>MAX((D5+D16),0)</f>
        <v>4372.5604560000002</v>
      </c>
      <c r="E18" s="21">
        <f>MAX((E5+E16),0)</f>
        <v>111.47246196088406</v>
      </c>
      <c r="F18" s="21">
        <f>MAX((F5+F16),0)</f>
        <v>2857.9264710948164</v>
      </c>
      <c r="G18" s="21"/>
      <c r="H18" s="21"/>
      <c r="I18" s="21"/>
      <c r="J18" s="21">
        <f>MAX((J5+J16),0)</f>
        <v>184.91212899213826</v>
      </c>
      <c r="K18" s="21"/>
      <c r="L18" s="21">
        <f>MAX((L5+L16),0)</f>
        <v>0</v>
      </c>
      <c r="M18" s="21"/>
      <c r="N18" s="21">
        <f>MAX((N5+N16),0)</f>
        <v>214.50020955241808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0.2113990786252152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2669.1668351386138</v>
      </c>
      <c r="C22" s="23">
        <f ca="1">C18*C20</f>
        <v>0</v>
      </c>
      <c r="D22" s="23">
        <f>D18*D20</f>
        <v>883.25721211200005</v>
      </c>
      <c r="E22" s="23">
        <f>E18*E20</f>
        <v>25.304248865120684</v>
      </c>
      <c r="F22" s="23">
        <f>F18*F20</f>
        <v>763.06636778231598</v>
      </c>
      <c r="G22" s="23"/>
      <c r="H22" s="23"/>
      <c r="I22" s="23"/>
      <c r="J22" s="23">
        <f>J18*J20</f>
        <v>65.458893663216941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8160.4309999999996</v>
      </c>
      <c r="C30" s="39">
        <f>IF(ISERROR(B30*3.6/1000000/'E Balans VL '!Z18*100),0,B30*3.6/1000000/'E Balans VL '!Z18*100)</f>
        <v>0.54324487484674999</v>
      </c>
      <c r="D30" s="238" t="s">
        <v>719</v>
      </c>
    </row>
    <row r="31" spans="1:18">
      <c r="A31" s="6" t="s">
        <v>33</v>
      </c>
      <c r="B31" s="37">
        <f>IF( ISERROR(IND_ander_ele_kWh/1000),0,IND_ander_ele_kWh/1000)</f>
        <v>1879.5050000000001</v>
      </c>
      <c r="C31" s="39">
        <f>IF(ISERROR(B31*3.6/1000000/'E Balans VL '!Z19*100),0,B31*3.6/1000000/'E Balans VL '!Z19*100)</f>
        <v>8.331100827157735E-2</v>
      </c>
      <c r="D31" s="238" t="s">
        <v>719</v>
      </c>
    </row>
    <row r="32" spans="1:18">
      <c r="A32" s="172" t="s">
        <v>41</v>
      </c>
      <c r="B32" s="37">
        <f>IF( ISERROR(IND_voed_ele_kWh/1000),0,IND_voed_ele_kWh/1000)</f>
        <v>140.17699999999999</v>
      </c>
      <c r="C32" s="39">
        <f>IF(ISERROR(B32*3.6/1000000/'E Balans VL '!Z20*100),0,B32*3.6/1000000/'E Balans VL '!Z20*100)</f>
        <v>4.6823139157690487E-3</v>
      </c>
      <c r="D32" s="238" t="s">
        <v>719</v>
      </c>
    </row>
    <row r="33" spans="1:5">
      <c r="A33" s="172" t="s">
        <v>40</v>
      </c>
      <c r="B33" s="37">
        <f>IF( ISERROR(IND_textiel_ele_kWh/1000),0,IND_textiel_ele_kWh/1000)</f>
        <v>47.893999999999998</v>
      </c>
      <c r="C33" s="39">
        <f>IF(ISERROR(B33*3.6/1000000/'E Balans VL '!Z21*100),0,B33*3.6/1000000/'E Balans VL '!Z21*100)</f>
        <v>6.305355545478725E-3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2346.23</v>
      </c>
      <c r="C37" s="39">
        <f>IF(ISERROR(B37*3.6/1000000/'E Balans VL '!Z15*100),0,B37*3.6/1000000/'E Balans VL '!Z15*100)</f>
        <v>1.7452128864370302E-2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668.495</v>
      </c>
      <c r="C5" s="17">
        <f>'Eigen informatie GS &amp; warmtenet'!B60</f>
        <v>0</v>
      </c>
      <c r="D5" s="30">
        <f>IF(ISERROR(SUM(LB_lb_gas_kWh,LB_rest_gas_kWh)/1000),0,SUM(LB_lb_gas_kWh,LB_rest_gas_kWh)/1000)*0.902</f>
        <v>29.207662000000003</v>
      </c>
      <c r="E5" s="17">
        <f>B17*'E Balans VL '!I25/3.6*1000000/100</f>
        <v>7.0006243632657199</v>
      </c>
      <c r="F5" s="17">
        <f>B17*('E Balans VL '!L25/3.6*1000000+'E Balans VL '!N25/3.6*1000000)/100</f>
        <v>2861.6665483222891</v>
      </c>
      <c r="G5" s="18"/>
      <c r="H5" s="17"/>
      <c r="I5" s="17"/>
      <c r="J5" s="17">
        <f>('E Balans VL '!D25+'E Balans VL '!E25)/3.6*1000000*landbouw!B17/100</f>
        <v>59.702595322903463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668.495</v>
      </c>
      <c r="C8" s="21">
        <f>C5+C6</f>
        <v>0</v>
      </c>
      <c r="D8" s="21">
        <f>MAX((D5+D6),0)</f>
        <v>29.207662000000003</v>
      </c>
      <c r="E8" s="21">
        <f>MAX((E5+E6),0)</f>
        <v>7.0006243632657199</v>
      </c>
      <c r="F8" s="21">
        <f>MAX((F5+F6),0)</f>
        <v>2861.6665483222891</v>
      </c>
      <c r="G8" s="21"/>
      <c r="H8" s="21"/>
      <c r="I8" s="21"/>
      <c r="J8" s="21">
        <f>MAX((J5+J6),0)</f>
        <v>59.702595322903463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0.2113990786252152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141.31922706556324</v>
      </c>
      <c r="C12" s="23">
        <f ca="1">C8*C10</f>
        <v>0</v>
      </c>
      <c r="D12" s="23">
        <f>D8*D10</f>
        <v>5.8999477240000013</v>
      </c>
      <c r="E12" s="23">
        <f>E8*E10</f>
        <v>1.5891417304613185</v>
      </c>
      <c r="F12" s="23">
        <f>F8*F10</f>
        <v>764.06496840205125</v>
      </c>
      <c r="G12" s="23"/>
      <c r="H12" s="23"/>
      <c r="I12" s="23"/>
      <c r="J12" s="23">
        <f>J8*J10</f>
        <v>21.134718744307825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0.10289428483820154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133.87460649407728</v>
      </c>
      <c r="C26" s="248">
        <f>B26*'GWP N2O_CH4'!B5</f>
        <v>2811.3667363756231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33.530895022117889</v>
      </c>
      <c r="C27" s="248">
        <f>B27*'GWP N2O_CH4'!B5</f>
        <v>704.14879546447571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1.7082712311373673</v>
      </c>
      <c r="C28" s="248">
        <f>B28*'GWP N2O_CH4'!B4</f>
        <v>529.56408165258392</v>
      </c>
      <c r="D28" s="50"/>
    </row>
    <row r="29" spans="1:4">
      <c r="A29" s="41" t="s">
        <v>277</v>
      </c>
      <c r="B29" s="248">
        <f>B34*'ha_N2O bodem landbouw'!B4</f>
        <v>12.487922563742661</v>
      </c>
      <c r="C29" s="248">
        <f>B29*'GWP N2O_CH4'!B4</f>
        <v>3871.2559947602249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2.0637932162462752E-3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5.4068450796098063E-6</v>
      </c>
      <c r="C5" s="446" t="s">
        <v>211</v>
      </c>
      <c r="D5" s="431">
        <f>SUM(D6:D11)</f>
        <v>2.6255191220339261E-5</v>
      </c>
      <c r="E5" s="431">
        <f>SUM(E6:E11)</f>
        <v>2.912405618146091E-3</v>
      </c>
      <c r="F5" s="444" t="s">
        <v>211</v>
      </c>
      <c r="G5" s="431">
        <f>SUM(G6:G11)</f>
        <v>0.51318277683580404</v>
      </c>
      <c r="H5" s="431">
        <f>SUM(H6:H11)</f>
        <v>8.9275708740752427E-2</v>
      </c>
      <c r="I5" s="446" t="s">
        <v>211</v>
      </c>
      <c r="J5" s="446" t="s">
        <v>211</v>
      </c>
      <c r="K5" s="446" t="s">
        <v>211</v>
      </c>
      <c r="L5" s="446" t="s">
        <v>211</v>
      </c>
      <c r="M5" s="431">
        <f>SUM(M6:M11)</f>
        <v>2.6290759853391944E-2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2.6333964493921222E-6</v>
      </c>
      <c r="C6" s="432"/>
      <c r="D6" s="432">
        <f>vkm_2011_GW_PW*SUMIFS(TableVerdeelsleutelVkm[CNG],TableVerdeelsleutelVkm[Voertuigtype],"Lichte voertuigen")*SUMIFS(TableECFTransport[EnergieConsumptieFactor (PJ per km)],TableECFTransport[Index],CONCATENATE($A6,"_CNG_CNG"))</f>
        <v>1.1352265987664136E-5</v>
      </c>
      <c r="E6" s="434">
        <f>vkm_2011_GW_PW*SUMIFS(TableVerdeelsleutelVkm[LPG],TableVerdeelsleutelVkm[Voertuigtype],"Lichte voertuigen")*SUMIFS(TableECFTransport[EnergieConsumptieFactor (PJ per km)],TableECFTransport[Index],CONCATENATE($A6,"_LPG_LPG"))</f>
        <v>1.1811336199743022E-3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0.14528267779802825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3.8249918368372729E-2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8.0432782529969646E-3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8.254732932826872E-2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2.8304335314891164E-5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3.5658899601069358E-3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7.6990461866601836E-7</v>
      </c>
      <c r="C8" s="432"/>
      <c r="D8" s="434">
        <f>vkm_2011_NGW_PW*SUMIFS(TableVerdeelsleutelVkm[CNG],TableVerdeelsleutelVkm[Voertuigtype],"Lichte voertuigen")*SUMIFS(TableECFTransport[EnergieConsumptieFactor (PJ per km)],TableECFTransport[Index],CONCATENATE($A8,"_CNG_CNG"))</f>
        <v>5.9543117956468702E-6</v>
      </c>
      <c r="E8" s="434">
        <f>vkm_2011_NGW_PW*SUMIFS(TableVerdeelsleutelVkm[LPG],TableVerdeelsleutelVkm[Voertuigtype],"Lichte voertuigen")*SUMIFS(TableECFTransport[EnergieConsumptieFactor (PJ per km)],TableECFTransport[Index],CONCATENATE($A8,"_LPG_LPG"))</f>
        <v>5.6565822034475148E-4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6.5992687770998523E-2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1.9150781069639161E-2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3.7357299845426576E-3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2.7661288427905761E-4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8.2395711307819478E-8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1.1948582268453564E-5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2.0035440115516658E-6</v>
      </c>
      <c r="C10" s="432"/>
      <c r="D10" s="434">
        <f>vkm_2011_SW_PW*SUMIFS(TableVerdeelsleutelVkm[CNG],TableVerdeelsleutelVkm[Voertuigtype],"Lichte voertuigen")*SUMIFS(TableECFTransport[EnergieConsumptieFactor (PJ per km)],TableECFTransport[Index],CONCATENATE($A10,"_CNG_CNG"))</f>
        <v>8.948613437028255E-6</v>
      </c>
      <c r="E10" s="434">
        <f>vkm_2011_SW_PW*SUMIFS(TableVerdeelsleutelVkm[LPG],TableVerdeelsleutelVkm[Voertuigtype],"Lichte voertuigen")*SUMIFS(TableECFTransport[EnergieConsumptieFactor (PJ per km)],TableECFTransport[Index],CONCATENATE($A10,"_LPG_LPG"))</f>
        <v>1.1656137778270374E-3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0.13180923836801439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3.181469367960589E-2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7.1637371264876137E-3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8.7274230686215135E-2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3.1928892108442006E-5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3.7701759469893196E-3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1.5019014110027238</v>
      </c>
      <c r="C14" s="21"/>
      <c r="D14" s="21">
        <f t="shared" ref="D14:M14" si="0">((D5)*10^9/3600)+D12</f>
        <v>7.2931086723164613</v>
      </c>
      <c r="E14" s="21">
        <f t="shared" si="0"/>
        <v>809.00156059613641</v>
      </c>
      <c r="F14" s="21"/>
      <c r="G14" s="21">
        <f t="shared" si="0"/>
        <v>142550.7713432789</v>
      </c>
      <c r="H14" s="21">
        <f t="shared" si="0"/>
        <v>24798.807983542341</v>
      </c>
      <c r="I14" s="21"/>
      <c r="J14" s="21"/>
      <c r="K14" s="21"/>
      <c r="L14" s="21"/>
      <c r="M14" s="21">
        <f t="shared" si="0"/>
        <v>7302.9888481644293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0.2113990786252152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0.31750057447188645</v>
      </c>
      <c r="C18" s="23"/>
      <c r="D18" s="23">
        <f t="shared" ref="D18:M18" si="1">D14*D16</f>
        <v>1.4732079518079253</v>
      </c>
      <c r="E18" s="23">
        <f t="shared" si="1"/>
        <v>183.64335425532298</v>
      </c>
      <c r="F18" s="23"/>
      <c r="G18" s="23">
        <f t="shared" si="1"/>
        <v>38061.05594865547</v>
      </c>
      <c r="H18" s="23">
        <f t="shared" si="1"/>
        <v>6174.9031879020431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1.4689565322578467E-2</v>
      </c>
      <c r="H50" s="322">
        <f t="shared" si="2"/>
        <v>0</v>
      </c>
      <c r="I50" s="322">
        <f t="shared" si="2"/>
        <v>0</v>
      </c>
      <c r="J50" s="322">
        <f t="shared" si="2"/>
        <v>0</v>
      </c>
      <c r="K50" s="322">
        <f t="shared" si="2"/>
        <v>0</v>
      </c>
      <c r="L50" s="322">
        <f t="shared" si="2"/>
        <v>0</v>
      </c>
      <c r="M50" s="322">
        <f t="shared" si="2"/>
        <v>6.2615235122919974E-4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1.4689565322578467E-2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6.2615235122919974E-4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4080.434811827352</v>
      </c>
      <c r="H54" s="21">
        <f t="shared" si="3"/>
        <v>0</v>
      </c>
      <c r="I54" s="21">
        <f t="shared" si="3"/>
        <v>0</v>
      </c>
      <c r="J54" s="21">
        <f t="shared" si="3"/>
        <v>0</v>
      </c>
      <c r="K54" s="21">
        <f t="shared" si="3"/>
        <v>0</v>
      </c>
      <c r="L54" s="21">
        <f t="shared" si="3"/>
        <v>0</v>
      </c>
      <c r="M54" s="21">
        <f t="shared" si="3"/>
        <v>173.93120867477771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0.2113990786252152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1089.476094757903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3505.1497479300751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225</v>
      </c>
      <c r="C8" s="557">
        <f>B101</f>
        <v>264.70588235294116</v>
      </c>
      <c r="D8" s="985"/>
      <c r="E8" s="985">
        <f>E101</f>
        <v>0</v>
      </c>
      <c r="F8" s="986"/>
      <c r="G8" s="558"/>
      <c r="H8" s="985">
        <f>I101</f>
        <v>0</v>
      </c>
      <c r="I8" s="985">
        <f>G101+F101</f>
        <v>0</v>
      </c>
      <c r="J8" s="985">
        <f>H101+D101+C101</f>
        <v>0</v>
      </c>
      <c r="K8" s="985"/>
      <c r="L8" s="985"/>
      <c r="M8" s="985"/>
      <c r="N8" s="559"/>
      <c r="O8" s="560">
        <f>C8*$C$12+D8*$D$12+E8*$E$12+F8*$F$12+G8*$G$12+H8*$H$12+I8*$I$12+J8*$J$12</f>
        <v>53.470588235294116</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3730.1497479300751</v>
      </c>
      <c r="C10" s="569">
        <f t="shared" ref="C10:L10" si="0">SUM(C8:C9)</f>
        <v>264.70588235294116</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53.470588235294116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321.42857142857144</v>
      </c>
      <c r="C17" s="581">
        <f>B102</f>
        <v>378.15126050420173</v>
      </c>
      <c r="D17" s="582"/>
      <c r="E17" s="582">
        <f>E102</f>
        <v>0</v>
      </c>
      <c r="F17" s="583"/>
      <c r="G17" s="584"/>
      <c r="H17" s="581">
        <f>I102</f>
        <v>0</v>
      </c>
      <c r="I17" s="582">
        <f>G102+F102</f>
        <v>0</v>
      </c>
      <c r="J17" s="582">
        <f>H102+D102+C102</f>
        <v>0</v>
      </c>
      <c r="K17" s="582"/>
      <c r="L17" s="582"/>
      <c r="M17" s="582"/>
      <c r="N17" s="981"/>
      <c r="O17" s="585">
        <f>C17*$C$22+E17*$E$22+H17*$H$22+I17*$I$22+J17*$J$22+D17*$D$22+F17*$F$22+G17*$G$22+K17*$K$22+L17*$L$22</f>
        <v>76.386554621848759</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321.42857142857144</v>
      </c>
      <c r="C20" s="568">
        <f>SUM(C17:C19)</f>
        <v>378.15126050420173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76.386554621848759</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71011</v>
      </c>
      <c r="C28" s="788">
        <v>3590</v>
      </c>
      <c r="D28" s="641" t="s">
        <v>963</v>
      </c>
      <c r="E28" s="640" t="s">
        <v>964</v>
      </c>
      <c r="F28" s="640" t="s">
        <v>965</v>
      </c>
      <c r="G28" s="640" t="s">
        <v>966</v>
      </c>
      <c r="H28" s="640" t="s">
        <v>967</v>
      </c>
      <c r="I28" s="640" t="s">
        <v>964</v>
      </c>
      <c r="J28" s="787">
        <v>39736</v>
      </c>
      <c r="K28" s="787">
        <v>39753</v>
      </c>
      <c r="L28" s="640" t="s">
        <v>968</v>
      </c>
      <c r="M28" s="640">
        <v>50</v>
      </c>
      <c r="N28" s="640">
        <v>225</v>
      </c>
      <c r="O28" s="640">
        <v>321.42857142857144</v>
      </c>
      <c r="P28" s="640">
        <v>642.85714285714289</v>
      </c>
      <c r="Q28" s="640">
        <v>0</v>
      </c>
      <c r="R28" s="640">
        <v>0</v>
      </c>
      <c r="S28" s="640">
        <v>0</v>
      </c>
      <c r="T28" s="640">
        <v>0</v>
      </c>
      <c r="U28" s="640">
        <v>0</v>
      </c>
      <c r="V28" s="640">
        <v>0</v>
      </c>
      <c r="W28" s="640">
        <v>0</v>
      </c>
      <c r="X28" s="640">
        <v>1400</v>
      </c>
      <c r="Y28" s="640" t="s">
        <v>55</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50</v>
      </c>
      <c r="N58" s="598">
        <f>SUM(N28:N57)</f>
        <v>225</v>
      </c>
      <c r="O58" s="598">
        <f t="shared" ref="O58:W58" si="2">SUM(O28:O57)</f>
        <v>321.42857142857144</v>
      </c>
      <c r="P58" s="598">
        <f t="shared" si="2"/>
        <v>642.85714285714289</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50</v>
      </c>
      <c r="N60" s="598">
        <f ca="1">SUMIF($Z$28:AD57,"tertiair",N28:N57)</f>
        <v>225</v>
      </c>
      <c r="O60" s="598">
        <f ca="1">SUMIF($Z$28:AE57,"tertiair",O28:O57)</f>
        <v>321.42857142857144</v>
      </c>
      <c r="P60" s="598">
        <f ca="1">SUMIF($Z$28:AF57,"tertiair",P28:P57)</f>
        <v>642.85714285714289</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264.70588235294116</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378.15126050420173</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2019-06-29T16:07:03Z</dcterms:modified>
</cp:coreProperties>
</file>