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G10" s="1"/>
  <c r="F9"/>
  <c r="F10" s="1"/>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B8"/>
  <c r="B6"/>
  <c r="B5"/>
  <c r="B4"/>
  <c r="O9" l="1"/>
  <c r="O19"/>
  <c r="C98"/>
  <c r="B101" s="1"/>
  <c r="C8" s="1"/>
  <c r="D76" i="14" s="1"/>
  <c r="B17" i="18"/>
  <c r="B20" s="1"/>
  <c r="G20"/>
  <c r="F20"/>
  <c r="O18"/>
  <c r="B10"/>
  <c r="I101"/>
  <c r="H8" s="1"/>
  <c r="H10" s="1"/>
  <c r="E101"/>
  <c r="E8" s="1"/>
  <c r="E10" s="1"/>
  <c r="H101"/>
  <c r="I102"/>
  <c r="H17" s="1"/>
  <c r="H20" s="1"/>
  <c r="E102"/>
  <c r="E17" s="1"/>
  <c r="E20" s="1"/>
  <c r="H102"/>
  <c r="D102"/>
  <c r="G102"/>
  <c r="C102"/>
  <c r="F102"/>
  <c r="B102"/>
  <c r="C17" s="1"/>
  <c r="D14" i="48"/>
  <c r="P7"/>
  <c r="P25" s="1"/>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P49"/>
  <c r="Q20"/>
  <c r="P20"/>
  <c r="O20"/>
  <c r="M20"/>
  <c r="L20"/>
  <c r="K20"/>
  <c r="J20"/>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R44"/>
  <c r="P26"/>
  <c r="H26"/>
  <c r="E25"/>
  <c r="Q26"/>
  <c r="N26"/>
  <c r="I26"/>
  <c r="J22"/>
  <c r="D5" i="17"/>
  <c r="D8" i="55" l="1"/>
  <c r="E90" i="14"/>
  <c r="E18" i="55"/>
  <c r="L78" i="14"/>
  <c r="L8" i="55"/>
  <c r="L10" s="1"/>
  <c r="G78" i="14"/>
  <c r="G9" i="55"/>
  <c r="G10" s="1"/>
  <c r="O78" i="14"/>
  <c r="O9" i="55"/>
  <c r="O10" s="1"/>
  <c r="C77" i="14"/>
  <c r="C9" i="55" s="1"/>
  <c r="F9"/>
  <c r="N78" i="14"/>
  <c r="N9" i="55"/>
  <c r="N10" s="1"/>
  <c r="R25" i="14"/>
  <c r="P22"/>
  <c r="L90"/>
  <c r="E20" i="55"/>
  <c r="G20"/>
  <c r="O20"/>
  <c r="H90" i="14"/>
  <c r="Q52"/>
  <c r="O32" i="48"/>
  <c r="D101" i="18"/>
  <c r="J8" s="1"/>
  <c r="Q22" i="14"/>
  <c r="M87"/>
  <c r="P32" i="48"/>
  <c r="G101" i="18"/>
  <c r="I8" s="1"/>
  <c r="F90" i="14"/>
  <c r="F18" i="55"/>
  <c r="F20" s="1"/>
  <c r="N90" i="14"/>
  <c r="N18" i="55"/>
  <c r="N20" s="1"/>
  <c r="M76" i="14"/>
  <c r="M8" i="55" s="1"/>
  <c r="M10" s="1"/>
  <c r="K22" i="14"/>
  <c r="D22"/>
  <c r="L22"/>
  <c r="L20" i="55"/>
  <c r="C101" i="18"/>
  <c r="F76" i="14"/>
  <c r="D10" i="55"/>
  <c r="K20"/>
  <c r="F101" i="18"/>
  <c r="R9" i="14"/>
  <c r="E10" i="55"/>
  <c r="H20"/>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F8" i="55" l="1"/>
  <c r="F10" s="1"/>
  <c r="F78" i="14"/>
  <c r="P9" i="55"/>
  <c r="M90" i="14"/>
  <c r="M17" i="55"/>
  <c r="M20" s="1"/>
  <c r="Q76" i="14"/>
  <c r="P8" i="55"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H5" i="48" l="1"/>
  <c r="I10" i="14"/>
  <c r="I16" s="1"/>
  <c r="G5" i="48"/>
  <c r="H10" i="14"/>
  <c r="H16" s="1"/>
  <c r="C78"/>
  <c r="C8" i="55"/>
  <c r="C10" s="1"/>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H13" i="48"/>
  <c r="H31" s="1"/>
  <c r="I18" i="14"/>
  <c r="D4" i="48"/>
  <c r="E11" i="14"/>
  <c r="H30" i="48"/>
  <c r="H32"/>
  <c r="H22"/>
  <c r="H26"/>
  <c r="H24"/>
  <c r="H29"/>
  <c r="H28"/>
  <c r="H25"/>
  <c r="H23"/>
  <c r="C4"/>
  <c r="D11" i="14"/>
  <c r="G30" i="48"/>
  <c r="G32"/>
  <c r="G24"/>
  <c r="G22"/>
  <c r="G29"/>
  <c r="G26"/>
  <c r="G25"/>
  <c r="G23"/>
  <c r="N10" i="14"/>
  <c r="N16" s="1"/>
  <c r="M5" i="48"/>
  <c r="B4"/>
  <c r="C11" i="14"/>
  <c r="F32" i="48"/>
  <c r="F28"/>
  <c r="F27"/>
  <c r="F29"/>
  <c r="F24"/>
  <c r="F31"/>
  <c r="F30"/>
  <c r="N32"/>
  <c r="N27"/>
  <c r="N29"/>
  <c r="N24"/>
  <c r="N31"/>
  <c r="N30"/>
  <c r="N28"/>
  <c r="B7"/>
  <c r="C24" i="14"/>
  <c r="C26" s="1"/>
  <c r="E30" i="48"/>
  <c r="E24"/>
  <c r="E32"/>
  <c r="E31"/>
  <c r="E28"/>
  <c r="E29"/>
  <c r="M30"/>
  <c r="M32"/>
  <c r="M26"/>
  <c r="M24"/>
  <c r="M25"/>
  <c r="M29"/>
  <c r="M22"/>
  <c r="K5"/>
  <c r="L10" i="14"/>
  <c r="L16" s="1"/>
  <c r="L27" s="1"/>
  <c r="D22" i="48"/>
  <c r="D29"/>
  <c r="D32"/>
  <c r="D30"/>
  <c r="D24"/>
  <c r="D31"/>
  <c r="D28"/>
  <c r="L29"/>
  <c r="L27"/>
  <c r="L22"/>
  <c r="L28"/>
  <c r="L30"/>
  <c r="L24"/>
  <c r="L32"/>
  <c r="L31"/>
  <c r="Q10" i="14"/>
  <c r="P5" i="48"/>
  <c r="P23" s="1"/>
  <c r="K30"/>
  <c r="K32"/>
  <c r="K27"/>
  <c r="K25"/>
  <c r="K28"/>
  <c r="K29"/>
  <c r="K26"/>
  <c r="K24"/>
  <c r="K31"/>
  <c r="K22"/>
  <c r="B10"/>
  <c r="C19" i="14"/>
  <c r="I5" i="48"/>
  <c r="J10" i="14"/>
  <c r="J16" s="1"/>
  <c r="J27" s="1"/>
  <c r="J32" i="48"/>
  <c r="J29"/>
  <c r="J27"/>
  <c r="J31"/>
  <c r="J24"/>
  <c r="J30"/>
  <c r="J28"/>
  <c r="Q11" i="14"/>
  <c r="P4" i="48"/>
  <c r="O4"/>
  <c r="P11" i="14"/>
  <c r="I31" i="48"/>
  <c r="I25"/>
  <c r="I32"/>
  <c r="I30"/>
  <c r="I28"/>
  <c r="I24"/>
  <c r="I26"/>
  <c r="I27"/>
  <c r="I29"/>
  <c r="I22"/>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P10"/>
  <c r="O5" i="48"/>
  <c r="O23" s="1"/>
  <c r="N18" i="14"/>
  <c r="M13" i="48"/>
  <c r="M31" s="1"/>
  <c r="I23"/>
  <c r="I33" s="1"/>
  <c r="I15"/>
  <c r="K15"/>
  <c r="K23"/>
  <c r="K33" s="1"/>
  <c r="M23"/>
  <c r="F4"/>
  <c r="F22" s="1"/>
  <c r="G11" i="14"/>
  <c r="P22" i="48"/>
  <c r="G12" i="22"/>
  <c r="G13" i="48"/>
  <c r="H18" i="14"/>
  <c r="O22" i="48"/>
  <c r="P22" i="16"/>
  <c r="Q43" i="14" s="1"/>
  <c r="P8" i="48"/>
  <c r="P26" s="1"/>
  <c r="Q13" i="14"/>
  <c r="Q16" s="1"/>
  <c r="Q27" s="1"/>
  <c r="J63"/>
  <c r="D16" i="15"/>
  <c r="E10" i="14" s="1"/>
  <c r="L46"/>
  <c r="L61" s="1"/>
  <c r="L63" s="1"/>
  <c r="I22"/>
  <c r="I27" s="1"/>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M10" i="48"/>
  <c r="M28" s="1"/>
  <c r="N19" i="14"/>
  <c r="E12" i="13"/>
  <c r="F41" i="14" s="1"/>
  <c r="E4" i="48"/>
  <c r="F11" i="14"/>
  <c r="R11" s="1"/>
  <c r="J4" i="48"/>
  <c r="J22" s="1"/>
  <c r="K11" i="14"/>
  <c r="H19"/>
  <c r="R19" s="1"/>
  <c r="G10" i="48"/>
  <c r="H27"/>
  <c r="H33" s="1"/>
  <c r="H15"/>
  <c r="G9"/>
  <c r="H20" i="14"/>
  <c r="H22" s="1"/>
  <c r="H27" s="1"/>
  <c r="C20"/>
  <c r="B9" i="48"/>
  <c r="Q13"/>
  <c r="G31"/>
  <c r="F20" i="14"/>
  <c r="F22" s="1"/>
  <c r="E9" i="48"/>
  <c r="E27" s="1"/>
  <c r="E20" i="14"/>
  <c r="E22" s="1"/>
  <c r="D9" i="48"/>
  <c r="D27" s="1"/>
  <c r="O8"/>
  <c r="P13" i="14"/>
  <c r="P16" s="1"/>
  <c r="P27" s="1"/>
  <c r="P15" i="48"/>
  <c r="P33"/>
  <c r="H52" i="14"/>
  <c r="H61" s="1"/>
  <c r="P46"/>
  <c r="P61" s="1"/>
  <c r="C15" i="48"/>
  <c r="R18" i="14"/>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O26" i="48" l="1"/>
  <c r="O33" s="1"/>
  <c r="O15"/>
  <c r="C22" i="14"/>
  <c r="G28" i="48"/>
  <c r="Q10"/>
  <c r="M18" i="22"/>
  <c r="N50" i="14" s="1"/>
  <c r="N52" s="1"/>
  <c r="N61" s="1"/>
  <c r="N20"/>
  <c r="N22" s="1"/>
  <c r="N27" s="1"/>
  <c r="M9" i="48"/>
  <c r="G27"/>
  <c r="G33" s="1"/>
  <c r="G15"/>
  <c r="E22"/>
  <c r="Q4"/>
  <c r="H63" i="14"/>
  <c r="P63"/>
  <c r="Q9" i="48"/>
  <c r="B15"/>
  <c r="D15"/>
  <c r="J5"/>
  <c r="K10" i="14"/>
  <c r="E20" i="15"/>
  <c r="F40" i="14" s="1"/>
  <c r="E5" i="48"/>
  <c r="F10" i="14"/>
  <c r="L15" i="48"/>
  <c r="Q7"/>
  <c r="R24" i="14"/>
  <c r="R26" s="1"/>
  <c r="J18" i="16"/>
  <c r="N18"/>
  <c r="E18"/>
  <c r="F18"/>
  <c r="F22" s="1"/>
  <c r="G43" i="14" s="1"/>
  <c r="M27" i="48" l="1"/>
  <c r="M33" s="1"/>
  <c r="M15"/>
  <c r="N63" i="14"/>
  <c r="R20"/>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<sst xmlns="http://schemas.openxmlformats.org/spreadsheetml/2006/main" count="2493" uniqueCount="963">
  <si>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</si>
  <si>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</si>
  <si>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</si>
  <si>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</si>
  <si>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</si>
  <si>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</si>
  <si>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</si>
  <si>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</si>
  <si>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</si>
  <si>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</si>
  <si>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</si>
  <si>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</si>
  <si>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</si>
  <si>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</si>
  <si>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</si>
  <si>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</si>
  <si>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</si>
  <si>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</si>
  <si>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</si>
  <si>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</si>
  <si>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</si>
  <si>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</si>
  <si>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</si>
  <si>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</si>
  <si>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</si>
  <si>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</si>
  <si>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</si>
  <si>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</si>
  <si>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</si>
  <si>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</si>
  <si>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</si>
  <si>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</si>
  <si>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</si>
  <si>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</si>
  <si>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</si>
  <si>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</si>
  <si>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</si>
  <si>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</si>
  <si>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</si>
  <si>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</si>
  <si>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</si>
  <si>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</si>
  <si>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</si>
  <si>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</si>
  <si>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</si>
  <si>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</si>
  <si>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</si>
  <si>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</si>
  <si>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</si>
  <si>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</si>
  <si>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</si>
  <si>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</si>
  <si>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</si>
  <si>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</si>
  <si>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</si>
  <si>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</si>
  <si>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</si>
  <si>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</si>
  <si>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</si>
  <si>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</si>
  <si>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</si>
  <si>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</si>
  <si>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</si>
  <si>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</si>
  <si>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</si>
  <si>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</si>
  <si>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</si>
  <si>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</si>
  <si>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</si>
  <si>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</si>
  <si>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</si>
  <si>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</si>
  <si>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</si>
  <si>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</si>
  <si>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</si>
  <si>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</si>
  <si>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</si>
  <si>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</si>
  <si>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</si>
  <si>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</si>
  <si>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</si>
  <si>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</si>
  <si>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</si>
  <si>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</si>
  <si>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</si>
  <si>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</si>
  <si>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</si>
  <si>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</si>
  <si>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</si>
  <si>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</si>
  <si>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</si>
  <si>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</si>
  <si>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</si>
  <si>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</si>
  <si>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</si>
  <si>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</si>
  <si>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</si>
  <si>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</si>
  <si>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</si>
  <si>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</si>
  <si>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</si>
  <si>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</si>
  <si>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</si>
  <si>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</si>
  <si>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</si>
  <si>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</si>
  <si>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</si>
  <si>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</si>
  <si>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</si>
  <si>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</si>
  <si>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</si>
  <si>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</si>
  <si>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</si>
  <si>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</si>
  <si>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</si>
  <si>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</si>
  <si>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</si>
  <si>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</si>
  <si>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</si>
  <si>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</si>
  <si>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</si>
  <si>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</si>
  <si>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</si>
  <si>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</si>
  <si>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</si>
  <si>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</si>
  <si>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</si>
  <si>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</si>
  <si>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</si>
  <si>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</si>
  <si>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</si>
  <si>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</si>
  <si>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</si>
  <si>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</si>
  <si>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</si>
  <si>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</si>
  <si>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</si>
  <si>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</si>
  <si>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</si>
  <si>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</si>
  <si>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</si>
  <si>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</si>
  <si>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</si>
  <si>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</si>
  <si>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</si>
  <si>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</si>
  <si>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</si>
  <si>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</si>
  <si>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</si>
  <si>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</si>
  <si>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</si>
  <si>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</si>
  <si>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</si>
  <si>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</si>
  <si>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</si>
  <si>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</si>
  <si>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</si>
  <si>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</si>
  <si>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</si>
  <si>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</si>
  <si>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</si>
  <si>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</si>
  <si>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</si>
  <si>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</si>
  <si>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</si>
  <si>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</si>
  <si>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</si>
  <si>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</si>
  <si>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</si>
  <si>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</si>
  <si>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</si>
  <si>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</si>
  <si>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</si>
  <si>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</si>
  <si>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</si>
  <si>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</si>
  <si>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</si>
  <si>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</si>
  <si>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</si>
  <si>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</si>
  <si>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</si>
  <si>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</si>
  <si>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</si>
  <si>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</si>
  <si>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</si>
  <si>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</si>
  <si>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</si>
  <si>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</si>
  <si>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</si>
  <si>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</si>
  <si>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</si>
  <si>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</si>
  <si>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</si>
  <si>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</si>
  <si>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</si>
  <si>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</si>
  <si>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</si>
  <si>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</si>
  <si>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</si>
  <si>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</si>
  <si>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</si>
  <si>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</si>
  <si>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</si>
  <si>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</si>
  <si>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</si>
  <si>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</si>
  <si>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</si>
  <si>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</si>
  <si>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</si>
  <si>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</si>
  <si>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</si>
  <si>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</si>
  <si>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</si>
  <si>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</si>
  <si>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</si>
  <si>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</si>
  <si>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</si>
  <si>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</si>
  <si>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</si>
  <si>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</si>
  <si>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</si>
  <si>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</si>
  <si>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</si>
  <si>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</si>
  <si>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</si>
  <si>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</si>
  <si>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</si>
  <si>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</si>
  <si>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</si>
  <si>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</si>
  <si>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</si>
  <si>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</si>
  <si>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</si>
  <si>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</si>
  <si>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</si>
  <si>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</si>
  <si>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</si>
  <si>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</si>
  <si>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</si>
  <si>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</si>
  <si>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</si>
  <si>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</si>
  <si>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</si>
  <si>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</si>
  <si>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</si>
  <si>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</si>
  <si>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</si>
  <si>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</si>
  <si>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</si>
  <si>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</si>
  <si>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</si>
  <si>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</si>
  <si>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</si>
  <si>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</si>
  <si>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</si>
  <si>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</si>
  <si>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</si>
  <si>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</si>
  <si>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</si>
  <si>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</si>
  <si>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</si>
  <si>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</si>
  <si>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</si>
  <si>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</si>
  <si>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</si>
  <si>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</si>
  <si>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</si>
  <si>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</si>
  <si>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</si>
  <si>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</si>
  <si>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</si>
  <si>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</si>
  <si>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</si>
  <si>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</si>
  <si>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</si>
  <si>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</si>
  <si>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</si>
  <si>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</si>
  <si>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</si>
  <si>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</si>
  <si>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</si>
  <si>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</si>
  <si>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</si>
  <si>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</si>
  <si>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</si>
  <si>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</si>
  <si>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</si>
  <si>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</si>
  <si>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</si>
  <si>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</si>
  <si>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</si>
  <si>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</si>
  <si>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</si>
  <si>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</si>
  <si>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</si>
  <si>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</si>
  <si>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</si>
  <si>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</si>
  <si>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</si>
  <si>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</si>
  <si>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</si>
  <si>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</si>
  <si>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</si>
  <si>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</si>
  <si>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</si>
  <si>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</si>
  <si>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</si>
  <si>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</si>
  <si>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</si>
  <si>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</si>
  <si>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</si>
  <si>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</si>
  <si>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</si>
  <si>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</si>
  <si>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</si>
  <si>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</si>
  <si>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</si>
  <si>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</si>
  <si>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</si>
  <si>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</si>
  <si>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</si>
  <si>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</si>
  <si>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</si>
  <si>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</si>
  <si>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</si>
  <si>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</si>
  <si>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</si>
  <si>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</si>
  <si>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</si>
  <si>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</si>
  <si>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</si>
  <si>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</si>
  <si>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</si>
  <si>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</si>
  <si>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</si>
  <si>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</si>
  <si>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</si>
  <si>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</si>
  <si>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</si>
  <si>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</si>
  <si>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</si>
  <si>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</si>
  <si>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</si>
  <si>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</si>
  <si>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</si>
  <si>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</si>
  <si>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</si>
  <si>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</si>
  <si>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</si>
  <si>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</si>
  <si>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</si>
  <si>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</si>
  <si>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</si>
  <si>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</si>
  <si>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</si>
  <si>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</si>
  <si>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</si>
  <si>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</si>
  <si>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</si>
  <si>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</si>
  <si>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</si>
  <si>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</si>
  <si>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</si>
  <si>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</si>
  <si>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</si>
  <si>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</si>
  <si>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</si>
  <si>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</si>
  <si>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</si>
  <si>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</si>
  <si>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</si>
  <si>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</si>
  <si>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</si>
  <si>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</si>
  <si>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</si>
  <si>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</si>
  <si>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</si>
  <si>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</si>
  <si>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</si>
  <si>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</si>
  <si>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</si>
  <si>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</si>
  <si>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</si>
  <si>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</si>
  <si>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</si>
  <si>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</si>
  <si>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</si>
  <si>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</si>
  <si>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</si>
  <si>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</si>
  <si>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</si>
  <si>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</si>
  <si>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</si>
  <si>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</si>
  <si>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</si>
  <si>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</si>
  <si>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</si>
  <si>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</si>
  <si>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</si>
  <si>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</si>
  <si>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</si>
  <si>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</si>
  <si>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</si>
  <si>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</si>
  <si>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</si>
  <si>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</si>
  <si>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</si>
  <si>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</si>
  <si>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</si>
  <si>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</si>
  <si>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</si>
  <si>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</si>
  <si>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</si>
  <si>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</si>
  <si>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</si>
  <si>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</si>
  <si>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</si>
  <si>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</si>
  <si>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</si>
  <si>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</si>
  <si>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</si>
  <si>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</si>
  <si>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</si>
  <si>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</si>
  <si>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</si>
  <si>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</si>
  <si>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</si>
  <si>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</si>
  <si>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</si>
  <si>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</si>
  <si>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</si>
  <si>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</si>
  <si>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</si>
  <si>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</si>
  <si>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</si>
  <si>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</si>
  <si>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</si>
  <si>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</si>
  <si>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</si>
  <si>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</si>
  <si>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</si>
  <si>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</si>
  <si>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</si>
  <si>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</si>
  <si>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</si>
  <si>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</si>
  <si>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</si>
  <si>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</si>
  <si>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</si>
  <si>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</si>
  <si>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</si>
  <si>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</si>
  <si>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</si>
  <si>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</si>
  <si>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</si>
  <si>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</si>
  <si>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</si>
  <si>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</si>
  <si>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</si>
  <si>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</si>
  <si>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</si>
  <si>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</si>
  <si>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</si>
  <si>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</si>
  <si>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</si>
  <si>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</si>
  <si>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</si>
  <si>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</si>
  <si>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</si>
  <si>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</si>
  <si>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</si>
  <si>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</si>
  <si>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</si>
  <si>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</si>
  <si>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</si>
  <si>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</si>
  <si>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</si>
  <si>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</si>
  <si>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</si>
  <si>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</si>
  <si>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</si>
  <si>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</si>
  <si>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</si>
  <si>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</si>
  <si>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</si>
  <si>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</si>
  <si>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</si>
  <si>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</si>
  <si>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</si>
  <si>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</si>
  <si>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</si>
  <si>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</si>
  <si>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</si>
  <si>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</si>
  <si>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</si>
  <si>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</si>
  <si>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</si>
  <si>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</si>
  <si>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</si>
  <si>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</si>
  <si>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</si>
  <si>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</si>
  <si>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</si>
  <si>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</si>
  <si>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</si>
  <si>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</si>
  <si>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</si>
  <si>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</si>
  <si>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</si>
  <si>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</si>
  <si>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</si>
  <si>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</si>
  <si>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</si>
  <si>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</si>
  <si>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</si>
  <si>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</si>
  <si>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</si>
  <si>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</si>
  <si>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</si>
  <si>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</si>
  <si>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</si>
  <si>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</si>
  <si>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</si>
  <si>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</si>
  <si>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</si>
  <si>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</si>
  <si>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</si>
  <si>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</si>
  <si>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</si>
  <si>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</si>
  <si>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</si>
  <si>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</si>
  <si>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</si>
  <si>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</si>
  <si>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</si>
  <si>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</si>
  <si>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</si>
  <si>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</si>
  <si>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</si>
  <si>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</si>
  <si>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</si>
  <si>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</si>
  <si>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</si>
  <si>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</si>
  <si>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</si>
  <si>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</si>
  <si>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</si>
  <si>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</si>
  <si>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</si>
  <si>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</si>
  <si>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</si>
  <si>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</si>
  <si>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</si>
  <si>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</si>
  <si>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</si>
  <si>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</si>
  <si>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</si>
  <si>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</si>
  <si>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</si>
  <si>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</si>
  <si>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</si>
  <si>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</si>
  <si>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</si>
  <si>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</si>
  <si>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</si>
  <si>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</si>
  <si>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</si>
  <si>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</si>
  <si>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</si>
  <si>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</si>
  <si>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</si>
  <si>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</si>
  <si>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</si>
  <si>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</si>
  <si>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</si>
  <si>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</si>
  <si>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</si>
  <si>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</si>
  <si>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</si>
  <si>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</si>
  <si>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</si>
  <si>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</si>
  <si>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</si>
  <si>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</si>
  <si>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</si>
  <si>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</si>
  <si>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</si>
  <si>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</si>
  <si>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</si>
  <si>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</si>
  <si>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</si>
  <si>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</si>
  <si>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</si>
  <si>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</si>
  <si>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</si>
  <si>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</si>
  <si>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</si>
  <si>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</si>
  <si>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</si>
  <si>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</si>
  <si>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</si>
  <si>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</si>
  <si>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</si>
  <si>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</si>
  <si>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</si>
  <si>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</si>
  <si>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</si>
  <si>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</si>
  <si>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</si>
  <si>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</si>
  <si>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</si>
  <si>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</si>
  <si>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</si>
  <si>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</si>
  <si>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</si>
  <si>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</si>
  <si>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</si>
  <si>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</si>
  <si>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</si>
  <si>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</si>
  <si>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</si>
  <si>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</si>
  <si>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</si>
  <si>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</si>
  <si>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</si>
  <si>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</si>
  <si>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</si>
  <si>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</si>
  <si>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</si>
  <si>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</si>
  <si>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</si>
  <si>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</si>
  <si>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</si>
  <si>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</si>
  <si>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</si>
  <si>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</si>
  <si>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</si>
  <si>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</si>
  <si>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</si>
  <si>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</si>
  <si>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</si>
  <si>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</si>
  <si>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</si>
  <si>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</si>
  <si>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</si>
  <si>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</si>
  <si>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</si>
  <si>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</si>
  <si>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</si>
  <si>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</si>
  <si>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</si>
  <si>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</si>
  <si>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</si>
  <si>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</si>
  <si>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</si>
  <si>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</si>
  <si>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</si>
  <si>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</si>
  <si>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</si>
  <si>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</si>
  <si>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</si>
  <si>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</si>
  <si>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</si>
  <si>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</si>
  <si>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</si>
  <si>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</si>
  <si>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</si>
  <si>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</si>
  <si>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</si>
  <si>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</si>
  <si>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</si>
  <si>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</si>
  <si>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</si>
  <si>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</si>
  <si>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</si>
  <si>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</si>
  <si>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</si>
  <si>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</si>
  <si>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</si>
  <si>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</si>
  <si>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</si>
  <si>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</si>
  <si>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</si>
  <si>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</si>
  <si>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</si>
  <si>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</si>
  <si>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</si>
  <si>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</si>
  <si>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</si>
  <si>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</si>
  <si>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</si>
  <si>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</si>
  <si>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</si>
  <si>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</si>
  <si>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</si>
  <si>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</si>
  <si>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</si>
  <si>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</si>
  <si>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</si>
  <si>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</si>
  <si>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</si>
  <si>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</si>
  <si>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</si>
  <si>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</si>
  <si>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</si>
  <si>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</si>
  <si>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</si>
  <si>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</si>
  <si>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</si>
  <si>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</si>
  <si>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</si>
  <si>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</si>
  <si>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</si>
  <si>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</si>
  <si>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</si>
  <si>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</si>
  <si>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</si>
  <si>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</si>
  <si>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</si>
  <si>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</si>
  <si>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</si>
  <si>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</si>
  <si>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</si>
  <si>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</si>
  <si>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</si>
  <si>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</si>
  <si>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</si>
  <si>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</si>
  <si>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</si>
  <si>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</si>
  <si>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</si>
  <si>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</si>
  <si>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</si>
  <si>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</si>
  <si>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</si>
  <si>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</si>
  <si>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</si>
  <si>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</si>
  <si>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</si>
  <si>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</si>
  <si>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</si>
  <si>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</si>
  <si>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</si>
  <si>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</si>
  <si>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</si>
  <si>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</si>
  <si>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</si>
  <si>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</si>
  <si>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</si>
  <si>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</si>
  <si>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</si>
  <si>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</si>
  <si>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</si>
  <si>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</si>
  <si>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</si>
  <si>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</si>
  <si>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</si>
  <si>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</si>
  <si>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</si>
  <si>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</si>
  <si>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</si>
  <si>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</si>
  <si>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</si>
  <si>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</si>
  <si>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</si>
  <si>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</si>
  <si>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</si>
  <si>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</si>
  <si>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</si>
  <si>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</si>
  <si>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</si>
  <si>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</si>
  <si>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</si>
  <si>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</si>
  <si>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</si>
  <si>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</si>
  <si>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</si>
  <si>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</si>
  <si>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</si>
  <si>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</si>
  <si>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</si>
  <si>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</si>
  <si>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</si>
  <si>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</si>
  <si>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</si>
  <si>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</si>
  <si>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</si>
  <si>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</si>
  <si>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</si>
  <si>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</si>
  <si>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</si>
  <si>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</si>
  <si>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</si>
  <si>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</si>
  <si>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</si>
  <si>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</si>
  <si>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</si>
  <si>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</si>
  <si>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</si>
  <si>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</si>
  <si>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</si>
  <si>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</si>
  <si>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</si>
  <si>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</si>
  <si>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</si>
  <si>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</si>
  <si>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</si>
  <si>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</si>
  <si>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</si>
  <si>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</si>
  <si>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</si>
  <si>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</si>
  <si>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</si>
  <si>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</si>
  <si>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</si>
  <si>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</si>
  <si>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</si>
  <si>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</si>
  <si>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</si>
  <si>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</si>
  <si>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</si>
  <si>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</si>
  <si>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</si>
  <si>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</si>
  <si>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</si>
  <si>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</si>
  <si>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</si>
  <si>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</si>
  <si>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</si>
  <si>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</si>
  <si>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</si>
  <si>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</si>
  <si>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</si>
  <si>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</si>
  <si>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</si>
  <si>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</si>
  <si>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</si>
  <si>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</si>
  <si>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</si>
  <si>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</si>
  <si>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</si>
  <si>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</si>
  <si>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</si>
  <si>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</si>
  <si>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</si>
  <si>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</si>
  <si>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</si>
  <si>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</si>
  <si>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</si>
  <si>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</si>
  <si>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</si>
  <si>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</si>
  <si>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</si>
  <si>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</si>
  <si>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</si>
  <si>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</si>
  <si>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</si>
  <si>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</si>
  <si>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</si>
  <si>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</si>
  <si>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</si>
  <si>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</si>
  <si>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</si>
  <si>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</si>
  <si>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</si>
  <si>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</si>
  <si>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</si>
  <si>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</si>
  <si>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</si>
  <si>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</si>
  <si>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</si>
  <si>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</si>
  <si>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</si>
  <si>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</si>
  <si>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</si>
  <si>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</si>
  <si>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</si>
  <si>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</si>
  <si>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</si>
  <si>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</si>
  <si>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</si>
  <si>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</si>
  <si>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</si>
  <si>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</si>
  <si>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</si>
  <si>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</si>
  <si>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</si>
  <si>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</si>
  <si>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</si>
  <si>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</si>
  <si>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</si>
  <si>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</si>
  <si>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</si>
  <si>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</si>
  <si>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</si>
  <si>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</si>
  <si>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</si>
  <si>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</si>
  <si>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</si>
  <si>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</si>
  <si>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</si>
  <si>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</si>
  <si>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</si>
  <si>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</si>
  <si>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</si>
  <si>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</si>
  <si>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</si>
  <si>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</si>
  <si>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</si>
  <si>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</si>
  <si>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</si>
  <si>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</si>
  <si>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</si>
  <si>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</si>
  <si>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</si>
  <si>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</si>
  <si>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</si>
  <si>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</si>
  <si>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</si>
  <si>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</si>
  <si>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</si>
  <si>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</si>
  <si>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</si>
  <si>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</si>
  <si>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</si>
  <si>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</si>
  <si>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</si>
  <si>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</si>
  <si>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</si>
  <si>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</si>
  <si>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</si>
  <si>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</si>
  <si>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</si>
  <si>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</si>
  <si>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</si>
  <si>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</si>
  <si>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</si>
  <si>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</si>
  <si>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</si>
  <si>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</si>
  <si>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</si>
  <si>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</si>
  <si>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</si>
  <si>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</si>
  <si>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</si>
  <si>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</si>
  <si>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</si>
  <si>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</si>
  <si>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</si>
  <si>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</si>
  <si>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</si>
  <si>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</si>
  <si>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</si>
  <si>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</si>
  <si>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46014</t>
  </si>
  <si>
    <t>LOKEREN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</si>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</sst>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46014</v>
      </c>
      <c r="B6" s="396"/>
      <c r="C6" s="397"/>
    </row>
    <row r="7" spans="1:7" s="394" customFormat="1" ht="15.75" customHeight="1">
      <c r="A7" s="398" t="str">
        <f>txtMunicipality</f>
        <v>LOKEREN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0.21465510608805694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0.21465510608805694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46014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15904</v>
      </c>
      <c r="C9" s="336">
        <v>17109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3515</v>
      </c>
    </row>
    <row r="15" spans="1:6">
      <c r="A15" s="1277" t="s">
        <v>184</v>
      </c>
      <c r="B15" s="333">
        <v>57</v>
      </c>
    </row>
    <row r="16" spans="1:6">
      <c r="A16" s="1277" t="s">
        <v>6</v>
      </c>
      <c r="B16" s="333">
        <v>2089</v>
      </c>
    </row>
    <row r="17" spans="1:6">
      <c r="A17" s="1277" t="s">
        <v>7</v>
      </c>
      <c r="B17" s="333">
        <v>1275</v>
      </c>
    </row>
    <row r="18" spans="1:6">
      <c r="A18" s="1277" t="s">
        <v>8</v>
      </c>
      <c r="B18" s="333">
        <v>2371</v>
      </c>
    </row>
    <row r="19" spans="1:6">
      <c r="A19" s="1277" t="s">
        <v>9</v>
      </c>
      <c r="B19" s="333">
        <v>3227</v>
      </c>
    </row>
    <row r="20" spans="1:6">
      <c r="A20" s="1277" t="s">
        <v>10</v>
      </c>
      <c r="B20" s="333">
        <v>2487</v>
      </c>
    </row>
    <row r="21" spans="1:6">
      <c r="A21" s="1277" t="s">
        <v>11</v>
      </c>
      <c r="B21" s="333">
        <v>6245</v>
      </c>
    </row>
    <row r="22" spans="1:6">
      <c r="A22" s="1277" t="s">
        <v>12</v>
      </c>
      <c r="B22" s="333">
        <v>14913</v>
      </c>
    </row>
    <row r="23" spans="1:6">
      <c r="A23" s="1277" t="s">
        <v>13</v>
      </c>
      <c r="B23" s="333">
        <v>258</v>
      </c>
    </row>
    <row r="24" spans="1:6">
      <c r="A24" s="1277" t="s">
        <v>14</v>
      </c>
      <c r="B24" s="333">
        <v>13</v>
      </c>
    </row>
    <row r="25" spans="1:6">
      <c r="A25" s="1277" t="s">
        <v>15</v>
      </c>
      <c r="B25" s="333">
        <v>1425</v>
      </c>
    </row>
    <row r="26" spans="1:6">
      <c r="A26" s="1277" t="s">
        <v>16</v>
      </c>
      <c r="B26" s="333">
        <v>43</v>
      </c>
    </row>
    <row r="27" spans="1:6">
      <c r="A27" s="1277" t="s">
        <v>17</v>
      </c>
      <c r="B27" s="333">
        <v>85</v>
      </c>
    </row>
    <row r="28" spans="1:6">
      <c r="A28" s="1277" t="s">
        <v>18</v>
      </c>
      <c r="B28" s="333">
        <v>179326</v>
      </c>
    </row>
    <row r="29" spans="1:6">
      <c r="A29" s="1277" t="s">
        <v>957</v>
      </c>
      <c r="B29" s="333">
        <v>230</v>
      </c>
    </row>
    <row r="30" spans="1:6">
      <c r="A30" s="1273" t="s">
        <v>958</v>
      </c>
      <c r="B30" s="1273">
        <v>57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3</v>
      </c>
      <c r="F35" s="333">
        <v>5379.6573031618</v>
      </c>
    </row>
    <row r="36" spans="1:6">
      <c r="A36" s="1277" t="s">
        <v>25</v>
      </c>
      <c r="B36" s="1277" t="s">
        <v>27</v>
      </c>
      <c r="C36" s="333">
        <v>4</v>
      </c>
      <c r="D36" s="333">
        <v>1094043.6667198599</v>
      </c>
      <c r="E36" s="333">
        <v>5</v>
      </c>
      <c r="F36" s="333">
        <v>795256.63508335606</v>
      </c>
    </row>
    <row r="37" spans="1:6">
      <c r="A37" s="1277" t="s">
        <v>25</v>
      </c>
      <c r="B37" s="1277" t="s">
        <v>28</v>
      </c>
      <c r="C37" s="333">
        <v>0</v>
      </c>
      <c r="D37" s="333">
        <v>0</v>
      </c>
      <c r="E37" s="333">
        <v>0</v>
      </c>
      <c r="F37" s="333">
        <v>0</v>
      </c>
    </row>
    <row r="38" spans="1:6">
      <c r="A38" s="1277" t="s">
        <v>25</v>
      </c>
      <c r="B38" s="1277" t="s">
        <v>29</v>
      </c>
      <c r="C38" s="333">
        <v>2</v>
      </c>
      <c r="D38" s="333">
        <v>205193.53134238499</v>
      </c>
      <c r="E38" s="333">
        <v>1</v>
      </c>
      <c r="F38" s="333">
        <v>7027.6631572017995</v>
      </c>
    </row>
    <row r="39" spans="1:6">
      <c r="A39" s="1277" t="s">
        <v>30</v>
      </c>
      <c r="B39" s="1277" t="s">
        <v>31</v>
      </c>
      <c r="C39" s="333">
        <v>9935</v>
      </c>
      <c r="D39" s="333">
        <v>152634791.829485</v>
      </c>
      <c r="E39" s="333">
        <v>15623</v>
      </c>
      <c r="F39" s="333">
        <v>70810777.571632102</v>
      </c>
    </row>
    <row r="40" spans="1:6">
      <c r="A40" s="1277" t="s">
        <v>30</v>
      </c>
      <c r="B40" s="1277" t="s">
        <v>29</v>
      </c>
      <c r="C40" s="333">
        <v>0</v>
      </c>
      <c r="D40" s="333">
        <v>0</v>
      </c>
      <c r="E40" s="333">
        <v>0</v>
      </c>
      <c r="F40" s="333">
        <v>0</v>
      </c>
    </row>
    <row r="41" spans="1:6">
      <c r="A41" s="1277" t="s">
        <v>32</v>
      </c>
      <c r="B41" s="1277" t="s">
        <v>33</v>
      </c>
      <c r="C41" s="333">
        <v>136</v>
      </c>
      <c r="D41" s="333">
        <v>4641900.2898375196</v>
      </c>
      <c r="E41" s="333">
        <v>290</v>
      </c>
      <c r="F41" s="333">
        <v>22305779.9774682</v>
      </c>
    </row>
    <row r="42" spans="1:6">
      <c r="A42" s="1277" t="s">
        <v>32</v>
      </c>
      <c r="B42" s="1277" t="s">
        <v>34</v>
      </c>
      <c r="C42" s="333">
        <v>3</v>
      </c>
      <c r="D42" s="333">
        <v>739181.01113144099</v>
      </c>
      <c r="E42" s="333">
        <v>4</v>
      </c>
      <c r="F42" s="333">
        <v>183793.27731431401</v>
      </c>
    </row>
    <row r="43" spans="1:6">
      <c r="A43" s="1277" t="s">
        <v>32</v>
      </c>
      <c r="B43" s="1277" t="s">
        <v>35</v>
      </c>
      <c r="C43" s="333">
        <v>0</v>
      </c>
      <c r="D43" s="333">
        <v>0</v>
      </c>
      <c r="E43" s="333">
        <v>0</v>
      </c>
      <c r="F43" s="333">
        <v>0</v>
      </c>
    </row>
    <row r="44" spans="1:6">
      <c r="A44" s="1277" t="s">
        <v>32</v>
      </c>
      <c r="B44" s="1277" t="s">
        <v>36</v>
      </c>
      <c r="C44" s="333">
        <v>19</v>
      </c>
      <c r="D44" s="333">
        <v>6480870.6506675398</v>
      </c>
      <c r="E44" s="333">
        <v>43</v>
      </c>
      <c r="F44" s="333">
        <v>15919644.818071101</v>
      </c>
    </row>
    <row r="45" spans="1:6">
      <c r="A45" s="1277" t="s">
        <v>32</v>
      </c>
      <c r="B45" s="1277" t="s">
        <v>37</v>
      </c>
      <c r="C45" s="333">
        <v>0</v>
      </c>
      <c r="D45" s="333">
        <v>0</v>
      </c>
      <c r="E45" s="333">
        <v>7</v>
      </c>
      <c r="F45" s="333">
        <v>82534.889640898706</v>
      </c>
    </row>
    <row r="46" spans="1:6">
      <c r="A46" s="1277" t="s">
        <v>32</v>
      </c>
      <c r="B46" s="1277" t="s">
        <v>38</v>
      </c>
      <c r="C46" s="333">
        <v>0</v>
      </c>
      <c r="D46" s="333">
        <v>0</v>
      </c>
      <c r="E46" s="333">
        <v>0</v>
      </c>
      <c r="F46" s="333">
        <v>0</v>
      </c>
    </row>
    <row r="47" spans="1:6">
      <c r="A47" s="1277" t="s">
        <v>32</v>
      </c>
      <c r="B47" s="1277" t="s">
        <v>39</v>
      </c>
      <c r="C47" s="333">
        <v>3</v>
      </c>
      <c r="D47" s="333">
        <v>150096.29124759199</v>
      </c>
      <c r="E47" s="333">
        <v>10</v>
      </c>
      <c r="F47" s="333">
        <v>449333.52237182698</v>
      </c>
    </row>
    <row r="48" spans="1:6">
      <c r="A48" s="1277" t="s">
        <v>32</v>
      </c>
      <c r="B48" s="1277" t="s">
        <v>29</v>
      </c>
      <c r="C48" s="333">
        <v>54</v>
      </c>
      <c r="D48" s="333">
        <v>14521617.705259399</v>
      </c>
      <c r="E48" s="333">
        <v>60</v>
      </c>
      <c r="F48" s="333">
        <v>27333381.8011452</v>
      </c>
    </row>
    <row r="49" spans="1:6">
      <c r="A49" s="1277" t="s">
        <v>32</v>
      </c>
      <c r="B49" s="1277" t="s">
        <v>40</v>
      </c>
      <c r="C49" s="333">
        <v>3</v>
      </c>
      <c r="D49" s="333">
        <v>5596089.1748158401</v>
      </c>
      <c r="E49" s="333">
        <v>0</v>
      </c>
      <c r="F49" s="333">
        <v>0</v>
      </c>
    </row>
    <row r="50" spans="1:6">
      <c r="A50" s="1277" t="s">
        <v>32</v>
      </c>
      <c r="B50" s="1277" t="s">
        <v>41</v>
      </c>
      <c r="C50" s="333">
        <v>37</v>
      </c>
      <c r="D50" s="333">
        <v>18331102.542217501</v>
      </c>
      <c r="E50" s="333">
        <v>58</v>
      </c>
      <c r="F50" s="333">
        <v>17872108.047307</v>
      </c>
    </row>
    <row r="51" spans="1:6">
      <c r="A51" s="1277" t="s">
        <v>42</v>
      </c>
      <c r="B51" s="1277" t="s">
        <v>43</v>
      </c>
      <c r="C51" s="333">
        <v>37</v>
      </c>
      <c r="D51" s="333">
        <v>5405614.2893124102</v>
      </c>
      <c r="E51" s="333">
        <v>227</v>
      </c>
      <c r="F51" s="333">
        <v>4062951.0106011401</v>
      </c>
    </row>
    <row r="52" spans="1:6">
      <c r="A52" s="1277" t="s">
        <v>42</v>
      </c>
      <c r="B52" s="1277" t="s">
        <v>29</v>
      </c>
      <c r="C52" s="333">
        <v>8</v>
      </c>
      <c r="D52" s="333">
        <v>303782.97267972602</v>
      </c>
      <c r="E52" s="333">
        <v>6</v>
      </c>
      <c r="F52" s="333">
        <v>132630.772142095</v>
      </c>
    </row>
    <row r="53" spans="1:6">
      <c r="A53" s="1277" t="s">
        <v>44</v>
      </c>
      <c r="B53" s="1277" t="s">
        <v>45</v>
      </c>
      <c r="C53" s="333">
        <v>385</v>
      </c>
      <c r="D53" s="333">
        <v>7588495.6441890299</v>
      </c>
      <c r="E53" s="333">
        <v>668</v>
      </c>
      <c r="F53" s="333">
        <v>3792979.6338952398</v>
      </c>
    </row>
    <row r="54" spans="1:6">
      <c r="A54" s="1277" t="s">
        <v>46</v>
      </c>
      <c r="B54" s="1277" t="s">
        <v>47</v>
      </c>
      <c r="C54" s="333">
        <v>0</v>
      </c>
      <c r="D54" s="333">
        <v>0</v>
      </c>
      <c r="E54" s="333">
        <v>3</v>
      </c>
      <c r="F54" s="333">
        <v>2697191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79</v>
      </c>
      <c r="D57" s="333">
        <v>19276377.170278002</v>
      </c>
      <c r="E57" s="333">
        <v>240</v>
      </c>
      <c r="F57" s="333">
        <v>10453679.090479599</v>
      </c>
    </row>
    <row r="58" spans="1:6">
      <c r="A58" s="1277" t="s">
        <v>49</v>
      </c>
      <c r="B58" s="1277" t="s">
        <v>51</v>
      </c>
      <c r="C58" s="333">
        <v>68</v>
      </c>
      <c r="D58" s="333">
        <v>6444006.2400658596</v>
      </c>
      <c r="E58" s="333">
        <v>101</v>
      </c>
      <c r="F58" s="333">
        <v>2066144.8549508599</v>
      </c>
    </row>
    <row r="59" spans="1:6">
      <c r="A59" s="1277" t="s">
        <v>49</v>
      </c>
      <c r="B59" s="1277" t="s">
        <v>52</v>
      </c>
      <c r="C59" s="333">
        <v>272</v>
      </c>
      <c r="D59" s="333">
        <v>33770365.981272303</v>
      </c>
      <c r="E59" s="333">
        <v>575</v>
      </c>
      <c r="F59" s="333">
        <v>35043024.852105401</v>
      </c>
    </row>
    <row r="60" spans="1:6">
      <c r="A60" s="1277" t="s">
        <v>49</v>
      </c>
      <c r="B60" s="1277" t="s">
        <v>53</v>
      </c>
      <c r="C60" s="333">
        <v>112</v>
      </c>
      <c r="D60" s="333">
        <v>4801855.4957428901</v>
      </c>
      <c r="E60" s="333">
        <v>153</v>
      </c>
      <c r="F60" s="333">
        <v>4476655.3657465996</v>
      </c>
    </row>
    <row r="61" spans="1:6">
      <c r="A61" s="1277" t="s">
        <v>49</v>
      </c>
      <c r="B61" s="1277" t="s">
        <v>54</v>
      </c>
      <c r="C61" s="333">
        <v>306</v>
      </c>
      <c r="D61" s="333">
        <v>18034971.7600343</v>
      </c>
      <c r="E61" s="333">
        <v>628</v>
      </c>
      <c r="F61" s="333">
        <v>11302997.0411635</v>
      </c>
    </row>
    <row r="62" spans="1:6">
      <c r="A62" s="1277" t="s">
        <v>49</v>
      </c>
      <c r="B62" s="1277" t="s">
        <v>55</v>
      </c>
      <c r="C62" s="333">
        <v>28</v>
      </c>
      <c r="D62" s="333">
        <v>4667836.6126718903</v>
      </c>
      <c r="E62" s="333">
        <v>37</v>
      </c>
      <c r="F62" s="333">
        <v>1597949.5679902199</v>
      </c>
    </row>
    <row r="63" spans="1:6">
      <c r="A63" s="1277" t="s">
        <v>49</v>
      </c>
      <c r="B63" s="1277" t="s">
        <v>29</v>
      </c>
      <c r="C63" s="333">
        <v>126</v>
      </c>
      <c r="D63" s="333">
        <v>13690312.584875301</v>
      </c>
      <c r="E63" s="333">
        <v>91</v>
      </c>
      <c r="F63" s="333">
        <v>5007747.2682067798</v>
      </c>
    </row>
    <row r="64" spans="1:6">
      <c r="A64" s="1277" t="s">
        <v>56</v>
      </c>
      <c r="B64" s="1277" t="s">
        <v>57</v>
      </c>
      <c r="C64" s="333">
        <v>0</v>
      </c>
      <c r="D64" s="333">
        <v>0</v>
      </c>
      <c r="E64" s="333">
        <v>0</v>
      </c>
      <c r="F64" s="333">
        <v>0</v>
      </c>
    </row>
    <row r="65" spans="1:6">
      <c r="A65" s="1277" t="s">
        <v>56</v>
      </c>
      <c r="B65" s="1277" t="s">
        <v>29</v>
      </c>
      <c r="C65" s="333">
        <v>1</v>
      </c>
      <c r="D65" s="333">
        <v>33076.580135907003</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5</v>
      </c>
      <c r="D68" s="333">
        <v>67341.512718797501</v>
      </c>
      <c r="E68" s="333">
        <v>26</v>
      </c>
      <c r="F68" s="333">
        <v>275726.12671764399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90230401</v>
      </c>
      <c r="E73" s="333">
        <v>102112314.54111968</v>
      </c>
      <c r="F73" s="333">
        <v>92967692</v>
      </c>
    </row>
    <row r="74" spans="1:6">
      <c r="A74" s="1277" t="s">
        <v>64</v>
      </c>
      <c r="B74" s="1277" t="s">
        <v>774</v>
      </c>
      <c r="C74" s="1288" t="s">
        <v>775</v>
      </c>
      <c r="D74" s="333">
        <v>8227459.5645896923</v>
      </c>
      <c r="E74" s="333">
        <v>9092417.2256982997</v>
      </c>
      <c r="F74" s="333">
        <v>8525840.6812008452</v>
      </c>
    </row>
    <row r="75" spans="1:6">
      <c r="A75" s="1277" t="s">
        <v>65</v>
      </c>
      <c r="B75" s="1277" t="s">
        <v>772</v>
      </c>
      <c r="C75" s="1288" t="s">
        <v>776</v>
      </c>
      <c r="D75" s="333">
        <v>60960485</v>
      </c>
      <c r="E75" s="333">
        <v>68945735.047281981</v>
      </c>
      <c r="F75" s="333">
        <v>62885242</v>
      </c>
    </row>
    <row r="76" spans="1:6">
      <c r="A76" s="1277" t="s">
        <v>65</v>
      </c>
      <c r="B76" s="1277" t="s">
        <v>774</v>
      </c>
      <c r="C76" s="1288" t="s">
        <v>777</v>
      </c>
      <c r="D76" s="333">
        <v>3830093.5645896923</v>
      </c>
      <c r="E76" s="333">
        <v>4262316.3490187358</v>
      </c>
      <c r="F76" s="333">
        <v>4004032.6812008447</v>
      </c>
    </row>
    <row r="77" spans="1:6">
      <c r="A77" s="1277" t="s">
        <v>66</v>
      </c>
      <c r="B77" s="1277" t="s">
        <v>772</v>
      </c>
      <c r="C77" s="1288" t="s">
        <v>778</v>
      </c>
      <c r="D77" s="333">
        <v>218964549</v>
      </c>
      <c r="E77" s="333">
        <v>238670142.47538835</v>
      </c>
      <c r="F77" s="333">
        <v>223613195</v>
      </c>
    </row>
    <row r="78" spans="1:6">
      <c r="A78" s="1273" t="s">
        <v>66</v>
      </c>
      <c r="B78" s="1273" t="s">
        <v>774</v>
      </c>
      <c r="C78" s="1273" t="s">
        <v>779</v>
      </c>
      <c r="D78" s="1273">
        <v>53501900</v>
      </c>
      <c r="E78" s="1273">
        <v>58294538.124165878</v>
      </c>
      <c r="F78" s="336">
        <v>55398829</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608602.87082061497</v>
      </c>
      <c r="C83" s="333">
        <v>556036.4679495272</v>
      </c>
      <c r="D83" s="333">
        <v>548026.63759831048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3243.9970639476937</v>
      </c>
    </row>
    <row r="92" spans="1:6">
      <c r="A92" s="1273" t="s">
        <v>69</v>
      </c>
      <c r="B92" s="336">
        <v>3613.031900942528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6443</v>
      </c>
    </row>
    <row r="98" spans="1:6">
      <c r="A98" s="1277" t="s">
        <v>72</v>
      </c>
      <c r="B98" s="333">
        <v>1</v>
      </c>
    </row>
    <row r="99" spans="1:6">
      <c r="A99" s="1277" t="s">
        <v>73</v>
      </c>
      <c r="B99" s="333">
        <v>183</v>
      </c>
    </row>
    <row r="100" spans="1:6">
      <c r="A100" s="1277" t="s">
        <v>74</v>
      </c>
      <c r="B100" s="333">
        <v>1668</v>
      </c>
    </row>
    <row r="101" spans="1:6">
      <c r="A101" s="1277" t="s">
        <v>75</v>
      </c>
      <c r="B101" s="333">
        <v>249</v>
      </c>
    </row>
    <row r="102" spans="1:6">
      <c r="A102" s="1277" t="s">
        <v>76</v>
      </c>
      <c r="B102" s="333">
        <v>343</v>
      </c>
    </row>
    <row r="103" spans="1:6">
      <c r="A103" s="1277" t="s">
        <v>77</v>
      </c>
      <c r="B103" s="333">
        <v>650</v>
      </c>
    </row>
    <row r="104" spans="1:6">
      <c r="A104" s="1277" t="s">
        <v>78</v>
      </c>
      <c r="B104" s="333">
        <v>4453</v>
      </c>
    </row>
    <row r="105" spans="1:6">
      <c r="A105" s="1273" t="s">
        <v>79</v>
      </c>
      <c r="B105" s="1273">
        <v>20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25</v>
      </c>
      <c r="C123" s="333">
        <v>27</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72</v>
      </c>
    </row>
    <row r="130" spans="1:6">
      <c r="A130" s="1277" t="s">
        <v>295</v>
      </c>
      <c r="B130" s="333">
        <v>1</v>
      </c>
    </row>
    <row r="131" spans="1:6">
      <c r="A131" s="1277" t="s">
        <v>296</v>
      </c>
      <c r="B131" s="333">
        <v>5</v>
      </c>
    </row>
    <row r="132" spans="1:6">
      <c r="A132" s="1273" t="s">
        <v>297</v>
      </c>
      <c r="B132" s="336">
        <v>13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238838.25675765445</v>
      </c>
      <c r="C3" s="43" t="s">
        <v>170</v>
      </c>
      <c r="D3" s="43"/>
      <c r="E3" s="156"/>
      <c r="F3" s="43"/>
      <c r="G3" s="43"/>
      <c r="H3" s="43"/>
      <c r="I3" s="43"/>
      <c r="J3" s="43"/>
      <c r="K3" s="96"/>
    </row>
    <row r="4" spans="1:11">
      <c r="A4" s="364" t="s">
        <v>171</v>
      </c>
      <c r="B4" s="49">
        <f>IF(ISERROR('SEAP template'!B78),0,'SEAP template'!B78)</f>
        <v>6857.0289648902217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0.21465510608805694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2697.1909999999998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2697.1909999999998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0.21465510608805694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578.96582024475231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70810.777571632105</v>
      </c>
      <c r="C5" s="17">
        <f>IF(ISERROR('Eigen informatie GS &amp; warmtenet'!B57),0,'Eigen informatie GS &amp; warmtenet'!B57)</f>
        <v>0</v>
      </c>
      <c r="D5" s="30">
        <f>(SUM(HH_hh_gas_kWh,HH_rest_gas_kWh)/1000)*0.902</f>
        <v>137676.58223019549</v>
      </c>
      <c r="E5" s="17">
        <f>B46*B57</f>
        <v>7741.8110226262534</v>
      </c>
      <c r="F5" s="17">
        <f>B51*B62</f>
        <v>29875.319098605087</v>
      </c>
      <c r="G5" s="18"/>
      <c r="H5" s="17"/>
      <c r="I5" s="17"/>
      <c r="J5" s="17">
        <f>B50*B61+C50*C61</f>
        <v>8628.7633459473673</v>
      </c>
      <c r="K5" s="17"/>
      <c r="L5" s="17"/>
      <c r="M5" s="17"/>
      <c r="N5" s="17">
        <f>B48*B59+C48*C59</f>
        <v>30478.298929677912</v>
      </c>
      <c r="O5" s="17">
        <f>B69*B70*B71</f>
        <v>154.77000000000001</v>
      </c>
      <c r="P5" s="17">
        <f>B77*B78*B79/1000-B77*B78*B79/1000/B80</f>
        <v>743.6</v>
      </c>
    </row>
    <row r="6" spans="1:16">
      <c r="A6" s="16" t="s">
        <v>632</v>
      </c>
      <c r="B6" s="779">
        <f>kWh_PV_kleiner_dan_10kW</f>
        <v>3243.9970639476937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74054.774635579801</v>
      </c>
      <c r="C8" s="21">
        <f>C5</f>
        <v>0</v>
      </c>
      <c r="D8" s="21">
        <f>D5</f>
        <v>137676.58223019549</v>
      </c>
      <c r="E8" s="21">
        <f>E5</f>
        <v>7741.8110226262534</v>
      </c>
      <c r="F8" s="21">
        <f>F5</f>
        <v>29875.319098605087</v>
      </c>
      <c r="G8" s="21"/>
      <c r="H8" s="21"/>
      <c r="I8" s="21"/>
      <c r="J8" s="21">
        <f>J5</f>
        <v>8628.7633459473673</v>
      </c>
      <c r="K8" s="21"/>
      <c r="L8" s="21">
        <f>L5</f>
        <v>0</v>
      </c>
      <c r="M8" s="21">
        <f>M5</f>
        <v>0</v>
      </c>
      <c r="N8" s="21">
        <f>N5</f>
        <v>30478.298929677912</v>
      </c>
      <c r="O8" s="21">
        <f>O5</f>
        <v>154.77000000000001</v>
      </c>
      <c r="P8" s="21">
        <f>P5</f>
        <v>743.6</v>
      </c>
    </row>
    <row r="9" spans="1:16">
      <c r="B9" s="19"/>
      <c r="C9" s="19"/>
      <c r="D9" s="260"/>
      <c r="E9" s="19"/>
      <c r="F9" s="19"/>
      <c r="G9" s="19"/>
      <c r="H9" s="19"/>
      <c r="I9" s="19"/>
      <c r="J9" s="19"/>
      <c r="K9" s="19"/>
      <c r="L9" s="19"/>
      <c r="M9" s="19"/>
      <c r="N9" s="19"/>
      <c r="O9" s="19"/>
      <c r="P9" s="19"/>
    </row>
    <row r="10" spans="1:16">
      <c r="A10" s="24" t="s">
        <v>214</v>
      </c>
      <c r="B10" s="25">
        <f ca="1">'EF ele_warmte'!B12</f>
        <v>0.21465510608805694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15896.235505727531</v>
      </c>
      <c r="C12" s="23">
        <f ca="1">C10*C8</f>
        <v>0</v>
      </c>
      <c r="D12" s="23">
        <f>D8*D10</f>
        <v>27810.669610499492</v>
      </c>
      <c r="E12" s="23">
        <f>E10*E8</f>
        <v>1757.3911021361596</v>
      </c>
      <c r="F12" s="23">
        <f>F10*F8</f>
        <v>7976.7101993275583</v>
      </c>
      <c r="G12" s="23"/>
      <c r="H12" s="23"/>
      <c r="I12" s="23"/>
      <c r="J12" s="23">
        <f>J10*J8</f>
        <v>3054.5822244653677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6443</v>
      </c>
      <c r="C18" s="167" t="s">
        <v>111</v>
      </c>
      <c r="D18" s="229"/>
      <c r="E18" s="15"/>
    </row>
    <row r="19" spans="1:7">
      <c r="A19" s="172" t="s">
        <v>72</v>
      </c>
      <c r="B19" s="37">
        <f>aantalw2001_ander</f>
        <v>1</v>
      </c>
      <c r="C19" s="167" t="s">
        <v>111</v>
      </c>
      <c r="D19" s="230"/>
      <c r="E19" s="15"/>
    </row>
    <row r="20" spans="1:7">
      <c r="A20" s="172" t="s">
        <v>73</v>
      </c>
      <c r="B20" s="37">
        <f>aantalw2001_propaan</f>
        <v>183</v>
      </c>
      <c r="C20" s="168">
        <f>IF(ISERROR(B20/SUM($B$20,$B$21,$B$22)*100),0,B20/SUM($B$20,$B$21,$B$22)*100)</f>
        <v>8.7142857142857153</v>
      </c>
      <c r="D20" s="230"/>
      <c r="E20" s="15"/>
    </row>
    <row r="21" spans="1:7">
      <c r="A21" s="172" t="s">
        <v>74</v>
      </c>
      <c r="B21" s="37">
        <f>aantalw2001_elektriciteit</f>
        <v>1668</v>
      </c>
      <c r="C21" s="168">
        <f>IF(ISERROR(B21/SUM($B$20,$B$21,$B$22)*100),0,B21/SUM($B$20,$B$21,$B$22)*100)</f>
        <v>79.428571428571431</v>
      </c>
      <c r="D21" s="230"/>
      <c r="E21" s="15"/>
    </row>
    <row r="22" spans="1:7">
      <c r="A22" s="172" t="s">
        <v>75</v>
      </c>
      <c r="B22" s="37">
        <f>aantalw2001_hout</f>
        <v>249</v>
      </c>
      <c r="C22" s="168">
        <f>IF(ISERROR(B22/SUM($B$20,$B$21,$B$22)*100),0,B22/SUM($B$20,$B$21,$B$22)*100)</f>
        <v>11.857142857142858</v>
      </c>
      <c r="D22" s="230"/>
      <c r="E22" s="15"/>
    </row>
    <row r="23" spans="1:7">
      <c r="A23" s="172" t="s">
        <v>76</v>
      </c>
      <c r="B23" s="37">
        <f>aantalw2001_niet_gespec</f>
        <v>343</v>
      </c>
      <c r="C23" s="167" t="s">
        <v>111</v>
      </c>
      <c r="D23" s="229"/>
      <c r="E23" s="15"/>
    </row>
    <row r="24" spans="1:7">
      <c r="A24" s="172" t="s">
        <v>77</v>
      </c>
      <c r="B24" s="37">
        <f>aantalw2001_steenkool</f>
        <v>650</v>
      </c>
      <c r="C24" s="167" t="s">
        <v>111</v>
      </c>
      <c r="D24" s="230"/>
      <c r="E24" s="15"/>
    </row>
    <row r="25" spans="1:7">
      <c r="A25" s="172" t="s">
        <v>78</v>
      </c>
      <c r="B25" s="37">
        <f>aantalw2001_stookolie</f>
        <v>4453</v>
      </c>
      <c r="C25" s="167" t="s">
        <v>111</v>
      </c>
      <c r="D25" s="229"/>
      <c r="E25" s="52"/>
    </row>
    <row r="26" spans="1:7">
      <c r="A26" s="172" t="s">
        <v>79</v>
      </c>
      <c r="B26" s="37">
        <f>aantalw2001_WP</f>
        <v>20</v>
      </c>
      <c r="C26" s="167" t="s">
        <v>111</v>
      </c>
      <c r="D26" s="229"/>
      <c r="E26" s="15"/>
    </row>
    <row r="27" spans="1:7" s="15" customFormat="1">
      <c r="A27" s="172"/>
      <c r="B27" s="29"/>
      <c r="C27" s="36"/>
      <c r="D27" s="229"/>
    </row>
    <row r="28" spans="1:7" s="15" customFormat="1">
      <c r="A28" s="231" t="s">
        <v>712</v>
      </c>
      <c r="B28" s="37">
        <f>aantalHuishoudens2011</f>
        <v>15904</v>
      </c>
      <c r="C28" s="36"/>
      <c r="D28" s="229"/>
    </row>
    <row r="29" spans="1:7" s="15" customFormat="1">
      <c r="A29" s="231" t="s">
        <v>713</v>
      </c>
      <c r="B29" s="37">
        <f>SUM(HH_hh_gas_aantal,HH_rest_gas_aantal)</f>
        <v>9935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9935</v>
      </c>
      <c r="C32" s="168">
        <f>IF(ISERROR(B32/SUM($B$32,$B$34,$B$35,$B$36,$B$38,$B$39)*100),0,B32/SUM($B$32,$B$34,$B$35,$B$36,$B$38,$B$39)*100)</f>
        <v>62.622124172707217</v>
      </c>
      <c r="D32" s="234"/>
      <c r="G32" s="15"/>
    </row>
    <row r="33" spans="1:7">
      <c r="A33" s="172" t="s">
        <v>72</v>
      </c>
      <c r="B33" s="34" t="s">
        <v>111</v>
      </c>
      <c r="C33" s="168"/>
      <c r="D33" s="234"/>
      <c r="G33" s="15"/>
    </row>
    <row r="34" spans="1:7">
      <c r="A34" s="172" t="s">
        <v>73</v>
      </c>
      <c r="B34" s="33">
        <f>IF((($B$28-$B$32-$B$39-$B$77-$B$38)*C20/100)&lt;0,0,($B$28-$B$32-$B$39-$B$77-$B$38)*C20/100)</f>
        <v>376.37000000000006</v>
      </c>
      <c r="C34" s="168">
        <f>IF(ISERROR(B34/SUM($B$32,$B$34,$B$35,$B$36,$B$38,$B$39)*100),0,B34/SUM($B$32,$B$34,$B$35,$B$36,$B$38,$B$39)*100)</f>
        <v>2.3723290261582104</v>
      </c>
      <c r="D34" s="234"/>
      <c r="G34" s="15"/>
    </row>
    <row r="35" spans="1:7">
      <c r="A35" s="172" t="s">
        <v>74</v>
      </c>
      <c r="B35" s="33">
        <f>IF((($B$28-$B$32-$B$39-$B$77-$B$38)*C21/100)&lt;0,0,($B$28-$B$32-$B$39-$B$77-$B$38)*C21/100)</f>
        <v>3430.52</v>
      </c>
      <c r="C35" s="168">
        <f>IF(ISERROR(B35/SUM($B$32,$B$34,$B$35,$B$36,$B$38,$B$39)*100),0,B35/SUM($B$32,$B$34,$B$35,$B$36,$B$38,$B$39)*100)</f>
        <v>21.623195713835486</v>
      </c>
      <c r="D35" s="234"/>
      <c r="G35" s="15"/>
    </row>
    <row r="36" spans="1:7">
      <c r="A36" s="172" t="s">
        <v>75</v>
      </c>
      <c r="B36" s="33">
        <f>IF((($B$28-$B$32-$B$39-$B$77-$B$38)*C22/100)&lt;0,0,($B$28-$B$32-$B$39-$B$77-$B$38)*C22/100)</f>
        <v>512.11</v>
      </c>
      <c r="C36" s="168">
        <f>IF(ISERROR(B36/SUM($B$32,$B$34,$B$35,$B$36,$B$38,$B$39)*100),0,B36/SUM($B$32,$B$34,$B$35,$B$36,$B$38,$B$39)*100)</f>
        <v>3.2279231011660894</v>
      </c>
      <c r="D36" s="234"/>
      <c r="G36" s="15"/>
    </row>
    <row r="37" spans="1:7">
      <c r="A37" s="172" t="s">
        <v>76</v>
      </c>
      <c r="B37" s="34" t="s">
        <v>111</v>
      </c>
      <c r="C37" s="168"/>
      <c r="D37" s="174"/>
      <c r="G37" s="15"/>
    </row>
    <row r="38" spans="1:7">
      <c r="A38" s="172" t="s">
        <v>77</v>
      </c>
      <c r="B38" s="33">
        <f>IF((B24-(B29-B18)*0.1)&lt;0,0,B24-(B29-B18)*0.1)</f>
        <v>300.79999999999995</v>
      </c>
      <c r="C38" s="168">
        <f>IF(ISERROR(B38/SUM($B$32,$B$34,$B$35,$B$36,$B$38,$B$39)*100),0,B38/SUM($B$32,$B$34,$B$35,$B$36,$B$38,$B$39)*100)</f>
        <v>1.8959974787267568</v>
      </c>
      <c r="D38" s="235"/>
      <c r="G38" s="15"/>
    </row>
    <row r="39" spans="1:7">
      <c r="A39" s="172" t="s">
        <v>78</v>
      </c>
      <c r="B39" s="33">
        <f>IF((B25-(B29-B18))&lt;0,0,B25-(B29-B18)*0.9)</f>
        <v>1310.1999999999998</v>
      </c>
      <c r="C39" s="168">
        <f>IF(ISERROR(B39/SUM($B$32,$B$34,$B$35,$B$36,$B$38,$B$39)*100),0,B39/SUM($B$32,$B$34,$B$35,$B$36,$B$38,$B$39)*100)</f>
        <v>8.2584305074062385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9935</v>
      </c>
      <c r="C44" s="34" t="s">
        <v>111</v>
      </c>
      <c r="D44" s="175"/>
    </row>
    <row r="45" spans="1:7">
      <c r="A45" s="172" t="s">
        <v>72</v>
      </c>
      <c r="B45" s="33" t="str">
        <f t="shared" si="0"/>
        <v>-</v>
      </c>
      <c r="C45" s="34" t="s">
        <v>111</v>
      </c>
      <c r="D45" s="175"/>
    </row>
    <row r="46" spans="1:7">
      <c r="A46" s="172" t="s">
        <v>73</v>
      </c>
      <c r="B46" s="33">
        <f t="shared" si="0"/>
        <v>376.37000000000006</v>
      </c>
      <c r="C46" s="34" t="s">
        <v>111</v>
      </c>
      <c r="D46" s="175"/>
    </row>
    <row r="47" spans="1:7">
      <c r="A47" s="172" t="s">
        <v>74</v>
      </c>
      <c r="B47" s="33">
        <f t="shared" si="0"/>
        <v>3430.52</v>
      </c>
      <c r="C47" s="34" t="s">
        <v>111</v>
      </c>
      <c r="D47" s="175"/>
    </row>
    <row r="48" spans="1:7">
      <c r="A48" s="172" t="s">
        <v>75</v>
      </c>
      <c r="B48" s="33">
        <f t="shared" si="0"/>
        <v>512.11</v>
      </c>
      <c r="C48" s="33">
        <f>B48*10</f>
        <v>5121.1000000000004</v>
      </c>
      <c r="D48" s="235"/>
    </row>
    <row r="49" spans="1:6">
      <c r="A49" s="172" t="s">
        <v>76</v>
      </c>
      <c r="B49" s="33" t="str">
        <f t="shared" si="0"/>
        <v>-</v>
      </c>
      <c r="C49" s="34" t="s">
        <v>111</v>
      </c>
      <c r="D49" s="235"/>
    </row>
    <row r="50" spans="1:6">
      <c r="A50" s="172" t="s">
        <v>77</v>
      </c>
      <c r="B50" s="33">
        <f t="shared" si="0"/>
        <v>300.79999999999995</v>
      </c>
      <c r="C50" s="33">
        <f>B50*2</f>
        <v>601.59999999999991</v>
      </c>
      <c r="D50" s="235"/>
    </row>
    <row r="51" spans="1:6">
      <c r="A51" s="172" t="s">
        <v>78</v>
      </c>
      <c r="B51" s="33">
        <f t="shared" si="0"/>
        <v>1310.1999999999998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99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69948.19804064295</v>
      </c>
      <c r="C5" s="17">
        <f>IF(ISERROR('Eigen informatie GS &amp; warmtenet'!B58),0,'Eigen informatie GS &amp; warmtenet'!B58)</f>
        <v>0</v>
      </c>
      <c r="D5" s="30">
        <f>SUM(D6:D12)</f>
        <v>90818.524712136365</v>
      </c>
      <c r="E5" s="17">
        <f>SUM(E6:E12)</f>
        <v>1001.3010097227306</v>
      </c>
      <c r="F5" s="17">
        <f>SUM(F6:F12)</f>
        <v>13321.484820381262</v>
      </c>
      <c r="G5" s="18"/>
      <c r="H5" s="17"/>
      <c r="I5" s="17"/>
      <c r="J5" s="17">
        <f>SUM(J6:J12)</f>
        <v>0</v>
      </c>
      <c r="K5" s="17"/>
      <c r="L5" s="17"/>
      <c r="M5" s="17"/>
      <c r="N5" s="17">
        <f>SUM(N6:N12)</f>
        <v>2677.7053238452622</v>
      </c>
      <c r="O5" s="17">
        <f>B38*B39*B40</f>
        <v>1.5633333333333335</v>
      </c>
      <c r="P5" s="17">
        <f>B46*B47*B48/1000-B46*B47*B48/1000/B49</f>
        <v>95.333333333333343</v>
      </c>
      <c r="R5" s="32"/>
    </row>
    <row r="6" spans="1:18">
      <c r="A6" s="32" t="s">
        <v>54</v>
      </c>
      <c r="B6" s="37">
        <f>B26</f>
        <v>11302.9970411635</v>
      </c>
      <c r="C6" s="33"/>
      <c r="D6" s="37">
        <f>IF(ISERROR(TER_kantoor_gas_kWh/1000),0,TER_kantoor_gas_kWh/1000)*0.902</f>
        <v>16267.544527550939</v>
      </c>
      <c r="E6" s="33">
        <f>$C$26*'E Balans VL '!I12/100/3.6*1000000</f>
        <v>395.64935956730136</v>
      </c>
      <c r="F6" s="33">
        <f>$C$26*('E Balans VL '!L12+'E Balans VL '!N12)/100/3.6*1000000</f>
        <v>1713.7770244088833</v>
      </c>
      <c r="G6" s="34"/>
      <c r="H6" s="33"/>
      <c r="I6" s="33"/>
      <c r="J6" s="33">
        <f>$C$26*('E Balans VL '!D12+'E Balans VL '!E12)/100/3.6*1000000</f>
        <v>0</v>
      </c>
      <c r="K6" s="33"/>
      <c r="L6" s="33"/>
      <c r="M6" s="33"/>
      <c r="N6" s="33">
        <f>$C$26*'E Balans VL '!Y12/100/3.6*1000000</f>
        <v>87.368629387482969</v>
      </c>
      <c r="O6" s="33"/>
      <c r="P6" s="33"/>
      <c r="R6" s="32"/>
    </row>
    <row r="7" spans="1:18">
      <c r="A7" s="32" t="s">
        <v>53</v>
      </c>
      <c r="B7" s="37">
        <f t="shared" ref="B7:B12" si="0">B27</f>
        <v>4476.6553657465993</v>
      </c>
      <c r="C7" s="33"/>
      <c r="D7" s="37">
        <f>IF(ISERROR(TER_horeca_gas_kWh/1000),0,TER_horeca_gas_kWh/1000)*0.902</f>
        <v>4331.2736571600863</v>
      </c>
      <c r="E7" s="33">
        <f>$C$27*'E Balans VL '!I9/100/3.6*1000000</f>
        <v>252.54288764767404</v>
      </c>
      <c r="F7" s="33">
        <f>$C$27*('E Balans VL '!L9+'E Balans VL '!N9)/100/3.6*1000000</f>
        <v>779.85813884193647</v>
      </c>
      <c r="G7" s="34"/>
      <c r="H7" s="33"/>
      <c r="I7" s="33"/>
      <c r="J7" s="33">
        <f>$C$27*('E Balans VL '!D9+'E Balans VL '!E9)/100/3.6*1000000</f>
        <v>0</v>
      </c>
      <c r="K7" s="33"/>
      <c r="L7" s="33"/>
      <c r="M7" s="33"/>
      <c r="N7" s="33">
        <f>$C$27*'E Balans VL '!Y9/100/3.6*1000000</f>
        <v>0</v>
      </c>
      <c r="O7" s="33"/>
      <c r="P7" s="33"/>
      <c r="R7" s="32"/>
    </row>
    <row r="8" spans="1:18">
      <c r="A8" s="6" t="s">
        <v>52</v>
      </c>
      <c r="B8" s="37">
        <f t="shared" si="0"/>
        <v>35043.024852105402</v>
      </c>
      <c r="C8" s="33"/>
      <c r="D8" s="37">
        <f>IF(ISERROR(TER_handel_gas_kWh/1000),0,TER_handel_gas_kWh/1000)*0.902</f>
        <v>30460.87011510762</v>
      </c>
      <c r="E8" s="33">
        <f>$C$28*'E Balans VL '!I13/100/3.6*1000000</f>
        <v>179.90732927102079</v>
      </c>
      <c r="F8" s="33">
        <f>$C$28*('E Balans VL '!L13+'E Balans VL '!N13)/100/3.6*1000000</f>
        <v>5403.092961876333</v>
      </c>
      <c r="G8" s="34"/>
      <c r="H8" s="33"/>
      <c r="I8" s="33"/>
      <c r="J8" s="33">
        <f>$C$28*('E Balans VL '!D13+'E Balans VL '!E13)/100/3.6*1000000</f>
        <v>0</v>
      </c>
      <c r="K8" s="33"/>
      <c r="L8" s="33"/>
      <c r="M8" s="33"/>
      <c r="N8" s="33">
        <f>$C$28*'E Balans VL '!Y13/100/3.6*1000000</f>
        <v>16.390050481025803</v>
      </c>
      <c r="O8" s="33"/>
      <c r="P8" s="33"/>
      <c r="R8" s="32"/>
    </row>
    <row r="9" spans="1:18">
      <c r="A9" s="32" t="s">
        <v>51</v>
      </c>
      <c r="B9" s="37">
        <f t="shared" si="0"/>
        <v>2066.14485495086</v>
      </c>
      <c r="C9" s="33"/>
      <c r="D9" s="37">
        <f>IF(ISERROR(TER_gezond_gas_kWh/1000),0,TER_gezond_gas_kWh/1000)*0.902</f>
        <v>5812.493628539406</v>
      </c>
      <c r="E9" s="33">
        <f>$C$29*'E Balans VL '!I10/100/3.6*1000000</f>
        <v>0.85640232782084103</v>
      </c>
      <c r="F9" s="33">
        <f>$C$29*('E Balans VL '!L10+'E Balans VL '!N10)/100/3.6*1000000</f>
        <v>508.86184530442682</v>
      </c>
      <c r="G9" s="34"/>
      <c r="H9" s="33"/>
      <c r="I9" s="33"/>
      <c r="J9" s="33">
        <f>$C$29*('E Balans VL '!D10+'E Balans VL '!E10)/100/3.6*1000000</f>
        <v>0</v>
      </c>
      <c r="K9" s="33"/>
      <c r="L9" s="33"/>
      <c r="M9" s="33"/>
      <c r="N9" s="33">
        <f>$C$29*'E Balans VL '!Y10/100/3.6*1000000</f>
        <v>17.856605513803025</v>
      </c>
      <c r="O9" s="33"/>
      <c r="P9" s="33"/>
      <c r="R9" s="32"/>
    </row>
    <row r="10" spans="1:18">
      <c r="A10" s="32" t="s">
        <v>50</v>
      </c>
      <c r="B10" s="37">
        <f t="shared" si="0"/>
        <v>10453.6790904796</v>
      </c>
      <c r="C10" s="33"/>
      <c r="D10" s="37">
        <f>IF(ISERROR(TER_ander_gas_kWh/1000),0,TER_ander_gas_kWh/1000)*0.902</f>
        <v>17387.292207590759</v>
      </c>
      <c r="E10" s="33">
        <f>$C$30*'E Balans VL '!I14/100/3.6*1000000</f>
        <v>63.725885656025099</v>
      </c>
      <c r="F10" s="33">
        <f>$C$30*('E Balans VL '!L14+'E Balans VL '!N14)/100/3.6*1000000</f>
        <v>2771.4135260458957</v>
      </c>
      <c r="G10" s="34"/>
      <c r="H10" s="33"/>
      <c r="I10" s="33"/>
      <c r="J10" s="33">
        <f>$C$30*('E Balans VL '!D14+'E Balans VL '!E14)/100/3.6*1000000</f>
        <v>0</v>
      </c>
      <c r="K10" s="33"/>
      <c r="L10" s="33"/>
      <c r="M10" s="33"/>
      <c r="N10" s="33">
        <f>$C$30*'E Balans VL '!Y14/100/3.6*1000000</f>
        <v>2409.3471429766664</v>
      </c>
      <c r="O10" s="33"/>
      <c r="P10" s="33"/>
      <c r="R10" s="32"/>
    </row>
    <row r="11" spans="1:18">
      <c r="A11" s="32" t="s">
        <v>55</v>
      </c>
      <c r="B11" s="37">
        <f t="shared" si="0"/>
        <v>1597.94956799022</v>
      </c>
      <c r="C11" s="33"/>
      <c r="D11" s="37">
        <f>IF(ISERROR(TER_onderwijs_gas_kWh/1000),0,TER_onderwijs_gas_kWh/1000)*0.902</f>
        <v>4210.3886246300453</v>
      </c>
      <c r="E11" s="33">
        <f>$C$31*'E Balans VL '!I11/100/3.6*1000000</f>
        <v>1.2177207769215701</v>
      </c>
      <c r="F11" s="33">
        <f>$C$31*('E Balans VL '!L11+'E Balans VL '!N11)/100/3.6*1000000</f>
        <v>1156.3638786776996</v>
      </c>
      <c r="G11" s="34"/>
      <c r="H11" s="33"/>
      <c r="I11" s="33"/>
      <c r="J11" s="33">
        <f>$C$31*('E Balans VL '!D11+'E Balans VL '!E11)/100/3.6*1000000</f>
        <v>0</v>
      </c>
      <c r="K11" s="33"/>
      <c r="L11" s="33"/>
      <c r="M11" s="33"/>
      <c r="N11" s="33">
        <f>$C$31*'E Balans VL '!Y11/100/3.6*1000000</f>
        <v>4.7095392798549049</v>
      </c>
      <c r="O11" s="33"/>
      <c r="P11" s="33"/>
      <c r="R11" s="32"/>
    </row>
    <row r="12" spans="1:18">
      <c r="A12" s="32" t="s">
        <v>260</v>
      </c>
      <c r="B12" s="37">
        <f t="shared" si="0"/>
        <v>5007.7472682067801</v>
      </c>
      <c r="C12" s="33"/>
      <c r="D12" s="37">
        <f>IF(ISERROR(TER_rest_gas_kWh/1000),0,TER_rest_gas_kWh/1000)*0.902</f>
        <v>12348.661951557522</v>
      </c>
      <c r="E12" s="33">
        <f>$C$32*'E Balans VL '!I8/100/3.6*1000000</f>
        <v>107.40142447596682</v>
      </c>
      <c r="F12" s="33">
        <f>$C$32*('E Balans VL '!L8+'E Balans VL '!N8)/100/3.6*1000000</f>
        <v>988.11744522608819</v>
      </c>
      <c r="G12" s="34"/>
      <c r="H12" s="33"/>
      <c r="I12" s="33"/>
      <c r="J12" s="33">
        <f>$C$32*('E Balans VL '!D8+'E Balans VL '!E8)/100/3.6*1000000</f>
        <v>0</v>
      </c>
      <c r="K12" s="33"/>
      <c r="L12" s="33"/>
      <c r="M12" s="33"/>
      <c r="N12" s="33">
        <f>$C$32*'E Balans VL '!Y8/100/3.6*1000000</f>
        <v>142.03335620642872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69948.19804064295</v>
      </c>
      <c r="C16" s="21">
        <f ca="1">C5+C13+C14</f>
        <v>0</v>
      </c>
      <c r="D16" s="21">
        <f t="shared" ref="D16:N16" ca="1" si="1">MAX((D5+D13+D14),0)</f>
        <v>90818.524712136365</v>
      </c>
      <c r="E16" s="21">
        <f t="shared" si="1"/>
        <v>1001.3010097227306</v>
      </c>
      <c r="F16" s="21">
        <f t="shared" ca="1" si="1"/>
        <v>13321.484820381262</v>
      </c>
      <c r="G16" s="21">
        <f t="shared" si="1"/>
        <v>0</v>
      </c>
      <c r="H16" s="21">
        <f t="shared" si="1"/>
        <v>0</v>
      </c>
      <c r="I16" s="21">
        <f t="shared" si="1"/>
        <v>0</v>
      </c>
      <c r="J16" s="21">
        <f t="shared" si="1"/>
        <v>0</v>
      </c>
      <c r="K16" s="21">
        <f t="shared" si="1"/>
        <v>0</v>
      </c>
      <c r="L16" s="21">
        <f t="shared" ca="1" si="1"/>
        <v>0</v>
      </c>
      <c r="M16" s="21">
        <f t="shared" si="1"/>
        <v>0</v>
      </c>
      <c r="N16" s="21">
        <f t="shared" ca="1" si="1"/>
        <v>2677.7053238452622</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0.21465510608805694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15014.737871082629</v>
      </c>
      <c r="C20" s="23">
        <f t="shared" ref="C20:P20" ca="1" si="2">C16*C18</f>
        <v>0</v>
      </c>
      <c r="D20" s="23">
        <f t="shared" ca="1" si="2"/>
        <v>18345.341991851546</v>
      </c>
      <c r="E20" s="23">
        <f t="shared" si="2"/>
        <v>227.29532920705984</v>
      </c>
      <c r="F20" s="23">
        <f t="shared" ca="1" si="2"/>
        <v>3556.8364470417969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11302.9970411635</v>
      </c>
      <c r="C26" s="39">
        <f>IF(ISERROR(B26*3.6/1000000/'E Balans VL '!Z12*100),0,B26*3.6/1000000/'E Balans VL '!Z12*100)</f>
        <v>0.23785282812164515</v>
      </c>
      <c r="D26" s="238" t="s">
        <v>719</v>
      </c>
      <c r="F26" s="6"/>
    </row>
    <row r="27" spans="1:18">
      <c r="A27" s="232" t="s">
        <v>53</v>
      </c>
      <c r="B27" s="33">
        <f>IF(ISERROR(TER_horeca_ele_kWh/1000),0,TER_horeca_ele_kWh/1000)</f>
        <v>4476.6553657465993</v>
      </c>
      <c r="C27" s="39">
        <f>IF(ISERROR(B27*3.6/1000000/'E Balans VL '!Z9*100),0,B27*3.6/1000000/'E Balans VL '!Z9*100)</f>
        <v>0.37902583053267891</v>
      </c>
      <c r="D27" s="238" t="s">
        <v>719</v>
      </c>
      <c r="F27" s="6"/>
    </row>
    <row r="28" spans="1:18">
      <c r="A28" s="172" t="s">
        <v>52</v>
      </c>
      <c r="B28" s="33">
        <f>IF(ISERROR(TER_handel_ele_kWh/1000),0,TER_handel_ele_kWh/1000)</f>
        <v>35043.024852105402</v>
      </c>
      <c r="C28" s="39">
        <f>IF(ISERROR(B28*3.6/1000000/'E Balans VL '!Z13*100),0,B28*3.6/1000000/'E Balans VL '!Z13*100)</f>
        <v>0.97016129731450262</v>
      </c>
      <c r="D28" s="238" t="s">
        <v>719</v>
      </c>
      <c r="F28" s="6"/>
    </row>
    <row r="29" spans="1:18">
      <c r="A29" s="232" t="s">
        <v>51</v>
      </c>
      <c r="B29" s="33">
        <f>IF(ISERROR(TER_gezond_ele_kWh/1000),0,TER_gezond_ele_kWh/1000)</f>
        <v>2066.14485495086</v>
      </c>
      <c r="C29" s="39">
        <f>IF(ISERROR(B29*3.6/1000000/'E Balans VL '!Z10*100),0,B29*3.6/1000000/'E Balans VL '!Z10*100)</f>
        <v>0.26857592525730378</v>
      </c>
      <c r="D29" s="238" t="s">
        <v>719</v>
      </c>
      <c r="F29" s="6"/>
    </row>
    <row r="30" spans="1:18">
      <c r="A30" s="232" t="s">
        <v>50</v>
      </c>
      <c r="B30" s="33">
        <f>IF(ISERROR(TER_ander_ele_kWh/1000),0,TER_ander_ele_kWh/1000)</f>
        <v>10453.6790904796</v>
      </c>
      <c r="C30" s="39">
        <f>IF(ISERROR(B30*3.6/1000000/'E Balans VL '!Z14*100),0,B30*3.6/1000000/'E Balans VL '!Z14*100)</f>
        <v>0.81025599707284934</v>
      </c>
      <c r="D30" s="238" t="s">
        <v>719</v>
      </c>
      <c r="F30" s="6"/>
    </row>
    <row r="31" spans="1:18">
      <c r="A31" s="232" t="s">
        <v>55</v>
      </c>
      <c r="B31" s="33">
        <f>IF(ISERROR(TER_onderwijs_ele_kWh/1000),0,TER_onderwijs_ele_kWh/1000)</f>
        <v>1597.94956799022</v>
      </c>
      <c r="C31" s="39">
        <f>IF(ISERROR(B31*3.6/1000000/'E Balans VL '!Z11*100),0,B31*3.6/1000000/'E Balans VL '!Z11*100)</f>
        <v>0.30571498084095455</v>
      </c>
      <c r="D31" s="238" t="s">
        <v>719</v>
      </c>
    </row>
    <row r="32" spans="1:18">
      <c r="A32" s="232" t="s">
        <v>260</v>
      </c>
      <c r="B32" s="33">
        <f>IF(ISERROR(TER_rest_ele_kWh/1000),0,TER_rest_ele_kWh/1000)</f>
        <v>5007.7472682067801</v>
      </c>
      <c r="C32" s="39">
        <f>IF(ISERROR(B32*3.6/1000000/'E Balans VL '!Z8*100),0,B32*3.6/1000000/'E Balans VL '!Z8*100)</f>
        <v>4.1292721753428949E-2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5</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84146.576333318531</v>
      </c>
      <c r="C5" s="17">
        <f>IF(ISERROR('Eigen informatie GS &amp; warmtenet'!B59),0,'Eigen informatie GS &amp; warmtenet'!B59)</f>
        <v>0</v>
      </c>
      <c r="D5" s="30">
        <f>SUM(D6:D15)</f>
        <v>45515.693613989512</v>
      </c>
      <c r="E5" s="17">
        <f>SUM(E6:E15)</f>
        <v>912.74686455606127</v>
      </c>
      <c r="F5" s="17">
        <f>SUM(F6:F15)</f>
        <v>27637.533915353852</v>
      </c>
      <c r="G5" s="18"/>
      <c r="H5" s="17"/>
      <c r="I5" s="17"/>
      <c r="J5" s="17">
        <f>SUM(J6:J15)</f>
        <v>588.59156229208861</v>
      </c>
      <c r="K5" s="17"/>
      <c r="L5" s="17"/>
      <c r="M5" s="17"/>
      <c r="N5" s="17">
        <f>SUM(N6:N15)</f>
        <v>2467.0859803102308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15919.644818071101</v>
      </c>
      <c r="C8" s="33"/>
      <c r="D8" s="37">
        <f>IF( ISERROR(IND_metaal_Gas_kWH/1000),0,IND_metaal_Gas_kWH/1000)*0.902</f>
        <v>5845.7453269021207</v>
      </c>
      <c r="E8" s="33">
        <f>C30*'E Balans VL '!I18/100/3.6*1000000</f>
        <v>111.86383162628489</v>
      </c>
      <c r="F8" s="33">
        <f>C30*'E Balans VL '!L18/100/3.6*1000000+C30*'E Balans VL '!N18/100/3.6*1000000</f>
        <v>1747.8838619344765</v>
      </c>
      <c r="G8" s="34"/>
      <c r="H8" s="33"/>
      <c r="I8" s="33"/>
      <c r="J8" s="40">
        <f>C30*'E Balans VL '!D18/100/3.6*1000000+C30*'E Balans VL '!E18/100/3.6*1000000</f>
        <v>328.45658566826728</v>
      </c>
      <c r="K8" s="33"/>
      <c r="L8" s="33"/>
      <c r="M8" s="33"/>
      <c r="N8" s="33">
        <f>C30*'E Balans VL '!Y18/100/3.6*1000000</f>
        <v>59.667975309720489</v>
      </c>
      <c r="O8" s="33"/>
      <c r="P8" s="33"/>
      <c r="R8" s="32"/>
    </row>
    <row r="9" spans="1:18">
      <c r="A9" s="6" t="s">
        <v>33</v>
      </c>
      <c r="B9" s="37">
        <f t="shared" si="0"/>
        <v>22305.779977468199</v>
      </c>
      <c r="C9" s="33"/>
      <c r="D9" s="37">
        <f>IF( ISERROR(IND_andere_gas_kWh/1000),0,IND_andere_gas_kWh/1000)*0.902</f>
        <v>4186.9940614334428</v>
      </c>
      <c r="E9" s="33">
        <f>C31*'E Balans VL '!I19/100/3.6*1000000</f>
        <v>374.652900174504</v>
      </c>
      <c r="F9" s="33">
        <f>C31*'E Balans VL '!L19/100/3.6*1000000+C31*'E Balans VL '!N19/100/3.6*1000000</f>
        <v>17437.388344017974</v>
      </c>
      <c r="G9" s="34"/>
      <c r="H9" s="33"/>
      <c r="I9" s="33"/>
      <c r="J9" s="40">
        <f>C31*'E Balans VL '!D19/100/3.6*1000000+C31*'E Balans VL '!E19/100/3.6*1000000</f>
        <v>2.0117844522619697</v>
      </c>
      <c r="K9" s="33"/>
      <c r="L9" s="33"/>
      <c r="M9" s="33"/>
      <c r="N9" s="33">
        <f>C31*'E Balans VL '!Y19/100/3.6*1000000</f>
        <v>1653.2161610646988</v>
      </c>
      <c r="O9" s="33"/>
      <c r="P9" s="33"/>
      <c r="R9" s="32"/>
    </row>
    <row r="10" spans="1:18">
      <c r="A10" s="6" t="s">
        <v>41</v>
      </c>
      <c r="B10" s="37">
        <f t="shared" si="0"/>
        <v>17872.108047307</v>
      </c>
      <c r="C10" s="33"/>
      <c r="D10" s="37">
        <f>IF( ISERROR(IND_voed_gas_kWh/1000),0,IND_voed_gas_kWh/1000)*0.902</f>
        <v>16534.654493080187</v>
      </c>
      <c r="E10" s="33">
        <f>C32*'E Balans VL '!I20/100/3.6*1000000</f>
        <v>163.05768706948706</v>
      </c>
      <c r="F10" s="33">
        <f>C32*'E Balans VL '!L20/100/3.6*1000000+C32*'E Balans VL '!N20/100/3.6*1000000</f>
        <v>2883.3300348561206</v>
      </c>
      <c r="G10" s="34"/>
      <c r="H10" s="33"/>
      <c r="I10" s="33"/>
      <c r="J10" s="40">
        <f>C32*'E Balans VL '!D20/100/3.6*1000000+C32*'E Balans VL '!E20/100/3.6*1000000</f>
        <v>73.609058460033594</v>
      </c>
      <c r="K10" s="33"/>
      <c r="L10" s="33"/>
      <c r="M10" s="33"/>
      <c r="N10" s="33">
        <f>C32*'E Balans VL '!Y20/100/3.6*1000000</f>
        <v>261.45484817938353</v>
      </c>
      <c r="O10" s="33"/>
      <c r="P10" s="33"/>
      <c r="R10" s="32"/>
    </row>
    <row r="11" spans="1:18">
      <c r="A11" s="6" t="s">
        <v>40</v>
      </c>
      <c r="B11" s="37">
        <f t="shared" si="0"/>
        <v>0</v>
      </c>
      <c r="C11" s="33"/>
      <c r="D11" s="37">
        <f>IF( ISERROR(IND_textiel_gas_kWh/1000),0,IND_textiel_gas_kWh/1000)*0.902</f>
        <v>5047.6724356838877</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82.534889640898712</v>
      </c>
      <c r="C12" s="33"/>
      <c r="D12" s="37">
        <f>IF( ISERROR(IND_min_gas_kWh/1000),0,IND_min_gas_kWh/1000)*0.902</f>
        <v>0</v>
      </c>
      <c r="E12" s="33">
        <f>C34*'E Balans VL '!I22/100/3.6*1000000</f>
        <v>2.0471335880082644</v>
      </c>
      <c r="F12" s="33">
        <f>C34*'E Balans VL '!L22/100/3.6*1000000+C34*'E Balans VL '!N22/100/3.6*1000000</f>
        <v>8.7701222956051446</v>
      </c>
      <c r="G12" s="34"/>
      <c r="H12" s="33"/>
      <c r="I12" s="33"/>
      <c r="J12" s="40">
        <f>C34*'E Balans VL '!D22/100/3.6*1000000+C34*'E Balans VL '!E22/100/3.6*1000000</f>
        <v>0.46884660151390428</v>
      </c>
      <c r="K12" s="33"/>
      <c r="L12" s="33"/>
      <c r="M12" s="33"/>
      <c r="N12" s="33">
        <f>C34*'E Balans VL '!Y22/100/3.6*1000000</f>
        <v>0</v>
      </c>
      <c r="O12" s="33"/>
      <c r="P12" s="33"/>
      <c r="R12" s="32"/>
    </row>
    <row r="13" spans="1:18">
      <c r="A13" s="6" t="s">
        <v>39</v>
      </c>
      <c r="B13" s="37">
        <f t="shared" si="0"/>
        <v>449.33352237182697</v>
      </c>
      <c r="C13" s="33"/>
      <c r="D13" s="37">
        <f>IF( ISERROR(IND_papier_gas_kWh/1000),0,IND_papier_gas_kWh/1000)*0.902</f>
        <v>135.38685470532798</v>
      </c>
      <c r="E13" s="33">
        <f>C35*'E Balans VL '!I23/100/3.6*1000000</f>
        <v>13.82481982732741</v>
      </c>
      <c r="F13" s="33">
        <f>C35*'E Balans VL '!L23/100/3.6*1000000+C35*'E Balans VL '!N23/100/3.6*1000000</f>
        <v>95.409210078358583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183.793277314314</v>
      </c>
      <c r="C14" s="33"/>
      <c r="D14" s="37">
        <f>IF( ISERROR(IND_chemie_gas_kWh/1000),0,IND_chemie_gas_kWh/1000)*0.902</f>
        <v>666.74127204055981</v>
      </c>
      <c r="E14" s="33">
        <f>C36*'E Balans VL '!I24/100/3.6*1000000</f>
        <v>0.62318580078367514</v>
      </c>
      <c r="F14" s="33">
        <f>C36*'E Balans VL '!L24/100/3.6*1000000+C36*'E Balans VL '!N24/100/3.6*1000000</f>
        <v>0.58983715745600318</v>
      </c>
      <c r="G14" s="34"/>
      <c r="H14" s="33"/>
      <c r="I14" s="33"/>
      <c r="J14" s="40">
        <f>C36*'E Balans VL '!D24/100/3.6*1000000+C36*'E Balans VL '!E24/100/3.6*1000000</f>
        <v>0</v>
      </c>
      <c r="K14" s="33"/>
      <c r="L14" s="33"/>
      <c r="M14" s="33"/>
      <c r="N14" s="33">
        <f>C36*'E Balans VL '!Y24/100/3.6*1000000</f>
        <v>0.8593675558573457</v>
      </c>
      <c r="O14" s="33"/>
      <c r="P14" s="33"/>
      <c r="R14" s="32"/>
    </row>
    <row r="15" spans="1:18">
      <c r="A15" s="6" t="s">
        <v>270</v>
      </c>
      <c r="B15" s="37">
        <f t="shared" si="0"/>
        <v>27333.381801145199</v>
      </c>
      <c r="C15" s="33"/>
      <c r="D15" s="37">
        <f>IF( ISERROR(IND_rest_gas_kWh/1000),0,IND_rest_gas_kWh/1000)*0.902</f>
        <v>13098.499170143979</v>
      </c>
      <c r="E15" s="33">
        <f>C37*'E Balans VL '!I15/100/3.6*1000000</f>
        <v>246.67730646966609</v>
      </c>
      <c r="F15" s="33">
        <f>C37*'E Balans VL '!L15/100/3.6*1000000+C37*'E Balans VL '!N15/100/3.6*1000000</f>
        <v>5464.1625050138618</v>
      </c>
      <c r="G15" s="34"/>
      <c r="H15" s="33"/>
      <c r="I15" s="33"/>
      <c r="J15" s="40">
        <f>C37*'E Balans VL '!D15/100/3.6*1000000+C37*'E Balans VL '!E15/100/3.6*1000000</f>
        <v>184.04528711001194</v>
      </c>
      <c r="K15" s="33"/>
      <c r="L15" s="33"/>
      <c r="M15" s="33"/>
      <c r="N15" s="33">
        <f>C37*'E Balans VL '!Y15/100/3.6*1000000</f>
        <v>491.88762820057065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84146.576333318531</v>
      </c>
      <c r="C18" s="21">
        <f>C5+C16</f>
        <v>0</v>
      </c>
      <c r="D18" s="21">
        <f>MAX((D5+D16),0)</f>
        <v>45515.693613989512</v>
      </c>
      <c r="E18" s="21">
        <f>MAX((E5+E16),0)</f>
        <v>912.74686455606127</v>
      </c>
      <c r="F18" s="21">
        <f>MAX((F5+F16),0)</f>
        <v>27637.533915353852</v>
      </c>
      <c r="G18" s="21"/>
      <c r="H18" s="21"/>
      <c r="I18" s="21"/>
      <c r="J18" s="21">
        <f>MAX((J5+J16),0)</f>
        <v>588.59156229208861</v>
      </c>
      <c r="K18" s="21"/>
      <c r="L18" s="21">
        <f>MAX((L5+L16),0)</f>
        <v>0</v>
      </c>
      <c r="M18" s="21"/>
      <c r="N18" s="21">
        <f>MAX((N5+N16),0)</f>
        <v>2467.0859803102308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0.21465510608805694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18062.49226977527</v>
      </c>
      <c r="C22" s="23">
        <f ca="1">C18*C20</f>
        <v>0</v>
      </c>
      <c r="D22" s="23">
        <f>D18*D20</f>
        <v>9194.1701100258815</v>
      </c>
      <c r="E22" s="23">
        <f>E18*E20</f>
        <v>207.19353825422593</v>
      </c>
      <c r="F22" s="23">
        <f>F18*F20</f>
        <v>7379.2215553994783</v>
      </c>
      <c r="G22" s="23"/>
      <c r="H22" s="23"/>
      <c r="I22" s="23"/>
      <c r="J22" s="23">
        <f>J18*J20</f>
        <v>208.36141305139935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15919.644818071101</v>
      </c>
      <c r="C30" s="39">
        <f>IF(ISERROR(B30*3.6/1000000/'E Balans VL '!Z18*100),0,B30*3.6/1000000/'E Balans VL '!Z18*100)</f>
        <v>1.0597804768887509</v>
      </c>
      <c r="D30" s="238" t="s">
        <v>719</v>
      </c>
    </row>
    <row r="31" spans="1:18">
      <c r="A31" s="6" t="s">
        <v>33</v>
      </c>
      <c r="B31" s="37">
        <f>IF( ISERROR(IND_ander_ele_kWh/1000),0,IND_ander_ele_kWh/1000)</f>
        <v>22305.779977468199</v>
      </c>
      <c r="C31" s="39">
        <f>IF(ISERROR(B31*3.6/1000000/'E Balans VL '!Z19*100),0,B31*3.6/1000000/'E Balans VL '!Z19*100)</f>
        <v>0.98872682978062687</v>
      </c>
      <c r="D31" s="238" t="s">
        <v>719</v>
      </c>
    </row>
    <row r="32" spans="1:18">
      <c r="A32" s="172" t="s">
        <v>41</v>
      </c>
      <c r="B32" s="37">
        <f>IF( ISERROR(IND_voed_ele_kWh/1000),0,IND_voed_ele_kWh/1000)</f>
        <v>17872.108047307</v>
      </c>
      <c r="C32" s="39">
        <f>IF(ISERROR(B32*3.6/1000000/'E Balans VL '!Z20*100),0,B32*3.6/1000000/'E Balans VL '!Z20*100)</f>
        <v>0.59697967722260825</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82.534889640898712</v>
      </c>
      <c r="C34" s="39">
        <f>IF(ISERROR(B34*3.6/1000000/'E Balans VL '!Z22*100),0,B34*3.6/1000000/'E Balans VL '!Z22*100)</f>
        <v>1.6052129440926027E-2</v>
      </c>
      <c r="D34" s="238" t="s">
        <v>719</v>
      </c>
    </row>
    <row r="35" spans="1:5">
      <c r="A35" s="172" t="s">
        <v>39</v>
      </c>
      <c r="B35" s="37">
        <f>IF( ISERROR(IND_papier_ele_kWh/1000),0,IND_papier_ele_kWh/1000)</f>
        <v>449.33352237182697</v>
      </c>
      <c r="C35" s="39">
        <f>IF(ISERROR(B35*3.6/1000000/'E Balans VL '!Z22*100),0,B35*3.6/1000000/'E Balans VL '!Z22*100)</f>
        <v>8.7390434453136309E-2</v>
      </c>
      <c r="D35" s="238" t="s">
        <v>719</v>
      </c>
    </row>
    <row r="36" spans="1:5">
      <c r="A36" s="172" t="s">
        <v>34</v>
      </c>
      <c r="B36" s="37">
        <f>IF( ISERROR(IND_chemie_ele_kWh/1000),0,IND_chemie_ele_kWh/1000)</f>
        <v>183.793277314314</v>
      </c>
      <c r="C36" s="39">
        <f>IF(ISERROR(B36*3.6/1000000/'E Balans VL '!Z24*100),0,B36*3.6/1000000/'E Balans VL '!Z24*100)</f>
        <v>4.3159611798580652E-3</v>
      </c>
      <c r="D36" s="238" t="s">
        <v>719</v>
      </c>
    </row>
    <row r="37" spans="1:5">
      <c r="A37" s="172" t="s">
        <v>270</v>
      </c>
      <c r="B37" s="37">
        <f>IF( ISERROR(IND_rest_ele_kWh/1000),0,IND_rest_ele_kWh/1000)</f>
        <v>27333.381801145199</v>
      </c>
      <c r="C37" s="39">
        <f>IF(ISERROR(B37*3.6/1000000/'E Balans VL '!Z15*100),0,B37*3.6/1000000/'E Balans VL '!Z15*100)</f>
        <v>0.20331583071251325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4195.5817827432347</v>
      </c>
      <c r="C5" s="17">
        <f>'Eigen informatie GS &amp; warmtenet'!B60</f>
        <v>0</v>
      </c>
      <c r="D5" s="30">
        <f>IF(ISERROR(SUM(LB_lb_gas_kWh,LB_rest_gas_kWh)/1000),0,SUM(LB_lb_gas_kWh,LB_rest_gas_kWh)/1000)*0.902</f>
        <v>5149.8763303169071</v>
      </c>
      <c r="E5" s="17">
        <f>B17*'E Balans VL '!I25/3.6*1000000/100</f>
        <v>43.93704073530261</v>
      </c>
      <c r="F5" s="17">
        <f>B17*('E Balans VL '!L25/3.6*1000000+'E Balans VL '!N25/3.6*1000000)/100</f>
        <v>17960.277995238124</v>
      </c>
      <c r="G5" s="18"/>
      <c r="H5" s="17"/>
      <c r="I5" s="17"/>
      <c r="J5" s="17">
        <f>('E Balans VL '!D25+'E Balans VL '!E25)/3.6*1000000*landbouw!B17/100</f>
        <v>374.70305884002914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4195.5817827432347</v>
      </c>
      <c r="C8" s="21">
        <f>C5+C6</f>
        <v>0</v>
      </c>
      <c r="D8" s="21">
        <f>MAX((D5+D6),0)</f>
        <v>5149.8763303169071</v>
      </c>
      <c r="E8" s="21">
        <f>MAX((E5+E6),0)</f>
        <v>43.93704073530261</v>
      </c>
      <c r="F8" s="21">
        <f>MAX((F5+F6),0)</f>
        <v>17960.277995238124</v>
      </c>
      <c r="G8" s="21"/>
      <c r="H8" s="21"/>
      <c r="I8" s="21"/>
      <c r="J8" s="21">
        <f>MAX((J5+J6),0)</f>
        <v>374.70305884002914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0.21465510608805694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900.60305267586807</v>
      </c>
      <c r="C12" s="23">
        <f ca="1">C8*C10</f>
        <v>0</v>
      </c>
      <c r="D12" s="23">
        <f>D8*D10</f>
        <v>1040.2750187240154</v>
      </c>
      <c r="E12" s="23">
        <f>E8*E10</f>
        <v>9.9737082469136933</v>
      </c>
      <c r="F12" s="23">
        <f>F8*F10</f>
        <v>4795.3942247285795</v>
      </c>
      <c r="G12" s="23"/>
      <c r="H12" s="23"/>
      <c r="I12" s="23"/>
      <c r="J12" s="23">
        <f>J8*J10</f>
        <v>132.64488282937032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0.64578102605936005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806.32929372145929</v>
      </c>
      <c r="C26" s="248">
        <f>B26*'GWP N2O_CH4'!B5</f>
        <v>16932.915168150645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225.09999153924792</v>
      </c>
      <c r="C27" s="248">
        <f>B27*'GWP N2O_CH4'!B5</f>
        <v>4727.0998223242068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11.292334968665884</v>
      </c>
      <c r="C28" s="248">
        <f>B28*'GWP N2O_CH4'!B4</f>
        <v>3500.6238402864242</v>
      </c>
      <c r="D28" s="50"/>
    </row>
    <row r="29" spans="1:4">
      <c r="A29" s="41" t="s">
        <v>277</v>
      </c>
      <c r="B29" s="248">
        <f>B34*'ha_N2O bodem landbouw'!B4</f>
        <v>31.62467421581805</v>
      </c>
      <c r="C29" s="248">
        <f>B29*'GWP N2O_CH4'!B4</f>
        <v>9803.6490069035954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5.2263927630444218E-3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1.0639193308977919E-5</v>
      </c>
      <c r="C5" s="446" t="s">
        <v>211</v>
      </c>
      <c r="D5" s="431">
        <f>SUM(D6:D11)</f>
        <v>5.284057169305649E-5</v>
      </c>
      <c r="E5" s="431">
        <f>SUM(E6:E11)</f>
        <v>6.1120053525157356E-3</v>
      </c>
      <c r="F5" s="444" t="s">
        <v>211</v>
      </c>
      <c r="G5" s="431">
        <f>SUM(G6:G11)</f>
        <v>1.316638733061152</v>
      </c>
      <c r="H5" s="431">
        <f>SUM(H6:H11)</f>
        <v>0.18140819144329737</v>
      </c>
      <c r="I5" s="446" t="s">
        <v>211</v>
      </c>
      <c r="J5" s="446" t="s">
        <v>211</v>
      </c>
      <c r="K5" s="446" t="s">
        <v>211</v>
      </c>
      <c r="L5" s="446" t="s">
        <v>211</v>
      </c>
      <c r="M5" s="431">
        <f>SUM(M6:M11)</f>
        <v>6.5248341836103535E-2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2.5934474758842719E-6</v>
      </c>
      <c r="C6" s="432"/>
      <c r="D6" s="432">
        <f>vkm_2011_GW_PW*SUMIFS(TableVerdeelsleutelVkm[CNG],TableVerdeelsleutelVkm[Voertuigtype],"Lichte voertuigen")*SUMIFS(TableECFTransport[EnergieConsumptieFactor (PJ per km)],TableECFTransport[Index],CONCATENATE($A6,"_CNG_CNG"))</f>
        <v>1.1180050606535343E-5</v>
      </c>
      <c r="E6" s="434">
        <f>vkm_2011_GW_PW*SUMIFS(TableVerdeelsleutelVkm[LPG],TableVerdeelsleutelVkm[Voertuigtype],"Lichte voertuigen")*SUMIFS(TableECFTransport[EnergieConsumptieFactor (PJ per km)],TableECFTransport[Index],CONCATENATE($A6,"_LPG_LPG"))</f>
        <v>1.1632156662592522E-3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0.14307872030129706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3.766966203213884E-2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7.9212606548037939E-3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7.694085090904719E-2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2.6381951557540415E-5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3.3237005971154926E-3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1.7521568584398845E-6</v>
      </c>
      <c r="C8" s="432"/>
      <c r="D8" s="434">
        <f>vkm_2011_NGW_PW*SUMIFS(TableVerdeelsleutelVkm[CNG],TableVerdeelsleutelVkm[Voertuigtype],"Lichte voertuigen")*SUMIFS(TableECFTransport[EnergieConsumptieFactor (PJ per km)],TableECFTransport[Index],CONCATENATE($A8,"_CNG_CNG"))</f>
        <v>1.3550884092770867E-5</v>
      </c>
      <c r="E8" s="434">
        <f>vkm_2011_NGW_PW*SUMIFS(TableVerdeelsleutelVkm[LPG],TableVerdeelsleutelVkm[Voertuigtype],"Lichte voertuigen")*SUMIFS(TableECFTransport[EnergieConsumptieFactor (PJ per km)],TableECFTransport[Index],CONCATENATE($A8,"_LPG_LPG"))</f>
        <v>1.2873308021287514E-3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0.15018683831924978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4.3583544743228855E-2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8.5018127635566113E-3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4.977019800721625E-2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1.4825234469550263E-5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2.1498756536825225E-3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6.2935889746537631E-6</v>
      </c>
      <c r="C10" s="432"/>
      <c r="D10" s="434">
        <f>vkm_2011_SW_PW*SUMIFS(TableVerdeelsleutelVkm[CNG],TableVerdeelsleutelVkm[Voertuigtype],"Lichte voertuigen")*SUMIFS(TableECFTransport[EnergieConsumptieFactor (PJ per km)],TableECFTransport[Index],CONCATENATE($A10,"_CNG_CNG"))</f>
        <v>2.8109636993750276E-5</v>
      </c>
      <c r="E10" s="434">
        <f>vkm_2011_SW_PW*SUMIFS(TableVerdeelsleutelVkm[LPG],TableVerdeelsleutelVkm[Voertuigtype],"Lichte voertuigen")*SUMIFS(TableECFTransport[EnergieConsumptieFactor (PJ per km)],TableECFTransport[Index],CONCATENATE($A10,"_LPG_LPG"))</f>
        <v>3.6614588841277326E-3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0.41404289826804902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9.9937213367669031E-2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2.2502933170738405E-2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0.48261922725629264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1.7656411423354698E-4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2.0848758996206706E-2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2.9553314747160888</v>
      </c>
      <c r="C14" s="21"/>
      <c r="D14" s="21">
        <f t="shared" ref="D14:M14" si="0">((D5)*10^9/3600)+D12</f>
        <v>14.67793658140458</v>
      </c>
      <c r="E14" s="21">
        <f t="shared" si="0"/>
        <v>1697.7792645877043</v>
      </c>
      <c r="F14" s="21"/>
      <c r="G14" s="21">
        <f t="shared" si="0"/>
        <v>365732.98140587553</v>
      </c>
      <c r="H14" s="21">
        <f t="shared" si="0"/>
        <v>50391.164289804823</v>
      </c>
      <c r="I14" s="21"/>
      <c r="J14" s="21"/>
      <c r="K14" s="21"/>
      <c r="L14" s="21"/>
      <c r="M14" s="21">
        <f t="shared" si="0"/>
        <v>18124.539398917648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0.21465510608805694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0.6343769912305558</v>
      </c>
      <c r="C18" s="23"/>
      <c r="D18" s="23">
        <f t="shared" ref="D18:M18" si="1">D14*D16</f>
        <v>2.9649431894437255</v>
      </c>
      <c r="E18" s="23">
        <f t="shared" si="1"/>
        <v>385.39589306140891</v>
      </c>
      <c r="F18" s="23"/>
      <c r="G18" s="23">
        <f t="shared" si="1"/>
        <v>97650.70603536877</v>
      </c>
      <c r="H18" s="23">
        <f t="shared" si="1"/>
        <v>12547.3999081614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7.9911899213846553E-3</v>
      </c>
      <c r="H50" s="322">
        <f t="shared" si="2"/>
        <v>0</v>
      </c>
      <c r="I50" s="322">
        <f t="shared" si="2"/>
        <v>0</v>
      </c>
      <c r="J50" s="322">
        <f t="shared" si="2"/>
        <v>0</v>
      </c>
      <c r="K50" s="322">
        <f t="shared" si="2"/>
        <v>0</v>
      </c>
      <c r="L50" s="322">
        <f t="shared" si="2"/>
        <v>0</v>
      </c>
      <c r="M50" s="322">
        <f t="shared" si="2"/>
        <v>3.4062970881127357E-4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7.9911899213846553E-3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3.4062970881127357E-4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2219.7749781624043</v>
      </c>
      <c r="H54" s="21">
        <f t="shared" si="3"/>
        <v>0</v>
      </c>
      <c r="I54" s="21">
        <f t="shared" si="3"/>
        <v>0</v>
      </c>
      <c r="J54" s="21">
        <f t="shared" si="3"/>
        <v>0</v>
      </c>
      <c r="K54" s="21">
        <f t="shared" si="3"/>
        <v>0</v>
      </c>
      <c r="L54" s="21">
        <f t="shared" si="3"/>
        <v>0</v>
      </c>
      <c r="M54" s="21">
        <f t="shared" si="3"/>
        <v>94.619363558687098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0.21465510608805694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592.67991916936194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72645.389040642956</v>
      </c>
      <c r="D10" s="687">
        <f ca="1">tertiair!C16</f>
        <v>0</v>
      </c>
      <c r="E10" s="687">
        <f ca="1">tertiair!D16</f>
        <v>90818.524712136365</v>
      </c>
      <c r="F10" s="687">
        <f>tertiair!E16</f>
        <v>1001.3010097227306</v>
      </c>
      <c r="G10" s="687">
        <f ca="1">tertiair!F16</f>
        <v>13321.484820381262</v>
      </c>
      <c r="H10" s="687">
        <f>tertiair!G16</f>
        <v>0</v>
      </c>
      <c r="I10" s="687">
        <f>tertiair!H16</f>
        <v>0</v>
      </c>
      <c r="J10" s="687">
        <f>tertiair!I16</f>
        <v>0</v>
      </c>
      <c r="K10" s="687">
        <f>tertiair!J16</f>
        <v>0</v>
      </c>
      <c r="L10" s="687">
        <f>tertiair!K16</f>
        <v>0</v>
      </c>
      <c r="M10" s="687">
        <f ca="1">tertiair!L16</f>
        <v>0</v>
      </c>
      <c r="N10" s="687">
        <f>tertiair!M16</f>
        <v>0</v>
      </c>
      <c r="O10" s="687">
        <f ca="1">tertiair!N16</f>
        <v>2677.7053238452622</v>
      </c>
      <c r="P10" s="687">
        <f>tertiair!O16</f>
        <v>1.5633333333333335</v>
      </c>
      <c r="Q10" s="688">
        <f>tertiair!P16</f>
        <v>95.333333333333343</v>
      </c>
      <c r="R10" s="690">
        <f ca="1">SUM(C10:Q10)</f>
        <v>180561.30157339523</v>
      </c>
      <c r="S10" s="67"/>
    </row>
    <row r="11" spans="1:19" s="456" customFormat="1">
      <c r="A11" s="802" t="s">
        <v>225</v>
      </c>
      <c r="B11" s="807"/>
      <c r="C11" s="687">
        <f>huishoudens!B8</f>
        <v>74054.774635579801</v>
      </c>
      <c r="D11" s="687">
        <f>huishoudens!C8</f>
        <v>0</v>
      </c>
      <c r="E11" s="687">
        <f>huishoudens!D8</f>
        <v>137676.58223019549</v>
      </c>
      <c r="F11" s="687">
        <f>huishoudens!E8</f>
        <v>7741.8110226262534</v>
      </c>
      <c r="G11" s="687">
        <f>huishoudens!F8</f>
        <v>29875.319098605087</v>
      </c>
      <c r="H11" s="687">
        <f>huishoudens!G8</f>
        <v>0</v>
      </c>
      <c r="I11" s="687">
        <f>huishoudens!H8</f>
        <v>0</v>
      </c>
      <c r="J11" s="687">
        <f>huishoudens!I8</f>
        <v>0</v>
      </c>
      <c r="K11" s="687">
        <f>huishoudens!J8</f>
        <v>8628.7633459473673</v>
      </c>
      <c r="L11" s="687">
        <f>huishoudens!K8</f>
        <v>0</v>
      </c>
      <c r="M11" s="687">
        <f>huishoudens!L8</f>
        <v>0</v>
      </c>
      <c r="N11" s="687">
        <f>huishoudens!M8</f>
        <v>0</v>
      </c>
      <c r="O11" s="687">
        <f>huishoudens!N8</f>
        <v>30478.298929677912</v>
      </c>
      <c r="P11" s="687">
        <f>huishoudens!O8</f>
        <v>154.77000000000001</v>
      </c>
      <c r="Q11" s="688">
        <f>huishoudens!P8</f>
        <v>743.6</v>
      </c>
      <c r="R11" s="690">
        <f>SUM(C11:Q11)</f>
        <v>289353.91926263191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84146.576333318531</v>
      </c>
      <c r="D13" s="687">
        <f>industrie!C18</f>
        <v>0</v>
      </c>
      <c r="E13" s="687">
        <f>industrie!D18</f>
        <v>45515.693613989512</v>
      </c>
      <c r="F13" s="687">
        <f>industrie!E18</f>
        <v>912.74686455606127</v>
      </c>
      <c r="G13" s="687">
        <f>industrie!F18</f>
        <v>27637.533915353852</v>
      </c>
      <c r="H13" s="687">
        <f>industrie!G18</f>
        <v>0</v>
      </c>
      <c r="I13" s="687">
        <f>industrie!H18</f>
        <v>0</v>
      </c>
      <c r="J13" s="687">
        <f>industrie!I18</f>
        <v>0</v>
      </c>
      <c r="K13" s="687">
        <f>industrie!J18</f>
        <v>588.59156229208861</v>
      </c>
      <c r="L13" s="687">
        <f>industrie!K18</f>
        <v>0</v>
      </c>
      <c r="M13" s="687">
        <f>industrie!L18</f>
        <v>0</v>
      </c>
      <c r="N13" s="687">
        <f>industrie!M18</f>
        <v>0</v>
      </c>
      <c r="O13" s="687">
        <f>industrie!N18</f>
        <v>2467.0859803102308</v>
      </c>
      <c r="P13" s="687">
        <f>industrie!O18</f>
        <v>0</v>
      </c>
      <c r="Q13" s="688">
        <f>industrie!P18</f>
        <v>0</v>
      </c>
      <c r="R13" s="690">
        <f>SUM(C13:Q13)</f>
        <v>161268.22826982028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230846.74000954127</v>
      </c>
      <c r="D16" s="720">
        <f t="shared" ref="D16:R16" ca="1" si="0">SUM(D9:D15)</f>
        <v>0</v>
      </c>
      <c r="E16" s="720">
        <f t="shared" ca="1" si="0"/>
        <v>274010.8005563214</v>
      </c>
      <c r="F16" s="720">
        <f t="shared" si="0"/>
        <v>9655.8588969050452</v>
      </c>
      <c r="G16" s="720">
        <f t="shared" ca="1" si="0"/>
        <v>70834.3378343402</v>
      </c>
      <c r="H16" s="720">
        <f t="shared" si="0"/>
        <v>0</v>
      </c>
      <c r="I16" s="720">
        <f t="shared" si="0"/>
        <v>0</v>
      </c>
      <c r="J16" s="720">
        <f t="shared" si="0"/>
        <v>0</v>
      </c>
      <c r="K16" s="720">
        <f t="shared" si="0"/>
        <v>9217.3549082394566</v>
      </c>
      <c r="L16" s="720">
        <f t="shared" si="0"/>
        <v>0</v>
      </c>
      <c r="M16" s="720">
        <f t="shared" ca="1" si="0"/>
        <v>0</v>
      </c>
      <c r="N16" s="720">
        <f t="shared" si="0"/>
        <v>0</v>
      </c>
      <c r="O16" s="720">
        <f t="shared" ca="1" si="0"/>
        <v>35623.090233833405</v>
      </c>
      <c r="P16" s="720">
        <f t="shared" si="0"/>
        <v>156.33333333333334</v>
      </c>
      <c r="Q16" s="720">
        <f t="shared" si="0"/>
        <v>838.93333333333339</v>
      </c>
      <c r="R16" s="720">
        <f t="shared" ca="1" si="0"/>
        <v>631183.44910584739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2219.7749781624043</v>
      </c>
      <c r="I19" s="687">
        <f>transport!H54</f>
        <v>0</v>
      </c>
      <c r="J19" s="687">
        <f>transport!I54</f>
        <v>0</v>
      </c>
      <c r="K19" s="687">
        <f>transport!J54</f>
        <v>0</v>
      </c>
      <c r="L19" s="687">
        <f>transport!K54</f>
        <v>0</v>
      </c>
      <c r="M19" s="687">
        <f>transport!L54</f>
        <v>0</v>
      </c>
      <c r="N19" s="687">
        <f>transport!M54</f>
        <v>94.619363558687098</v>
      </c>
      <c r="O19" s="687">
        <f>transport!N54</f>
        <v>0</v>
      </c>
      <c r="P19" s="687">
        <f>transport!O54</f>
        <v>0</v>
      </c>
      <c r="Q19" s="688">
        <f>transport!P54</f>
        <v>0</v>
      </c>
      <c r="R19" s="690">
        <f>SUM(C19:Q19)</f>
        <v>2314.3943417210912</v>
      </c>
      <c r="S19" s="67"/>
    </row>
    <row r="20" spans="1:19" s="456" customFormat="1">
      <c r="A20" s="802" t="s">
        <v>307</v>
      </c>
      <c r="B20" s="807"/>
      <c r="C20" s="687">
        <f>transport!B14</f>
        <v>2.9553314747160888</v>
      </c>
      <c r="D20" s="687">
        <f>transport!C14</f>
        <v>0</v>
      </c>
      <c r="E20" s="687">
        <f>transport!D14</f>
        <v>14.67793658140458</v>
      </c>
      <c r="F20" s="687">
        <f>transport!E14</f>
        <v>1697.7792645877043</v>
      </c>
      <c r="G20" s="687">
        <f>transport!F14</f>
        <v>0</v>
      </c>
      <c r="H20" s="687">
        <f>transport!G14</f>
        <v>365732.98140587553</v>
      </c>
      <c r="I20" s="687">
        <f>transport!H14</f>
        <v>50391.164289804823</v>
      </c>
      <c r="J20" s="687">
        <f>transport!I14</f>
        <v>0</v>
      </c>
      <c r="K20" s="687">
        <f>transport!J14</f>
        <v>0</v>
      </c>
      <c r="L20" s="687">
        <f>transport!K14</f>
        <v>0</v>
      </c>
      <c r="M20" s="687">
        <f>transport!L14</f>
        <v>0</v>
      </c>
      <c r="N20" s="687">
        <f>transport!M14</f>
        <v>18124.539398917648</v>
      </c>
      <c r="O20" s="687">
        <f>transport!N14</f>
        <v>0</v>
      </c>
      <c r="P20" s="687">
        <f>transport!O14</f>
        <v>0</v>
      </c>
      <c r="Q20" s="688">
        <f>transport!P14</f>
        <v>0</v>
      </c>
      <c r="R20" s="690">
        <f>SUM(C20:Q20)</f>
        <v>435964.0976272418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2.9553314747160888</v>
      </c>
      <c r="D22" s="805">
        <f t="shared" ref="D22:R22" si="1">SUM(D18:D21)</f>
        <v>0</v>
      </c>
      <c r="E22" s="805">
        <f t="shared" si="1"/>
        <v>14.67793658140458</v>
      </c>
      <c r="F22" s="805">
        <f t="shared" si="1"/>
        <v>1697.7792645877043</v>
      </c>
      <c r="G22" s="805">
        <f t="shared" si="1"/>
        <v>0</v>
      </c>
      <c r="H22" s="805">
        <f t="shared" si="1"/>
        <v>367952.75638403796</v>
      </c>
      <c r="I22" s="805">
        <f t="shared" si="1"/>
        <v>50391.164289804823</v>
      </c>
      <c r="J22" s="805">
        <f t="shared" si="1"/>
        <v>0</v>
      </c>
      <c r="K22" s="805">
        <f t="shared" si="1"/>
        <v>0</v>
      </c>
      <c r="L22" s="805">
        <f t="shared" si="1"/>
        <v>0</v>
      </c>
      <c r="M22" s="805">
        <f t="shared" si="1"/>
        <v>0</v>
      </c>
      <c r="N22" s="805">
        <f t="shared" si="1"/>
        <v>18219.158762476334</v>
      </c>
      <c r="O22" s="805">
        <f t="shared" si="1"/>
        <v>0</v>
      </c>
      <c r="P22" s="805">
        <f t="shared" si="1"/>
        <v>0</v>
      </c>
      <c r="Q22" s="805">
        <f t="shared" si="1"/>
        <v>0</v>
      </c>
      <c r="R22" s="805">
        <f t="shared" si="1"/>
        <v>438278.49196896289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4195.5817827432347</v>
      </c>
      <c r="D24" s="687">
        <f>+landbouw!C8</f>
        <v>0</v>
      </c>
      <c r="E24" s="687">
        <f>+landbouw!D8</f>
        <v>5149.8763303169071</v>
      </c>
      <c r="F24" s="687">
        <f>+landbouw!E8</f>
        <v>43.93704073530261</v>
      </c>
      <c r="G24" s="687">
        <f>+landbouw!F8</f>
        <v>17960.277995238124</v>
      </c>
      <c r="H24" s="687">
        <f>+landbouw!G8</f>
        <v>0</v>
      </c>
      <c r="I24" s="687">
        <f>+landbouw!H8</f>
        <v>0</v>
      </c>
      <c r="J24" s="687">
        <f>+landbouw!I8</f>
        <v>0</v>
      </c>
      <c r="K24" s="687">
        <f>+landbouw!J8</f>
        <v>374.70305884002914</v>
      </c>
      <c r="L24" s="687">
        <f>+landbouw!K8</f>
        <v>0</v>
      </c>
      <c r="M24" s="687">
        <f>+landbouw!L8</f>
        <v>0</v>
      </c>
      <c r="N24" s="687">
        <f>+landbouw!M8</f>
        <v>0</v>
      </c>
      <c r="O24" s="687">
        <f>+landbouw!N8</f>
        <v>0</v>
      </c>
      <c r="P24" s="687">
        <f>+landbouw!O8</f>
        <v>0</v>
      </c>
      <c r="Q24" s="688">
        <f>+landbouw!P8</f>
        <v>0</v>
      </c>
      <c r="R24" s="690">
        <f>SUM(C24:Q24)</f>
        <v>27724.376207873596</v>
      </c>
      <c r="S24" s="67"/>
    </row>
    <row r="25" spans="1:19" s="456" customFormat="1" ht="15" thickBot="1">
      <c r="A25" s="824" t="s">
        <v>925</v>
      </c>
      <c r="B25" s="988"/>
      <c r="C25" s="989">
        <f>IF(Onbekend_ele_kWh="---",0,Onbekend_ele_kWh)/1000+IF(REST_rest_ele_kWh="---",0,REST_rest_ele_kWh)/1000</f>
        <v>3792.9796338952397</v>
      </c>
      <c r="D25" s="989"/>
      <c r="E25" s="989">
        <f>IF(onbekend_gas_kWh="---",0,onbekend_gas_kWh)/1000+IF(REST_rest_gas_kWh="---",0,REST_rest_gas_kWh)/1000</f>
        <v>7588.4956441890299</v>
      </c>
      <c r="F25" s="989"/>
      <c r="G25" s="989"/>
      <c r="H25" s="989"/>
      <c r="I25" s="989"/>
      <c r="J25" s="989"/>
      <c r="K25" s="989"/>
      <c r="L25" s="989"/>
      <c r="M25" s="989"/>
      <c r="N25" s="989"/>
      <c r="O25" s="989"/>
      <c r="P25" s="989"/>
      <c r="Q25" s="990"/>
      <c r="R25" s="690">
        <f>SUM(C25:Q25)</f>
        <v>11381.47527808427</v>
      </c>
      <c r="S25" s="67"/>
    </row>
    <row r="26" spans="1:19" s="456" customFormat="1" ht="15.75" thickBot="1">
      <c r="A26" s="693" t="s">
        <v>926</v>
      </c>
      <c r="B26" s="810"/>
      <c r="C26" s="805">
        <f>SUM(C24:C25)</f>
        <v>7988.5614166384748</v>
      </c>
      <c r="D26" s="805">
        <f t="shared" ref="D26:R26" si="2">SUM(D24:D25)</f>
        <v>0</v>
      </c>
      <c r="E26" s="805">
        <f t="shared" si="2"/>
        <v>12738.371974505937</v>
      </c>
      <c r="F26" s="805">
        <f t="shared" si="2"/>
        <v>43.93704073530261</v>
      </c>
      <c r="G26" s="805">
        <f t="shared" si="2"/>
        <v>17960.277995238124</v>
      </c>
      <c r="H26" s="805">
        <f t="shared" si="2"/>
        <v>0</v>
      </c>
      <c r="I26" s="805">
        <f t="shared" si="2"/>
        <v>0</v>
      </c>
      <c r="J26" s="805">
        <f t="shared" si="2"/>
        <v>0</v>
      </c>
      <c r="K26" s="805">
        <f t="shared" si="2"/>
        <v>374.70305884002914</v>
      </c>
      <c r="L26" s="805">
        <f t="shared" si="2"/>
        <v>0</v>
      </c>
      <c r="M26" s="805">
        <f t="shared" si="2"/>
        <v>0</v>
      </c>
      <c r="N26" s="805">
        <f t="shared" si="2"/>
        <v>0</v>
      </c>
      <c r="O26" s="805">
        <f t="shared" si="2"/>
        <v>0</v>
      </c>
      <c r="P26" s="805">
        <f t="shared" si="2"/>
        <v>0</v>
      </c>
      <c r="Q26" s="805">
        <f t="shared" si="2"/>
        <v>0</v>
      </c>
      <c r="R26" s="805">
        <f t="shared" si="2"/>
        <v>39105.851485957864</v>
      </c>
      <c r="S26" s="67"/>
    </row>
    <row r="27" spans="1:19" s="456" customFormat="1" ht="17.25" thickTop="1" thickBot="1">
      <c r="A27" s="694" t="s">
        <v>116</v>
      </c>
      <c r="B27" s="797"/>
      <c r="C27" s="695">
        <f ca="1">C22+C16+C26</f>
        <v>238838.25675765445</v>
      </c>
      <c r="D27" s="695">
        <f t="shared" ref="D27:R27" ca="1" si="3">D22+D16+D26</f>
        <v>0</v>
      </c>
      <c r="E27" s="695">
        <f t="shared" ca="1" si="3"/>
        <v>286763.85046740877</v>
      </c>
      <c r="F27" s="695">
        <f t="shared" si="3"/>
        <v>11397.57520222805</v>
      </c>
      <c r="G27" s="695">
        <f t="shared" ca="1" si="3"/>
        <v>88794.615829578324</v>
      </c>
      <c r="H27" s="695">
        <f t="shared" si="3"/>
        <v>367952.75638403796</v>
      </c>
      <c r="I27" s="695">
        <f t="shared" si="3"/>
        <v>50391.164289804823</v>
      </c>
      <c r="J27" s="695">
        <f t="shared" si="3"/>
        <v>0</v>
      </c>
      <c r="K27" s="695">
        <f t="shared" si="3"/>
        <v>9592.057967079485</v>
      </c>
      <c r="L27" s="695">
        <f t="shared" si="3"/>
        <v>0</v>
      </c>
      <c r="M27" s="695">
        <f t="shared" ca="1" si="3"/>
        <v>0</v>
      </c>
      <c r="N27" s="695">
        <f t="shared" si="3"/>
        <v>18219.158762476334</v>
      </c>
      <c r="O27" s="695">
        <f t="shared" ca="1" si="3"/>
        <v>35623.090233833405</v>
      </c>
      <c r="P27" s="695">
        <f t="shared" si="3"/>
        <v>156.33333333333334</v>
      </c>
      <c r="Q27" s="695">
        <f t="shared" si="3"/>
        <v>838.93333333333339</v>
      </c>
      <c r="R27" s="695">
        <f t="shared" ca="1" si="3"/>
        <v>1108567.7925607681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15593.703691327381</v>
      </c>
      <c r="D40" s="687">
        <f ca="1">tertiair!C20</f>
        <v>0</v>
      </c>
      <c r="E40" s="687">
        <f ca="1">tertiair!D20</f>
        <v>18345.341991851546</v>
      </c>
      <c r="F40" s="687">
        <f>tertiair!E20</f>
        <v>227.29532920705984</v>
      </c>
      <c r="G40" s="687">
        <f ca="1">tertiair!F20</f>
        <v>3556.8364470417969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37723.177459427781</v>
      </c>
    </row>
    <row r="41" spans="1:18">
      <c r="A41" s="815" t="s">
        <v>225</v>
      </c>
      <c r="B41" s="822"/>
      <c r="C41" s="687">
        <f ca="1">huishoudens!B12</f>
        <v>15896.235505727531</v>
      </c>
      <c r="D41" s="687">
        <f ca="1">huishoudens!C12</f>
        <v>0</v>
      </c>
      <c r="E41" s="687">
        <f>huishoudens!D12</f>
        <v>27810.669610499492</v>
      </c>
      <c r="F41" s="687">
        <f>huishoudens!E12</f>
        <v>1757.3911021361596</v>
      </c>
      <c r="G41" s="687">
        <f>huishoudens!F12</f>
        <v>7976.7101993275583</v>
      </c>
      <c r="H41" s="687">
        <f>huishoudens!G12</f>
        <v>0</v>
      </c>
      <c r="I41" s="687">
        <f>huishoudens!H12</f>
        <v>0</v>
      </c>
      <c r="J41" s="687">
        <f>huishoudens!I12</f>
        <v>0</v>
      </c>
      <c r="K41" s="687">
        <f>huishoudens!J12</f>
        <v>3054.5822244653677</v>
      </c>
      <c r="L41" s="687">
        <f>huishoudens!K12</f>
        <v>0</v>
      </c>
      <c r="M41" s="687">
        <f>huishoudens!L12</f>
        <v>0</v>
      </c>
      <c r="N41" s="687">
        <f>huishoudens!M12</f>
        <v>0</v>
      </c>
      <c r="O41" s="687">
        <f>huishoudens!N12</f>
        <v>0</v>
      </c>
      <c r="P41" s="687">
        <f>huishoudens!O12</f>
        <v>0</v>
      </c>
      <c r="Q41" s="762">
        <f>huishoudens!P12</f>
        <v>0</v>
      </c>
      <c r="R41" s="843">
        <f t="shared" ca="1" si="4"/>
        <v>56495.588642156101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18062.49226977527</v>
      </c>
      <c r="D43" s="687">
        <f ca="1">industrie!C22</f>
        <v>0</v>
      </c>
      <c r="E43" s="687">
        <f>industrie!D22</f>
        <v>9194.1701100258815</v>
      </c>
      <c r="F43" s="687">
        <f>industrie!E22</f>
        <v>207.19353825422593</v>
      </c>
      <c r="G43" s="687">
        <f>industrie!F22</f>
        <v>7379.2215553994783</v>
      </c>
      <c r="H43" s="687">
        <f>industrie!G22</f>
        <v>0</v>
      </c>
      <c r="I43" s="687">
        <f>industrie!H22</f>
        <v>0</v>
      </c>
      <c r="J43" s="687">
        <f>industrie!I22</f>
        <v>0</v>
      </c>
      <c r="K43" s="687">
        <f>industrie!J22</f>
        <v>208.36141305139935</v>
      </c>
      <c r="L43" s="687">
        <f>industrie!K22</f>
        <v>0</v>
      </c>
      <c r="M43" s="687">
        <f>industrie!L22</f>
        <v>0</v>
      </c>
      <c r="N43" s="687">
        <f>industrie!M22</f>
        <v>0</v>
      </c>
      <c r="O43" s="687">
        <f>industrie!N22</f>
        <v>0</v>
      </c>
      <c r="P43" s="687">
        <f>industrie!O22</f>
        <v>0</v>
      </c>
      <c r="Q43" s="762">
        <f>industrie!P22</f>
        <v>0</v>
      </c>
      <c r="R43" s="842">
        <f t="shared" ca="1" si="4"/>
        <v>35051.43888650625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49552.431466830181</v>
      </c>
      <c r="D46" s="720">
        <f t="shared" ref="D46:Q46" ca="1" si="5">SUM(D39:D45)</f>
        <v>0</v>
      </c>
      <c r="E46" s="720">
        <f t="shared" ca="1" si="5"/>
        <v>55350.181712376914</v>
      </c>
      <c r="F46" s="720">
        <f t="shared" si="5"/>
        <v>2191.8799695974453</v>
      </c>
      <c r="G46" s="720">
        <f t="shared" ca="1" si="5"/>
        <v>18912.768201768835</v>
      </c>
      <c r="H46" s="720">
        <f t="shared" si="5"/>
        <v>0</v>
      </c>
      <c r="I46" s="720">
        <f t="shared" si="5"/>
        <v>0</v>
      </c>
      <c r="J46" s="720">
        <f t="shared" si="5"/>
        <v>0</v>
      </c>
      <c r="K46" s="720">
        <f t="shared" si="5"/>
        <v>3262.943637516767</v>
      </c>
      <c r="L46" s="720">
        <f t="shared" si="5"/>
        <v>0</v>
      </c>
      <c r="M46" s="720">
        <f t="shared" ca="1" si="5"/>
        <v>0</v>
      </c>
      <c r="N46" s="720">
        <f t="shared" si="5"/>
        <v>0</v>
      </c>
      <c r="O46" s="720">
        <f t="shared" ca="1" si="5"/>
        <v>0</v>
      </c>
      <c r="P46" s="720">
        <f t="shared" si="5"/>
        <v>0</v>
      </c>
      <c r="Q46" s="720">
        <f t="shared" si="5"/>
        <v>0</v>
      </c>
      <c r="R46" s="720">
        <f ca="1">SUM(R39:R45)</f>
        <v>129270.20498809013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592.67991916936194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592.67991916936194</v>
      </c>
    </row>
    <row r="50" spans="1:18">
      <c r="A50" s="818" t="s">
        <v>307</v>
      </c>
      <c r="B50" s="828"/>
      <c r="C50" s="995">
        <f ca="1">transport!B18</f>
        <v>0.6343769912305558</v>
      </c>
      <c r="D50" s="995">
        <f>transport!C18</f>
        <v>0</v>
      </c>
      <c r="E50" s="995">
        <f>transport!D18</f>
        <v>2.9649431894437255</v>
      </c>
      <c r="F50" s="995">
        <f>transport!E18</f>
        <v>385.39589306140891</v>
      </c>
      <c r="G50" s="995">
        <f>transport!F18</f>
        <v>0</v>
      </c>
      <c r="H50" s="995">
        <f>transport!G18</f>
        <v>97650.70603536877</v>
      </c>
      <c r="I50" s="995">
        <f>transport!H18</f>
        <v>12547.3999081614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110587.10115677226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0.6343769912305558</v>
      </c>
      <c r="D52" s="720">
        <f t="shared" ref="D52:Q52" ca="1" si="6">SUM(D48:D51)</f>
        <v>0</v>
      </c>
      <c r="E52" s="720">
        <f t="shared" si="6"/>
        <v>2.9649431894437255</v>
      </c>
      <c r="F52" s="720">
        <f t="shared" si="6"/>
        <v>385.39589306140891</v>
      </c>
      <c r="G52" s="720">
        <f t="shared" si="6"/>
        <v>0</v>
      </c>
      <c r="H52" s="720">
        <f t="shared" si="6"/>
        <v>98243.385954538127</v>
      </c>
      <c r="I52" s="720">
        <f t="shared" si="6"/>
        <v>12547.3999081614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111179.78107594162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900.60305267586807</v>
      </c>
      <c r="D54" s="995">
        <f ca="1">+landbouw!C12</f>
        <v>0</v>
      </c>
      <c r="E54" s="995">
        <f>+landbouw!D12</f>
        <v>1040.2750187240154</v>
      </c>
      <c r="F54" s="995">
        <f>+landbouw!E12</f>
        <v>9.9737082469136933</v>
      </c>
      <c r="G54" s="995">
        <f>+landbouw!F12</f>
        <v>4795.3942247285795</v>
      </c>
      <c r="H54" s="995">
        <f>+landbouw!G12</f>
        <v>0</v>
      </c>
      <c r="I54" s="995">
        <f>+landbouw!H12</f>
        <v>0</v>
      </c>
      <c r="J54" s="995">
        <f>+landbouw!I12</f>
        <v>0</v>
      </c>
      <c r="K54" s="995">
        <f>+landbouw!J12</f>
        <v>132.64488282937032</v>
      </c>
      <c r="L54" s="995">
        <f>+landbouw!K12</f>
        <v>0</v>
      </c>
      <c r="M54" s="995">
        <f>+landbouw!L12</f>
        <v>0</v>
      </c>
      <c r="N54" s="995">
        <f>+landbouw!M12</f>
        <v>0</v>
      </c>
      <c r="O54" s="995">
        <f>+landbouw!N12</f>
        <v>0</v>
      </c>
      <c r="P54" s="995">
        <f>+landbouw!O12</f>
        <v>0</v>
      </c>
      <c r="Q54" s="996">
        <f>+landbouw!P12</f>
        <v>0</v>
      </c>
      <c r="R54" s="719">
        <f ca="1">SUM(C54:Q54)</f>
        <v>6878.8908872047468</v>
      </c>
    </row>
    <row r="55" spans="1:18" ht="15" thickBot="1">
      <c r="A55" s="818" t="s">
        <v>925</v>
      </c>
      <c r="B55" s="828"/>
      <c r="C55" s="995">
        <f ca="1">C25*'EF ele_warmte'!B12</f>
        <v>814.18244570362208</v>
      </c>
      <c r="D55" s="995"/>
      <c r="E55" s="995">
        <f>E25*EF_CO2_aardgas</f>
        <v>1532.8761201261841</v>
      </c>
      <c r="F55" s="995"/>
      <c r="G55" s="995"/>
      <c r="H55" s="995"/>
      <c r="I55" s="995"/>
      <c r="J55" s="995"/>
      <c r="K55" s="995"/>
      <c r="L55" s="995"/>
      <c r="M55" s="995"/>
      <c r="N55" s="995"/>
      <c r="O55" s="995"/>
      <c r="P55" s="995"/>
      <c r="Q55" s="996"/>
      <c r="R55" s="719">
        <f ca="1">SUM(C55:Q55)</f>
        <v>2347.058565829806</v>
      </c>
    </row>
    <row r="56" spans="1:18" ht="15.75" thickBot="1">
      <c r="A56" s="816" t="s">
        <v>926</v>
      </c>
      <c r="B56" s="829"/>
      <c r="C56" s="720">
        <f ca="1">SUM(C54:C55)</f>
        <v>1714.78549837949</v>
      </c>
      <c r="D56" s="720">
        <f t="shared" ref="D56:Q56" ca="1" si="7">SUM(D54:D55)</f>
        <v>0</v>
      </c>
      <c r="E56" s="720">
        <f t="shared" si="7"/>
        <v>2573.1511388501995</v>
      </c>
      <c r="F56" s="720">
        <f t="shared" si="7"/>
        <v>9.9737082469136933</v>
      </c>
      <c r="G56" s="720">
        <f t="shared" si="7"/>
        <v>4795.3942247285795</v>
      </c>
      <c r="H56" s="720">
        <f t="shared" si="7"/>
        <v>0</v>
      </c>
      <c r="I56" s="720">
        <f t="shared" si="7"/>
        <v>0</v>
      </c>
      <c r="J56" s="720">
        <f t="shared" si="7"/>
        <v>0</v>
      </c>
      <c r="K56" s="720">
        <f t="shared" si="7"/>
        <v>132.64488282937032</v>
      </c>
      <c r="L56" s="720">
        <f t="shared" si="7"/>
        <v>0</v>
      </c>
      <c r="M56" s="720">
        <f t="shared" si="7"/>
        <v>0</v>
      </c>
      <c r="N56" s="720">
        <f t="shared" si="7"/>
        <v>0</v>
      </c>
      <c r="O56" s="720">
        <f t="shared" si="7"/>
        <v>0</v>
      </c>
      <c r="P56" s="720">
        <f t="shared" si="7"/>
        <v>0</v>
      </c>
      <c r="Q56" s="721">
        <f t="shared" si="7"/>
        <v>0</v>
      </c>
      <c r="R56" s="722">
        <f ca="1">SUM(R54:R55)</f>
        <v>9225.9494530345528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51267.851342200898</v>
      </c>
      <c r="D61" s="728">
        <f t="shared" ref="D61:Q61" ca="1" si="8">D46+D52+D56</f>
        <v>0</v>
      </c>
      <c r="E61" s="728">
        <f t="shared" ca="1" si="8"/>
        <v>57926.297794416554</v>
      </c>
      <c r="F61" s="728">
        <f t="shared" si="8"/>
        <v>2587.249570905768</v>
      </c>
      <c r="G61" s="728">
        <f t="shared" ca="1" si="8"/>
        <v>23708.162426497416</v>
      </c>
      <c r="H61" s="728">
        <f t="shared" si="8"/>
        <v>98243.385954538127</v>
      </c>
      <c r="I61" s="728">
        <f t="shared" si="8"/>
        <v>12547.3999081614</v>
      </c>
      <c r="J61" s="728">
        <f t="shared" si="8"/>
        <v>0</v>
      </c>
      <c r="K61" s="728">
        <f t="shared" si="8"/>
        <v>3395.5885203461376</v>
      </c>
      <c r="L61" s="728">
        <f t="shared" si="8"/>
        <v>0</v>
      </c>
      <c r="M61" s="728">
        <f t="shared" ca="1" si="8"/>
        <v>0</v>
      </c>
      <c r="N61" s="728">
        <f t="shared" si="8"/>
        <v>0</v>
      </c>
      <c r="O61" s="728">
        <f t="shared" ca="1" si="8"/>
        <v>0</v>
      </c>
      <c r="P61" s="728">
        <f t="shared" si="8"/>
        <v>0</v>
      </c>
      <c r="Q61" s="728">
        <f t="shared" si="8"/>
        <v>0</v>
      </c>
      <c r="R61" s="728">
        <f ca="1">R46+R52+R56</f>
        <v>249675.9355170663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0.21465510608805694</v>
      </c>
      <c r="D63" s="772">
        <f t="shared" ca="1" si="9"/>
        <v>0</v>
      </c>
      <c r="E63" s="997">
        <f t="shared" ca="1" si="9"/>
        <v>0.20199999999999993</v>
      </c>
      <c r="F63" s="772">
        <f t="shared" si="9"/>
        <v>0.22700000000000006</v>
      </c>
      <c r="G63" s="772">
        <f t="shared" ca="1" si="9"/>
        <v>0.26700000000000002</v>
      </c>
      <c r="H63" s="772">
        <f t="shared" si="9"/>
        <v>0.26699999999999996</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6857.0289648902217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6857.0289648902217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6857.0289648902217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6857.0289648902217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74054.774635579801</v>
      </c>
      <c r="C4" s="460">
        <f>huishoudens!C8</f>
        <v>0</v>
      </c>
      <c r="D4" s="460">
        <f>huishoudens!D8</f>
        <v>137676.58223019549</v>
      </c>
      <c r="E4" s="460">
        <f>huishoudens!E8</f>
        <v>7741.8110226262534</v>
      </c>
      <c r="F4" s="460">
        <f>huishoudens!F8</f>
        <v>29875.319098605087</v>
      </c>
      <c r="G4" s="460">
        <f>huishoudens!G8</f>
        <v>0</v>
      </c>
      <c r="H4" s="460">
        <f>huishoudens!H8</f>
        <v>0</v>
      </c>
      <c r="I4" s="460">
        <f>huishoudens!I8</f>
        <v>0</v>
      </c>
      <c r="J4" s="460">
        <f>huishoudens!J8</f>
        <v>8628.7633459473673</v>
      </c>
      <c r="K4" s="460">
        <f>huishoudens!K8</f>
        <v>0</v>
      </c>
      <c r="L4" s="460">
        <f>huishoudens!L8</f>
        <v>0</v>
      </c>
      <c r="M4" s="460">
        <f>huishoudens!M8</f>
        <v>0</v>
      </c>
      <c r="N4" s="460">
        <f>huishoudens!N8</f>
        <v>30478.298929677912</v>
      </c>
      <c r="O4" s="460">
        <f>huishoudens!O8</f>
        <v>154.77000000000001</v>
      </c>
      <c r="P4" s="461">
        <f>huishoudens!P8</f>
        <v>743.6</v>
      </c>
      <c r="Q4" s="462">
        <f>SUM(B4:P4)</f>
        <v>289353.91926263191</v>
      </c>
    </row>
    <row r="5" spans="1:17">
      <c r="A5" s="459" t="s">
        <v>156</v>
      </c>
      <c r="B5" s="460">
        <f ca="1">tertiair!B16</f>
        <v>69948.19804064295</v>
      </c>
      <c r="C5" s="460">
        <f ca="1">tertiair!C16</f>
        <v>0</v>
      </c>
      <c r="D5" s="460">
        <f ca="1">tertiair!D16</f>
        <v>90818.524712136365</v>
      </c>
      <c r="E5" s="460">
        <f>tertiair!E16</f>
        <v>1001.3010097227306</v>
      </c>
      <c r="F5" s="460">
        <f ca="1">tertiair!F16</f>
        <v>13321.484820381262</v>
      </c>
      <c r="G5" s="460">
        <f>tertiair!G16</f>
        <v>0</v>
      </c>
      <c r="H5" s="460">
        <f>tertiair!H16</f>
        <v>0</v>
      </c>
      <c r="I5" s="460">
        <f>tertiair!I16</f>
        <v>0</v>
      </c>
      <c r="J5" s="460">
        <f>tertiair!J16</f>
        <v>0</v>
      </c>
      <c r="K5" s="460">
        <f>tertiair!K16</f>
        <v>0</v>
      </c>
      <c r="L5" s="460">
        <f ca="1">tertiair!L16</f>
        <v>0</v>
      </c>
      <c r="M5" s="460">
        <f>tertiair!M16</f>
        <v>0</v>
      </c>
      <c r="N5" s="460">
        <f ca="1">tertiair!N16</f>
        <v>2677.7053238452622</v>
      </c>
      <c r="O5" s="460">
        <f>tertiair!O16</f>
        <v>1.5633333333333335</v>
      </c>
      <c r="P5" s="461">
        <f>tertiair!P16</f>
        <v>95.333333333333343</v>
      </c>
      <c r="Q5" s="459">
        <f t="shared" ref="Q5:Q14" ca="1" si="0">SUM(B5:P5)</f>
        <v>177864.11057339524</v>
      </c>
    </row>
    <row r="6" spans="1:17">
      <c r="A6" s="459" t="s">
        <v>194</v>
      </c>
      <c r="B6" s="460">
        <f>'openbare verlichting'!B8</f>
        <v>2697.1909999999998</v>
      </c>
      <c r="C6" s="460"/>
      <c r="D6" s="460"/>
      <c r="E6" s="460"/>
      <c r="F6" s="460"/>
      <c r="G6" s="460"/>
      <c r="H6" s="460"/>
      <c r="I6" s="460"/>
      <c r="J6" s="460"/>
      <c r="K6" s="460"/>
      <c r="L6" s="460"/>
      <c r="M6" s="460"/>
      <c r="N6" s="460"/>
      <c r="O6" s="460"/>
      <c r="P6" s="461"/>
      <c r="Q6" s="459">
        <f t="shared" si="0"/>
        <v>2697.1909999999998</v>
      </c>
    </row>
    <row r="7" spans="1:17">
      <c r="A7" s="459" t="s">
        <v>112</v>
      </c>
      <c r="B7" s="460">
        <f>landbouw!B8</f>
        <v>4195.5817827432347</v>
      </c>
      <c r="C7" s="460">
        <f>landbouw!C8</f>
        <v>0</v>
      </c>
      <c r="D7" s="460">
        <f>landbouw!D8</f>
        <v>5149.8763303169071</v>
      </c>
      <c r="E7" s="460">
        <f>landbouw!E8</f>
        <v>43.93704073530261</v>
      </c>
      <c r="F7" s="460">
        <f>landbouw!F8</f>
        <v>17960.277995238124</v>
      </c>
      <c r="G7" s="460">
        <f>landbouw!G8</f>
        <v>0</v>
      </c>
      <c r="H7" s="460">
        <f>landbouw!H8</f>
        <v>0</v>
      </c>
      <c r="I7" s="460">
        <f>landbouw!I8</f>
        <v>0</v>
      </c>
      <c r="J7" s="460">
        <f>landbouw!J8</f>
        <v>374.70305884002914</v>
      </c>
      <c r="K7" s="460">
        <f>landbouw!K8</f>
        <v>0</v>
      </c>
      <c r="L7" s="460">
        <f>landbouw!L8</f>
        <v>0</v>
      </c>
      <c r="M7" s="460">
        <f>landbouw!M8</f>
        <v>0</v>
      </c>
      <c r="N7" s="460">
        <f>landbouw!N8</f>
        <v>0</v>
      </c>
      <c r="O7" s="460">
        <f>landbouw!O8</f>
        <v>0</v>
      </c>
      <c r="P7" s="461">
        <f>landbouw!P8</f>
        <v>0</v>
      </c>
      <c r="Q7" s="459">
        <f t="shared" si="0"/>
        <v>27724.376207873596</v>
      </c>
    </row>
    <row r="8" spans="1:17">
      <c r="A8" s="459" t="s">
        <v>655</v>
      </c>
      <c r="B8" s="460">
        <f>industrie!B18</f>
        <v>84146.576333318531</v>
      </c>
      <c r="C8" s="460">
        <f>industrie!C18</f>
        <v>0</v>
      </c>
      <c r="D8" s="460">
        <f>industrie!D18</f>
        <v>45515.693613989512</v>
      </c>
      <c r="E8" s="460">
        <f>industrie!E18</f>
        <v>912.74686455606127</v>
      </c>
      <c r="F8" s="460">
        <f>industrie!F18</f>
        <v>27637.533915353852</v>
      </c>
      <c r="G8" s="460">
        <f>industrie!G18</f>
        <v>0</v>
      </c>
      <c r="H8" s="460">
        <f>industrie!H18</f>
        <v>0</v>
      </c>
      <c r="I8" s="460">
        <f>industrie!I18</f>
        <v>0</v>
      </c>
      <c r="J8" s="460">
        <f>industrie!J18</f>
        <v>588.59156229208861</v>
      </c>
      <c r="K8" s="460">
        <f>industrie!K18</f>
        <v>0</v>
      </c>
      <c r="L8" s="460">
        <f>industrie!L18</f>
        <v>0</v>
      </c>
      <c r="M8" s="460">
        <f>industrie!M18</f>
        <v>0</v>
      </c>
      <c r="N8" s="460">
        <f>industrie!N18</f>
        <v>2467.0859803102308</v>
      </c>
      <c r="O8" s="460">
        <f>industrie!O18</f>
        <v>0</v>
      </c>
      <c r="P8" s="461">
        <f>industrie!P18</f>
        <v>0</v>
      </c>
      <c r="Q8" s="459">
        <f t="shared" si="0"/>
        <v>161268.22826982028</v>
      </c>
    </row>
    <row r="9" spans="1:17" s="465" customFormat="1">
      <c r="A9" s="463" t="s">
        <v>573</v>
      </c>
      <c r="B9" s="464">
        <f>transport!B14</f>
        <v>2.9553314747160888</v>
      </c>
      <c r="C9" s="464">
        <f>transport!C14</f>
        <v>0</v>
      </c>
      <c r="D9" s="464">
        <f>transport!D14</f>
        <v>14.67793658140458</v>
      </c>
      <c r="E9" s="464">
        <f>transport!E14</f>
        <v>1697.7792645877043</v>
      </c>
      <c r="F9" s="464">
        <f>transport!F14</f>
        <v>0</v>
      </c>
      <c r="G9" s="464">
        <f>transport!G14</f>
        <v>365732.98140587553</v>
      </c>
      <c r="H9" s="464">
        <f>transport!H14</f>
        <v>50391.164289804823</v>
      </c>
      <c r="I9" s="464">
        <f>transport!I14</f>
        <v>0</v>
      </c>
      <c r="J9" s="464">
        <f>transport!J14</f>
        <v>0</v>
      </c>
      <c r="K9" s="464">
        <f>transport!K14</f>
        <v>0</v>
      </c>
      <c r="L9" s="464">
        <f>transport!L14</f>
        <v>0</v>
      </c>
      <c r="M9" s="464">
        <f>transport!M14</f>
        <v>18124.539398917648</v>
      </c>
      <c r="N9" s="464">
        <f>transport!N14</f>
        <v>0</v>
      </c>
      <c r="O9" s="464">
        <f>transport!O14</f>
        <v>0</v>
      </c>
      <c r="P9" s="464">
        <f>transport!P14</f>
        <v>0</v>
      </c>
      <c r="Q9" s="463">
        <f>SUM(B9:P9)</f>
        <v>435964.0976272418</v>
      </c>
    </row>
    <row r="10" spans="1:17">
      <c r="A10" s="459" t="s">
        <v>563</v>
      </c>
      <c r="B10" s="460">
        <f>transport!B54</f>
        <v>0</v>
      </c>
      <c r="C10" s="460">
        <f>transport!C54</f>
        <v>0</v>
      </c>
      <c r="D10" s="460">
        <f>transport!D54</f>
        <v>0</v>
      </c>
      <c r="E10" s="460">
        <f>transport!E54</f>
        <v>0</v>
      </c>
      <c r="F10" s="460">
        <f>transport!F54</f>
        <v>0</v>
      </c>
      <c r="G10" s="460">
        <f>transport!G54</f>
        <v>2219.7749781624043</v>
      </c>
      <c r="H10" s="460">
        <f>transport!H54</f>
        <v>0</v>
      </c>
      <c r="I10" s="460">
        <f>transport!I54</f>
        <v>0</v>
      </c>
      <c r="J10" s="460">
        <f>transport!J54</f>
        <v>0</v>
      </c>
      <c r="K10" s="460">
        <f>transport!K54</f>
        <v>0</v>
      </c>
      <c r="L10" s="460">
        <f>transport!L54</f>
        <v>0</v>
      </c>
      <c r="M10" s="460">
        <f>transport!M54</f>
        <v>94.619363558687098</v>
      </c>
      <c r="N10" s="460">
        <f>transport!N54</f>
        <v>0</v>
      </c>
      <c r="O10" s="460">
        <f>transport!O54</f>
        <v>0</v>
      </c>
      <c r="P10" s="461">
        <f>transport!P54</f>
        <v>0</v>
      </c>
      <c r="Q10" s="459">
        <f t="shared" si="0"/>
        <v>2314.3943417210912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3792.9796338952397</v>
      </c>
      <c r="C14" s="467"/>
      <c r="D14" s="467">
        <f>'SEAP template'!E25</f>
        <v>7588.4956441890299</v>
      </c>
      <c r="E14" s="467"/>
      <c r="F14" s="467"/>
      <c r="G14" s="467"/>
      <c r="H14" s="467"/>
      <c r="I14" s="467"/>
      <c r="J14" s="467"/>
      <c r="K14" s="467"/>
      <c r="L14" s="467"/>
      <c r="M14" s="467"/>
      <c r="N14" s="467"/>
      <c r="O14" s="467"/>
      <c r="P14" s="468"/>
      <c r="Q14" s="459">
        <f t="shared" si="0"/>
        <v>11381.47527808427</v>
      </c>
    </row>
    <row r="15" spans="1:17" s="472" customFormat="1">
      <c r="A15" s="469" t="s">
        <v>567</v>
      </c>
      <c r="B15" s="470">
        <f ca="1">SUM(B4:B14)</f>
        <v>238838.25675765445</v>
      </c>
      <c r="C15" s="470">
        <f t="shared" ref="C15:Q15" ca="1" si="1">SUM(C4:C14)</f>
        <v>0</v>
      </c>
      <c r="D15" s="470">
        <f t="shared" ca="1" si="1"/>
        <v>286763.85046740872</v>
      </c>
      <c r="E15" s="470">
        <f t="shared" si="1"/>
        <v>11397.57520222805</v>
      </c>
      <c r="F15" s="470">
        <f t="shared" ca="1" si="1"/>
        <v>88794.615829578324</v>
      </c>
      <c r="G15" s="470">
        <f t="shared" si="1"/>
        <v>367952.75638403796</v>
      </c>
      <c r="H15" s="470">
        <f t="shared" si="1"/>
        <v>50391.164289804823</v>
      </c>
      <c r="I15" s="470">
        <f t="shared" si="1"/>
        <v>0</v>
      </c>
      <c r="J15" s="470">
        <f t="shared" si="1"/>
        <v>9592.057967079485</v>
      </c>
      <c r="K15" s="470">
        <f t="shared" si="1"/>
        <v>0</v>
      </c>
      <c r="L15" s="470">
        <f t="shared" ca="1" si="1"/>
        <v>0</v>
      </c>
      <c r="M15" s="470">
        <f t="shared" si="1"/>
        <v>18219.158762476334</v>
      </c>
      <c r="N15" s="470">
        <f t="shared" ca="1" si="1"/>
        <v>35623.090233833405</v>
      </c>
      <c r="O15" s="470">
        <f t="shared" si="1"/>
        <v>156.33333333333334</v>
      </c>
      <c r="P15" s="470">
        <f t="shared" si="1"/>
        <v>838.93333333333339</v>
      </c>
      <c r="Q15" s="470">
        <f t="shared" ca="1" si="1"/>
        <v>1108567.7925607683</v>
      </c>
    </row>
    <row r="17" spans="1:17">
      <c r="A17" s="473" t="s">
        <v>568</v>
      </c>
      <c r="B17" s="777">
        <f ca="1">huishoudens!B10</f>
        <v>0.21465510608805694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15896.235505727531</v>
      </c>
      <c r="C22" s="460">
        <f t="shared" ref="C22:C32" ca="1" si="3">C4*$C$17</f>
        <v>0</v>
      </c>
      <c r="D22" s="460">
        <f t="shared" ref="D22:D32" si="4">D4*$D$17</f>
        <v>27810.669610499492</v>
      </c>
      <c r="E22" s="460">
        <f t="shared" ref="E22:E32" si="5">E4*$E$17</f>
        <v>1757.3911021361596</v>
      </c>
      <c r="F22" s="460">
        <f t="shared" ref="F22:F32" si="6">F4*$F$17</f>
        <v>7976.7101993275583</v>
      </c>
      <c r="G22" s="460">
        <f t="shared" ref="G22:G32" si="7">G4*$G$17</f>
        <v>0</v>
      </c>
      <c r="H22" s="460">
        <f t="shared" ref="H22:H32" si="8">H4*$H$17</f>
        <v>0</v>
      </c>
      <c r="I22" s="460">
        <f t="shared" ref="I22:I32" si="9">I4*$I$17</f>
        <v>0</v>
      </c>
      <c r="J22" s="460">
        <f t="shared" ref="J22:J32" si="10">J4*$J$17</f>
        <v>3054.5822244653677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56495.588642156101</v>
      </c>
    </row>
    <row r="23" spans="1:17">
      <c r="A23" s="459" t="s">
        <v>156</v>
      </c>
      <c r="B23" s="460">
        <f t="shared" ca="1" si="2"/>
        <v>15014.737871082629</v>
      </c>
      <c r="C23" s="460">
        <f t="shared" ca="1" si="3"/>
        <v>0</v>
      </c>
      <c r="D23" s="460">
        <f t="shared" ca="1" si="4"/>
        <v>18345.341991851546</v>
      </c>
      <c r="E23" s="460">
        <f t="shared" si="5"/>
        <v>227.29532920705984</v>
      </c>
      <c r="F23" s="460">
        <f t="shared" ca="1" si="6"/>
        <v>3556.8364470417969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37144.211639183028</v>
      </c>
    </row>
    <row r="24" spans="1:17">
      <c r="A24" s="459" t="s">
        <v>194</v>
      </c>
      <c r="B24" s="460">
        <f t="shared" ca="1" si="2"/>
        <v>578.96582024475231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578.96582024475231</v>
      </c>
    </row>
    <row r="25" spans="1:17">
      <c r="A25" s="459" t="s">
        <v>112</v>
      </c>
      <c r="B25" s="460">
        <f t="shared" ca="1" si="2"/>
        <v>900.60305267586807</v>
      </c>
      <c r="C25" s="460">
        <f t="shared" ca="1" si="3"/>
        <v>0</v>
      </c>
      <c r="D25" s="460">
        <f t="shared" si="4"/>
        <v>1040.2750187240154</v>
      </c>
      <c r="E25" s="460">
        <f t="shared" si="5"/>
        <v>9.9737082469136933</v>
      </c>
      <c r="F25" s="460">
        <f t="shared" si="6"/>
        <v>4795.3942247285795</v>
      </c>
      <c r="G25" s="460">
        <f t="shared" si="7"/>
        <v>0</v>
      </c>
      <c r="H25" s="460">
        <f t="shared" si="8"/>
        <v>0</v>
      </c>
      <c r="I25" s="460">
        <f t="shared" si="9"/>
        <v>0</v>
      </c>
      <c r="J25" s="460">
        <f t="shared" si="10"/>
        <v>132.64488282937032</v>
      </c>
      <c r="K25" s="460">
        <f t="shared" si="11"/>
        <v>0</v>
      </c>
      <c r="L25" s="460">
        <f t="shared" si="12"/>
        <v>0</v>
      </c>
      <c r="M25" s="460">
        <f t="shared" si="13"/>
        <v>0</v>
      </c>
      <c r="N25" s="460">
        <f t="shared" si="14"/>
        <v>0</v>
      </c>
      <c r="O25" s="460">
        <f t="shared" si="15"/>
        <v>0</v>
      </c>
      <c r="P25" s="461">
        <f t="shared" si="16"/>
        <v>0</v>
      </c>
      <c r="Q25" s="459">
        <f t="shared" ca="1" si="17"/>
        <v>6878.8908872047468</v>
      </c>
    </row>
    <row r="26" spans="1:17">
      <c r="A26" s="459" t="s">
        <v>655</v>
      </c>
      <c r="B26" s="460">
        <f t="shared" ca="1" si="2"/>
        <v>18062.49226977527</v>
      </c>
      <c r="C26" s="460">
        <f t="shared" ca="1" si="3"/>
        <v>0</v>
      </c>
      <c r="D26" s="460">
        <f t="shared" si="4"/>
        <v>9194.1701100258815</v>
      </c>
      <c r="E26" s="460">
        <f t="shared" si="5"/>
        <v>207.19353825422593</v>
      </c>
      <c r="F26" s="460">
        <f t="shared" si="6"/>
        <v>7379.2215553994783</v>
      </c>
      <c r="G26" s="460">
        <f t="shared" si="7"/>
        <v>0</v>
      </c>
      <c r="H26" s="460">
        <f t="shared" si="8"/>
        <v>0</v>
      </c>
      <c r="I26" s="460">
        <f t="shared" si="9"/>
        <v>0</v>
      </c>
      <c r="J26" s="460">
        <f t="shared" si="10"/>
        <v>208.36141305139935</v>
      </c>
      <c r="K26" s="460">
        <f t="shared" si="11"/>
        <v>0</v>
      </c>
      <c r="L26" s="460">
        <f t="shared" si="12"/>
        <v>0</v>
      </c>
      <c r="M26" s="460">
        <f t="shared" si="13"/>
        <v>0</v>
      </c>
      <c r="N26" s="460">
        <f t="shared" si="14"/>
        <v>0</v>
      </c>
      <c r="O26" s="460">
        <f t="shared" si="15"/>
        <v>0</v>
      </c>
      <c r="P26" s="461">
        <f t="shared" si="16"/>
        <v>0</v>
      </c>
      <c r="Q26" s="459">
        <f t="shared" ca="1" si="17"/>
        <v>35051.43888650625</v>
      </c>
    </row>
    <row r="27" spans="1:17" s="465" customFormat="1">
      <c r="A27" s="463" t="s">
        <v>573</v>
      </c>
      <c r="B27" s="771">
        <f t="shared" ca="1" si="2"/>
        <v>0.6343769912305558</v>
      </c>
      <c r="C27" s="464">
        <f t="shared" ca="1" si="3"/>
        <v>0</v>
      </c>
      <c r="D27" s="464">
        <f t="shared" si="4"/>
        <v>2.9649431894437255</v>
      </c>
      <c r="E27" s="464">
        <f t="shared" si="5"/>
        <v>385.39589306140891</v>
      </c>
      <c r="F27" s="464">
        <f t="shared" si="6"/>
        <v>0</v>
      </c>
      <c r="G27" s="464">
        <f t="shared" si="7"/>
        <v>97650.70603536877</v>
      </c>
      <c r="H27" s="464">
        <f t="shared" si="8"/>
        <v>12547.3999081614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110587.10115677226</v>
      </c>
    </row>
    <row r="28" spans="1:17">
      <c r="A28" s="459" t="s">
        <v>563</v>
      </c>
      <c r="B28" s="460">
        <f t="shared" ca="1" si="2"/>
        <v>0</v>
      </c>
      <c r="C28" s="460">
        <f t="shared" ca="1" si="3"/>
        <v>0</v>
      </c>
      <c r="D28" s="460">
        <f t="shared" si="4"/>
        <v>0</v>
      </c>
      <c r="E28" s="460">
        <f t="shared" si="5"/>
        <v>0</v>
      </c>
      <c r="F28" s="460">
        <f t="shared" si="6"/>
        <v>0</v>
      </c>
      <c r="G28" s="460">
        <f t="shared" si="7"/>
        <v>592.67991916936194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592.67991916936194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814.18244570362208</v>
      </c>
      <c r="C32" s="460">
        <f t="shared" ca="1" si="3"/>
        <v>0</v>
      </c>
      <c r="D32" s="460">
        <f t="shared" si="4"/>
        <v>1532.8761201261841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2347.058565829806</v>
      </c>
    </row>
    <row r="33" spans="1:17" s="472" customFormat="1">
      <c r="A33" s="469" t="s">
        <v>567</v>
      </c>
      <c r="B33" s="470">
        <f ca="1">SUM(B22:B32)</f>
        <v>51267.851342200898</v>
      </c>
      <c r="C33" s="470">
        <f t="shared" ref="C33:Q33" ca="1" si="19">SUM(C22:C32)</f>
        <v>0</v>
      </c>
      <c r="D33" s="470">
        <f t="shared" ca="1" si="19"/>
        <v>57926.297794416561</v>
      </c>
      <c r="E33" s="470">
        <f t="shared" si="19"/>
        <v>2587.249570905768</v>
      </c>
      <c r="F33" s="470">
        <f t="shared" ca="1" si="19"/>
        <v>23708.162426497413</v>
      </c>
      <c r="G33" s="470">
        <f t="shared" si="19"/>
        <v>98243.385954538127</v>
      </c>
      <c r="H33" s="470">
        <f t="shared" si="19"/>
        <v>12547.3999081614</v>
      </c>
      <c r="I33" s="470">
        <f t="shared" si="19"/>
        <v>0</v>
      </c>
      <c r="J33" s="470">
        <f t="shared" si="19"/>
        <v>3395.5885203461371</v>
      </c>
      <c r="K33" s="470">
        <f t="shared" si="19"/>
        <v>0</v>
      </c>
      <c r="L33" s="470">
        <f t="shared" ca="1" si="19"/>
        <v>0</v>
      </c>
      <c r="M33" s="470">
        <f t="shared" si="19"/>
        <v>0</v>
      </c>
      <c r="N33" s="470">
        <f t="shared" ca="1" si="19"/>
        <v>0</v>
      </c>
      <c r="O33" s="470">
        <f t="shared" si="19"/>
        <v>0</v>
      </c>
      <c r="P33" s="470">
        <f t="shared" si="19"/>
        <v>0</v>
      </c>
      <c r="Q33" s="470">
        <f t="shared" ca="1" si="19"/>
        <v>249675.9355170663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6857.0289648902217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6857.0289648902217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0.21465510608805694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0.21465510608805694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2019-06-29T16:06:57Z</dcterms:modified>
</cp:coreProperties>
</file>