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O19"/>
  <c r="C98"/>
  <c r="G101" s="1"/>
  <c r="B17"/>
  <c r="B20" s="1"/>
  <c r="F20"/>
  <c r="O18"/>
  <c r="B8"/>
  <c r="B10" s="1"/>
  <c r="L20"/>
  <c r="I101"/>
  <c r="H8" s="1"/>
  <c r="H10" s="1"/>
  <c r="E101"/>
  <c r="E8" s="1"/>
  <c r="E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F90" i="14"/>
  <c r="F18" i="55"/>
  <c r="F20" s="1"/>
  <c r="N90" i="14"/>
  <c r="N18" i="55"/>
  <c r="N20" s="1"/>
  <c r="E90" i="14"/>
  <c r="E18" i="55"/>
  <c r="L78" i="14"/>
  <c r="L8" i="55"/>
  <c r="G78" i="14"/>
  <c r="G9" i="55"/>
  <c r="O78" i="14"/>
  <c r="O9" i="55"/>
  <c r="O10" s="1"/>
  <c r="C77" i="14"/>
  <c r="C9" i="55" s="1"/>
  <c r="F9"/>
  <c r="N78" i="14"/>
  <c r="N9" i="55"/>
  <c r="G10"/>
  <c r="F10"/>
  <c r="D10"/>
  <c r="L10"/>
  <c r="K20"/>
  <c r="R9" i="14"/>
  <c r="E10" i="55"/>
  <c r="H20"/>
  <c r="N10"/>
  <c r="O29" i="48"/>
  <c r="O28"/>
  <c r="O25"/>
  <c r="G22" i="14"/>
  <c r="O22"/>
  <c r="P22"/>
  <c r="M76"/>
  <c r="M8" i="55" s="1"/>
  <c r="M10" s="1"/>
  <c r="L90" i="14"/>
  <c r="E20" i="55"/>
  <c r="G20"/>
  <c r="O20"/>
  <c r="H101" i="18"/>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Q76" i="14"/>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90" i="14"/>
  <c r="C17" i="55"/>
  <c r="C20"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E11" i="14"/>
  <c r="D4" i="48"/>
  <c r="H30"/>
  <c r="H32"/>
  <c r="H22"/>
  <c r="H26"/>
  <c r="H24"/>
  <c r="H29"/>
  <c r="H28"/>
  <c r="H25"/>
  <c r="H23"/>
  <c r="D11" i="14"/>
  <c r="C4" i="48"/>
  <c r="G30"/>
  <c r="G32"/>
  <c r="G29"/>
  <c r="G26"/>
  <c r="G25"/>
  <c r="G24"/>
  <c r="G22"/>
  <c r="G23"/>
  <c r="M5"/>
  <c r="N10" i="14"/>
  <c r="N16" s="1"/>
  <c r="B4" i="48"/>
  <c r="C11" i="14"/>
  <c r="F32" i="48"/>
  <c r="F27"/>
  <c r="F29"/>
  <c r="F24"/>
  <c r="F31"/>
  <c r="F30"/>
  <c r="F28"/>
  <c r="N32"/>
  <c r="N29"/>
  <c r="N24"/>
  <c r="N31"/>
  <c r="N30"/>
  <c r="N28"/>
  <c r="N27"/>
  <c r="C24" i="14"/>
  <c r="C26" s="1"/>
  <c r="B7" i="48"/>
  <c r="E30"/>
  <c r="E24"/>
  <c r="E32"/>
  <c r="E28"/>
  <c r="E31"/>
  <c r="E29"/>
  <c r="M32"/>
  <c r="M30"/>
  <c r="M24"/>
  <c r="M25"/>
  <c r="M26"/>
  <c r="M29"/>
  <c r="M22"/>
  <c r="K5"/>
  <c r="L10" i="14"/>
  <c r="L16" s="1"/>
  <c r="L27" s="1"/>
  <c r="D22" i="48"/>
  <c r="D30"/>
  <c r="D24"/>
  <c r="D29"/>
  <c r="D31"/>
  <c r="D32"/>
  <c r="D28"/>
  <c r="L30"/>
  <c r="L28"/>
  <c r="L24"/>
  <c r="L32"/>
  <c r="L29"/>
  <c r="L27"/>
  <c r="L22"/>
  <c r="L31"/>
  <c r="P5"/>
  <c r="P23" s="1"/>
  <c r="Q10" i="14"/>
  <c r="K30" i="48"/>
  <c r="K32"/>
  <c r="K31"/>
  <c r="K25"/>
  <c r="K28"/>
  <c r="K29"/>
  <c r="K24"/>
  <c r="K26"/>
  <c r="K22"/>
  <c r="K27"/>
  <c r="B10"/>
  <c r="C19" i="14"/>
  <c r="J10"/>
  <c r="J16" s="1"/>
  <c r="J27" s="1"/>
  <c r="I5" i="48"/>
  <c r="J32"/>
  <c r="J29"/>
  <c r="J27"/>
  <c r="J31"/>
  <c r="J24"/>
  <c r="J30"/>
  <c r="J28"/>
  <c r="P4"/>
  <c r="Q11" i="14"/>
  <c r="O4" i="48"/>
  <c r="P11" i="14"/>
  <c r="I30" i="48"/>
  <c r="I24"/>
  <c r="I31"/>
  <c r="I25"/>
  <c r="I32"/>
  <c r="I26"/>
  <c r="I22"/>
  <c r="I28"/>
  <c r="I29"/>
  <c r="I27"/>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O5"/>
  <c r="O23" s="1"/>
  <c r="P10" i="14"/>
  <c r="M13" i="48"/>
  <c r="M31" s="1"/>
  <c r="N18" i="14"/>
  <c r="M23" i="48"/>
  <c r="P15"/>
  <c r="P22"/>
  <c r="P33" s="1"/>
  <c r="I23"/>
  <c r="I15"/>
  <c r="K15"/>
  <c r="K23"/>
  <c r="F4"/>
  <c r="F22" s="1"/>
  <c r="G11" i="14"/>
  <c r="J63"/>
  <c r="D16" i="15"/>
  <c r="D20" s="1"/>
  <c r="E40" i="14" s="1"/>
  <c r="L46"/>
  <c r="L61" s="1"/>
  <c r="L63" s="1"/>
  <c r="G12" i="22"/>
  <c r="G13" i="48"/>
  <c r="H18" i="14"/>
  <c r="R18" s="1"/>
  <c r="O22" i="48"/>
  <c r="P22" i="16"/>
  <c r="Q43" i="14" s="1"/>
  <c r="P8" i="48"/>
  <c r="P26" s="1"/>
  <c r="Q13" i="14"/>
  <c r="I33" i="48"/>
  <c r="Q16" i="14"/>
  <c r="Q27" s="1"/>
  <c r="G31" i="20"/>
  <c r="H48" i="14" s="1"/>
  <c r="K33" i="48"/>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I63" s="1"/>
  <c r="M5" i="22"/>
  <c r="G5"/>
  <c r="G14" s="1"/>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G31" i="48"/>
  <c r="Q13"/>
  <c r="H27"/>
  <c r="H33" s="1"/>
  <c r="H15"/>
  <c r="B9"/>
  <c r="C20" i="14"/>
  <c r="M10" i="48"/>
  <c r="M28" s="1"/>
  <c r="N19" i="14"/>
  <c r="E12" i="13"/>
  <c r="F41" i="14" s="1"/>
  <c r="E4" i="48"/>
  <c r="F11" i="14"/>
  <c r="Q46"/>
  <c r="Q61" s="1"/>
  <c r="Q63" s="1"/>
  <c r="D5" i="48"/>
  <c r="H20" i="14"/>
  <c r="H22" s="1"/>
  <c r="H27" s="1"/>
  <c r="G9" i="48"/>
  <c r="F20" i="14"/>
  <c r="F22" s="1"/>
  <c r="E9" i="48"/>
  <c r="E27" s="1"/>
  <c r="E20" i="14"/>
  <c r="E22" s="1"/>
  <c r="D9" i="48"/>
  <c r="D27" s="1"/>
  <c r="P13" i="14"/>
  <c r="O8" i="48"/>
  <c r="J4"/>
  <c r="J22" s="1"/>
  <c r="K11" i="14"/>
  <c r="G10" i="48"/>
  <c r="H19" i="14"/>
  <c r="R19" s="1"/>
  <c r="C15" i="48"/>
  <c r="E10" i="14"/>
  <c r="P16"/>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G27" i="48" l="1"/>
  <c r="G15"/>
  <c r="E22"/>
  <c r="Q4"/>
  <c r="M18" i="22"/>
  <c r="N50" i="14" s="1"/>
  <c r="N52" s="1"/>
  <c r="N61" s="1"/>
  <c r="N20"/>
  <c r="N22" s="1"/>
  <c r="N27" s="1"/>
  <c r="M9" i="48"/>
  <c r="R20" i="14"/>
  <c r="R22" s="1"/>
  <c r="C22"/>
  <c r="O26" i="48"/>
  <c r="O33" s="1"/>
  <c r="O15"/>
  <c r="H63" i="14"/>
  <c r="R11"/>
  <c r="G28" i="48"/>
  <c r="Q10"/>
  <c r="D15"/>
  <c r="J5"/>
  <c r="K10" i="14"/>
  <c r="E20" i="15"/>
  <c r="F40" i="14" s="1"/>
  <c r="E5" i="48"/>
  <c r="F10" i="14"/>
  <c r="L15" i="48"/>
  <c r="Q7"/>
  <c r="R24" i="14"/>
  <c r="R26" s="1"/>
  <c r="J18" i="16"/>
  <c r="N18"/>
  <c r="E18"/>
  <c r="F18"/>
  <c r="F22" s="1"/>
  <c r="G43" i="14" s="1"/>
  <c r="M27" i="48" l="1"/>
  <c r="M33" s="1"/>
  <c r="M15"/>
  <c r="G33"/>
  <c r="Q9"/>
  <c r="N63" i="14"/>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<sst xmlns="http://schemas.openxmlformats.org/spreadsheetml/2006/main" count="2565" uniqueCount="995">
  <si>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</si>
  <si>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</si>
  <si>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</si>
  <si>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</si>
  <si>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</si>
  <si>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</si>
  <si>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</si>
  <si>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</si>
  <si>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</si>
  <si>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</si>
  <si>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</si>
  <si>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</si>
  <si>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</si>
  <si>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</si>
  <si>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</si>
  <si>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</si>
  <si>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</si>
  <si>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</si>
  <si>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</si>
  <si>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</si>
  <si>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</si>
  <si>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</si>
  <si>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</si>
  <si>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</si>
  <si>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</si>
  <si>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</si>
  <si>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</si>
  <si>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</si>
  <si>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</si>
  <si>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</si>
  <si>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</si>
  <si>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</si>
  <si>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</si>
  <si>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</si>
  <si>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</si>
  <si>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</si>
  <si>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</si>
  <si>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</si>
  <si>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</si>
  <si>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</si>
  <si>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</si>
  <si>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</si>
  <si>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</si>
  <si>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</si>
  <si>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</si>
  <si>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</si>
  <si>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</si>
  <si>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</si>
  <si>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</si>
  <si>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</si>
  <si>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</si>
  <si>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</si>
  <si>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</si>
  <si>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</si>
  <si>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</si>
  <si>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</si>
  <si>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</si>
  <si>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</si>
  <si>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</si>
  <si>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</si>
  <si>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</si>
  <si>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</si>
  <si>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</si>
  <si>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</si>
  <si>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</si>
  <si>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</si>
  <si>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</si>
  <si>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</si>
  <si>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</si>
  <si>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</si>
  <si>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</si>
  <si>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</si>
  <si>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</si>
  <si>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</si>
  <si>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</si>
  <si>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</si>
  <si>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</si>
  <si>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</si>
  <si>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</si>
  <si>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</si>
  <si>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</si>
  <si>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</si>
  <si>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</si>
  <si>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</si>
  <si>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</si>
  <si>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</si>
  <si>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</si>
  <si>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</si>
  <si>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</si>
  <si>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</si>
  <si>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</si>
  <si>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</si>
  <si>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</si>
  <si>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</si>
  <si>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</si>
  <si>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</si>
  <si>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</si>
  <si>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</si>
  <si>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</si>
  <si>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</si>
  <si>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</si>
  <si>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</si>
  <si>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</si>
  <si>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</si>
  <si>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</si>
  <si>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</si>
  <si>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</si>
  <si>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</si>
  <si>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</si>
  <si>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</si>
  <si>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</si>
  <si>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</si>
  <si>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</si>
  <si>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</si>
  <si>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</si>
  <si>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</si>
  <si>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</si>
  <si>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</si>
  <si>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</si>
  <si>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</si>
  <si>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</si>
  <si>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</si>
  <si>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</si>
  <si>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</si>
  <si>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</si>
  <si>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</si>
  <si>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</si>
  <si>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</si>
  <si>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</si>
  <si>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</si>
  <si>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</si>
  <si>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</si>
  <si>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</si>
  <si>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</si>
  <si>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</si>
  <si>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</si>
  <si>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</si>
  <si>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</si>
  <si>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</si>
  <si>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</si>
  <si>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</si>
  <si>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</si>
  <si>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</si>
  <si>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</si>
  <si>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</si>
  <si>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</si>
  <si>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</si>
  <si>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</si>
  <si>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</si>
  <si>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</si>
  <si>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</si>
  <si>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</si>
  <si>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</si>
  <si>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</si>
  <si>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</si>
  <si>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</si>
  <si>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</si>
  <si>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</si>
  <si>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</si>
  <si>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</si>
  <si>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</si>
  <si>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</si>
  <si>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</si>
  <si>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</si>
  <si>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</si>
  <si>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</si>
  <si>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</si>
  <si>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</si>
  <si>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</si>
  <si>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</si>
  <si>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</si>
  <si>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</si>
  <si>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</si>
  <si>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</si>
  <si>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</si>
  <si>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</si>
  <si>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</si>
  <si>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</si>
  <si>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</si>
  <si>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</si>
  <si>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</si>
  <si>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</si>
  <si>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</si>
  <si>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</si>
  <si>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</si>
  <si>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</si>
  <si>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</si>
  <si>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</si>
  <si>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</si>
  <si>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</si>
  <si>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</si>
  <si>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</si>
  <si>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</si>
  <si>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</si>
  <si>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</si>
  <si>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</si>
  <si>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</si>
  <si>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</si>
  <si>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</si>
  <si>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</si>
  <si>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</si>
  <si>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</si>
  <si>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</si>
  <si>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</si>
  <si>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</si>
  <si>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</si>
  <si>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</si>
  <si>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</si>
  <si>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</si>
  <si>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</si>
  <si>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</si>
  <si>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</si>
  <si>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</si>
  <si>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</si>
  <si>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</si>
  <si>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</si>
  <si>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</si>
  <si>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</si>
  <si>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</si>
  <si>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</si>
  <si>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</si>
  <si>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</si>
  <si>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</si>
  <si>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</si>
  <si>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</si>
  <si>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</si>
  <si>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</si>
  <si>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</si>
  <si>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</si>
  <si>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</si>
  <si>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</si>
  <si>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</si>
  <si>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</si>
  <si>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</si>
  <si>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</si>
  <si>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</si>
  <si>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</si>
  <si>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</si>
  <si>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</si>
  <si>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</si>
  <si>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</si>
  <si>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</si>
  <si>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</si>
  <si>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</si>
  <si>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</si>
  <si>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</si>
  <si>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</si>
  <si>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</si>
  <si>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</si>
  <si>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</si>
  <si>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</si>
  <si>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</si>
  <si>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</si>
  <si>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</si>
  <si>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</si>
  <si>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</si>
  <si>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</si>
  <si>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</si>
  <si>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</si>
  <si>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</si>
  <si>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</si>
  <si>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</si>
  <si>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</si>
  <si>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</si>
  <si>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</si>
  <si>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</si>
  <si>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</si>
  <si>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</si>
  <si>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</si>
  <si>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</si>
  <si>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</si>
  <si>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</si>
  <si>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</si>
  <si>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</si>
  <si>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</si>
  <si>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</si>
  <si>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</si>
  <si>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</si>
  <si>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</si>
  <si>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</si>
  <si>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</si>
  <si>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</si>
  <si>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</si>
  <si>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</si>
  <si>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</si>
  <si>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</si>
  <si>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</si>
  <si>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</si>
  <si>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</si>
  <si>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</si>
  <si>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</si>
  <si>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</si>
  <si>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</si>
  <si>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</si>
  <si>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</si>
  <si>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</si>
  <si>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</si>
  <si>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</si>
  <si>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</si>
  <si>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</si>
  <si>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</si>
  <si>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</si>
  <si>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</si>
  <si>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</si>
  <si>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</si>
  <si>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</si>
  <si>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</si>
  <si>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</si>
  <si>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</si>
  <si>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</si>
  <si>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</si>
  <si>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</si>
  <si>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</si>
  <si>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</si>
  <si>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</si>
  <si>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</si>
  <si>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</si>
  <si>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</si>
  <si>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</si>
  <si>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</si>
  <si>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</si>
  <si>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</si>
  <si>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</si>
  <si>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</si>
  <si>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</si>
  <si>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</si>
  <si>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</si>
  <si>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</si>
  <si>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</si>
  <si>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</si>
  <si>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</si>
  <si>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</si>
  <si>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</si>
  <si>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</si>
  <si>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</si>
  <si>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</si>
  <si>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</si>
  <si>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</si>
  <si>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</si>
  <si>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</si>
  <si>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</si>
  <si>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</si>
  <si>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</si>
  <si>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</si>
  <si>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</si>
  <si>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</si>
  <si>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</si>
  <si>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</si>
  <si>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</si>
  <si>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</si>
  <si>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</si>
  <si>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</si>
  <si>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</si>
  <si>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</si>
  <si>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</si>
  <si>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</si>
  <si>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</si>
  <si>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</si>
  <si>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</si>
  <si>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</si>
  <si>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</si>
  <si>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</si>
  <si>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</si>
  <si>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</si>
  <si>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</si>
  <si>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</si>
  <si>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</si>
  <si>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</si>
  <si>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</si>
  <si>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</si>
  <si>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</si>
  <si>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</si>
  <si>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</si>
  <si>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</si>
  <si>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</si>
  <si>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</si>
  <si>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</si>
  <si>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</si>
  <si>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</si>
  <si>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</si>
  <si>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</si>
  <si>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</si>
  <si>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</si>
  <si>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</si>
  <si>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</si>
  <si>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</si>
  <si>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</si>
  <si>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</si>
  <si>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</si>
  <si>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</si>
  <si>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</si>
  <si>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</si>
  <si>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</si>
  <si>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</si>
  <si>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</si>
  <si>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</si>
  <si>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</si>
  <si>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</si>
  <si>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</si>
  <si>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</si>
  <si>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</si>
  <si>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</si>
  <si>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</si>
  <si>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</si>
  <si>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</si>
  <si>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</si>
  <si>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</si>
  <si>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</si>
  <si>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</si>
  <si>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</si>
  <si>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</si>
  <si>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</si>
  <si>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</si>
  <si>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</si>
  <si>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</si>
  <si>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</si>
  <si>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</si>
  <si>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</si>
  <si>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</si>
  <si>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</si>
  <si>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</si>
  <si>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</si>
  <si>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</si>
  <si>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</si>
  <si>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</si>
  <si>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</si>
  <si>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</si>
  <si>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</si>
  <si>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</si>
  <si>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</si>
  <si>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</si>
  <si>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</si>
  <si>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</si>
  <si>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</si>
  <si>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</si>
  <si>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</si>
  <si>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</si>
  <si>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</si>
  <si>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</si>
  <si>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</si>
  <si>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</si>
  <si>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</si>
  <si>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</si>
  <si>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</si>
  <si>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</si>
  <si>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</si>
  <si>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</si>
  <si>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</si>
  <si>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</si>
  <si>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</si>
  <si>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</si>
  <si>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</si>
  <si>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</si>
  <si>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</si>
  <si>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</si>
  <si>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</si>
  <si>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</si>
  <si>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</si>
  <si>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</si>
  <si>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</si>
  <si>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</si>
  <si>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</si>
  <si>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</si>
  <si>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</si>
  <si>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</si>
  <si>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</si>
  <si>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</si>
  <si>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</si>
  <si>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</si>
  <si>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</si>
  <si>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</si>
  <si>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</si>
  <si>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</si>
  <si>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</si>
  <si>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</si>
  <si>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</si>
  <si>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</si>
  <si>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</si>
  <si>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</si>
  <si>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</si>
  <si>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</si>
  <si>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</si>
  <si>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</si>
  <si>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</si>
  <si>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</si>
  <si>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</si>
  <si>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</si>
  <si>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</si>
  <si>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</si>
  <si>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</si>
  <si>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</si>
  <si>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</si>
  <si>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</si>
  <si>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</si>
  <si>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</si>
  <si>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</si>
  <si>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</si>
  <si>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</si>
  <si>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</si>
  <si>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</si>
  <si>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</si>
  <si>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</si>
  <si>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</si>
  <si>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</si>
  <si>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</si>
  <si>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</si>
  <si>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</si>
  <si>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</si>
  <si>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</si>
  <si>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</si>
  <si>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</si>
  <si>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</si>
  <si>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</si>
  <si>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</si>
  <si>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</si>
  <si>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</si>
  <si>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</si>
  <si>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</si>
  <si>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</si>
  <si>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</si>
  <si>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</si>
  <si>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</si>
  <si>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</si>
  <si>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</si>
  <si>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</si>
  <si>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</si>
  <si>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</si>
  <si>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</si>
  <si>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</si>
  <si>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</si>
  <si>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</si>
  <si>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</si>
  <si>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</si>
  <si>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</si>
  <si>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</si>
  <si>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</si>
  <si>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</si>
  <si>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</si>
  <si>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</si>
  <si>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</si>
  <si>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</si>
  <si>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</si>
  <si>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</si>
  <si>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</si>
  <si>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</si>
  <si>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</si>
  <si>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</si>
  <si>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</si>
  <si>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</si>
  <si>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</si>
  <si>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</si>
  <si>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</si>
  <si>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</si>
  <si>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</si>
  <si>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</si>
  <si>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</si>
  <si>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</si>
  <si>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</si>
  <si>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</si>
  <si>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</si>
  <si>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</si>
  <si>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</si>
  <si>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</si>
  <si>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</si>
  <si>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</si>
  <si>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</si>
  <si>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</si>
  <si>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</si>
  <si>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</si>
  <si>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</si>
  <si>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</si>
  <si>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</si>
  <si>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</si>
  <si>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</si>
  <si>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</si>
  <si>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</si>
  <si>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</si>
  <si>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</si>
  <si>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</si>
  <si>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</si>
  <si>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</si>
  <si>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</si>
  <si>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</si>
  <si>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</si>
  <si>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</si>
  <si>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</si>
  <si>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</si>
  <si>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</si>
  <si>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</si>
  <si>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</si>
  <si>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</si>
  <si>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</si>
  <si>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</si>
  <si>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</si>
  <si>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</si>
  <si>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</si>
  <si>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</si>
  <si>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</si>
  <si>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</si>
  <si>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</si>
  <si>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</si>
  <si>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</si>
  <si>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</si>
  <si>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</si>
  <si>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</si>
  <si>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</si>
  <si>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</si>
  <si>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</si>
  <si>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</si>
  <si>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</si>
  <si>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</si>
  <si>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</si>
  <si>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</si>
  <si>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</si>
  <si>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</si>
  <si>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</si>
  <si>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</si>
  <si>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</si>
  <si>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</si>
  <si>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</si>
  <si>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</si>
  <si>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</si>
  <si>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</si>
  <si>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</si>
  <si>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</si>
  <si>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</si>
  <si>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</si>
  <si>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</si>
  <si>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</si>
  <si>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</si>
  <si>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</si>
  <si>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</si>
  <si>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</si>
  <si>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</si>
  <si>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</si>
  <si>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</si>
  <si>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</si>
  <si>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</si>
  <si>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</si>
  <si>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</si>
  <si>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</si>
  <si>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</si>
  <si>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</si>
  <si>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</si>
  <si>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</si>
  <si>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</si>
  <si>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</si>
  <si>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</si>
  <si>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</si>
  <si>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</si>
  <si>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</si>
  <si>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</si>
  <si>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</si>
  <si>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</si>
  <si>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</si>
  <si>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</si>
  <si>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</si>
  <si>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</si>
  <si>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</si>
  <si>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</si>
  <si>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</si>
  <si>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</si>
  <si>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</si>
  <si>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</si>
  <si>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</si>
  <si>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</si>
  <si>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</si>
  <si>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</si>
  <si>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</si>
  <si>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</si>
  <si>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</si>
  <si>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</si>
  <si>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</si>
  <si>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</si>
  <si>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</si>
  <si>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</si>
  <si>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</si>
  <si>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</si>
  <si>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</si>
  <si>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</si>
  <si>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</si>
  <si>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</si>
  <si>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</si>
  <si>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</si>
  <si>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</si>
  <si>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</si>
  <si>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</si>
  <si>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</si>
  <si>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</si>
  <si>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</si>
  <si>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</si>
  <si>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</si>
  <si>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</si>
  <si>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</si>
  <si>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</si>
  <si>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</si>
  <si>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</si>
  <si>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</si>
  <si>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</si>
  <si>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</si>
  <si>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</si>
  <si>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</si>
  <si>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</si>
  <si>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</si>
  <si>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</si>
  <si>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</si>
  <si>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</si>
  <si>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</si>
  <si>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</si>
  <si>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</si>
  <si>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</si>
  <si>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</si>
  <si>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</si>
  <si>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</si>
  <si>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</si>
  <si>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</si>
  <si>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</si>
  <si>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</si>
  <si>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</si>
  <si>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</si>
  <si>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</si>
  <si>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</si>
  <si>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</si>
  <si>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</si>
  <si>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</si>
  <si>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</si>
  <si>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</si>
  <si>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</si>
  <si>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</si>
  <si>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</si>
  <si>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</si>
  <si>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</si>
  <si>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</si>
  <si>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</si>
  <si>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</si>
  <si>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</si>
  <si>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</si>
  <si>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</si>
  <si>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</si>
  <si>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</si>
  <si>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</si>
  <si>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</si>
  <si>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</si>
  <si>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</si>
  <si>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</si>
  <si>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</si>
  <si>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</si>
  <si>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</si>
  <si>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</si>
  <si>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</si>
  <si>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</si>
  <si>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</si>
  <si>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</si>
  <si>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</si>
  <si>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</si>
  <si>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</si>
  <si>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</si>
  <si>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</si>
  <si>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</si>
  <si>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</si>
  <si>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</si>
  <si>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</si>
  <si>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</si>
  <si>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</si>
  <si>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</si>
  <si>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</si>
  <si>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</si>
  <si>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</si>
  <si>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</si>
  <si>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</si>
  <si>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</si>
  <si>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</si>
  <si>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</si>
  <si>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</si>
  <si>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</si>
  <si>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</si>
  <si>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</si>
  <si>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</si>
  <si>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</si>
  <si>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</si>
  <si>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</si>
  <si>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</si>
  <si>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</si>
  <si>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</si>
  <si>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</si>
  <si>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</si>
  <si>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</si>
  <si>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</si>
  <si>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</si>
  <si>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</si>
  <si>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</si>
  <si>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</si>
  <si>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</si>
  <si>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</si>
  <si>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</si>
  <si>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</si>
  <si>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</si>
  <si>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</si>
  <si>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</si>
  <si>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</si>
  <si>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</si>
  <si>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</si>
  <si>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</si>
  <si>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</si>
  <si>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</si>
  <si>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</si>
  <si>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</si>
  <si>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</si>
  <si>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</si>
  <si>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</si>
  <si>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</si>
  <si>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</si>
  <si>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</si>
  <si>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</si>
  <si>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</si>
  <si>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</si>
  <si>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</si>
  <si>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</si>
  <si>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</si>
  <si>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</si>
  <si>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</si>
  <si>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</si>
  <si>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</si>
  <si>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</si>
  <si>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</si>
  <si>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</si>
  <si>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</si>
  <si>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</si>
  <si>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</si>
  <si>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</si>
  <si>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</si>
  <si>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</si>
  <si>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</si>
  <si>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</si>
  <si>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</si>
  <si>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</si>
  <si>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</si>
  <si>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</si>
  <si>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</si>
  <si>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</si>
  <si>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</si>
  <si>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</si>
  <si>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</si>
  <si>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</si>
  <si>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</si>
  <si>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</si>
  <si>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</si>
  <si>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</si>
  <si>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</si>
  <si>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</si>
  <si>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</si>
  <si>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</si>
  <si>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</si>
  <si>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</si>
  <si>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</si>
  <si>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</si>
  <si>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</si>
  <si>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</si>
  <si>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</si>
  <si>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</si>
  <si>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</si>
  <si>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</si>
  <si>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</si>
  <si>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</si>
  <si>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</si>
  <si>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</si>
  <si>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</si>
  <si>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</si>
  <si>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</si>
  <si>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</si>
  <si>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</si>
  <si>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</si>
  <si>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</si>
  <si>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</si>
  <si>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</si>
  <si>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</si>
  <si>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</si>
  <si>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</si>
  <si>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</si>
  <si>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</si>
  <si>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</si>
  <si>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</si>
  <si>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</si>
  <si>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</si>
  <si>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</si>
  <si>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</si>
  <si>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</si>
  <si>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</si>
  <si>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</si>
  <si>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</si>
  <si>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</si>
  <si>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</si>
  <si>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</si>
  <si>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</si>
  <si>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</si>
  <si>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</si>
  <si>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</si>
  <si>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</si>
  <si>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</si>
  <si>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</si>
  <si>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</si>
  <si>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</si>
  <si>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</si>
  <si>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</si>
  <si>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</si>
  <si>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</si>
  <si>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</si>
  <si>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</si>
  <si>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</si>
  <si>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</si>
  <si>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</si>
  <si>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</si>
  <si>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</si>
  <si>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</si>
  <si>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</si>
  <si>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</si>
  <si>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</si>
  <si>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</si>
  <si>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</si>
  <si>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</si>
  <si>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</si>
  <si>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</si>
  <si>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</si>
  <si>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</si>
  <si>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</si>
  <si>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</si>
  <si>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</si>
  <si>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</si>
  <si>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</si>
  <si>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</si>
  <si>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</si>
  <si>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</si>
  <si>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</si>
  <si>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</si>
  <si>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</si>
  <si>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</si>
  <si>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</si>
  <si>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</si>
  <si>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</si>
  <si>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</si>
  <si>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</si>
  <si>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</si>
  <si>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</si>
  <si>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</si>
  <si>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</si>
  <si>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</si>
  <si>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</si>
  <si>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</si>
  <si>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</si>
  <si>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</si>
  <si>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</si>
  <si>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</si>
  <si>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</si>
  <si>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</si>
  <si>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46003</t>
  </si>
  <si>
    <t>BEVEREN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</si>
  <si>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</si>
  <si>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</si>
  <si>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</si>
  <si>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</si>
  <si>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</si>
  <si>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</si>
  <si>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</si>
  <si>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Van der Valk Hotel Beveren nv</t>
  </si>
  <si>
    <t>Gentseweg 280 , 9120 Beveren-Waas</t>
  </si>
  <si>
    <t>WKK-0261 Van Der Valk Hotel Beveren</t>
  </si>
  <si>
    <t>interne verbrandingsmotor</t>
  </si>
  <si>
    <t>WKK interne verbrandinsgmotor (gas)</t>
  </si>
  <si>
    <t>INTERGEM</t>
  </si>
  <si>
    <t>Van De Ven</t>
  </si>
  <si>
    <t>Dweerse Kromstraat 53, 9120 Melsele</t>
  </si>
  <si>
    <t>WKK-0091 Van De Ven</t>
  </si>
  <si>
    <t>Tomerel</t>
  </si>
  <si>
    <t>Pauwstraat 147, 9120 Melsele</t>
  </si>
  <si>
    <t>WKK-0151 Tomerel</t>
  </si>
  <si>
    <t>Groeikracht Vrasene NV</t>
  </si>
  <si>
    <t>Brusselstraat 59 , 2018 Antwerpen</t>
  </si>
  <si>
    <t>WKK-0306 Groeikracht Vrasene</t>
  </si>
  <si>
    <t>Laarstraat 1 , 9120 Beveren-Waas</t>
  </si>
  <si>
    <t>Biogas Boeye BVBA</t>
  </si>
  <si>
    <t>Perstraat 127 , 9120 Beveren-Waas</t>
  </si>
  <si>
    <t>WKK-0208 Biogas Boeye</t>
  </si>
  <si>
    <t>Pijl LV</t>
  </si>
  <si>
    <t>Priemstraat 30, 9120 Melsele</t>
  </si>
  <si>
    <t>WKK-0119 Pijl NV</t>
  </si>
  <si>
    <t>Tomaline BVBA</t>
  </si>
  <si>
    <t>Veldstraat 1A , 9120 Melsele</t>
  </si>
  <si>
    <t>WKK-0200 Tomaline</t>
  </si>
  <si>
    <t>Van Remoortel nv</t>
  </si>
  <si>
    <t>Aven Ackers 15 b, 9130 Verrebroek</t>
  </si>
  <si>
    <t xml:space="preserve">BGS-0019 Van Remoortel </t>
  </si>
  <si>
    <t>biogas - overig</t>
  </si>
  <si>
    <t>niet WKK interne verbrandingsmotor (gas)</t>
  </si>
  <si>
    <t>Verheyenplein 8, 9130 Verrebroek</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</si>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</sst>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46003</v>
      </c>
      <c r="B6" s="396"/>
      <c r="C6" s="397"/>
    </row>
    <row r="7" spans="1:7" s="394" customFormat="1" ht="15.75" customHeight="1">
      <c r="A7" s="398" t="str">
        <f>txtMunicipality</f>
        <v>BEVEREN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135737.99411497189</v>
      </c>
      <c r="D10" s="687">
        <f ca="1">tertiair!C16</f>
        <v>211.07142857142858</v>
      </c>
      <c r="E10" s="687">
        <f ca="1">tertiair!D16</f>
        <v>62379.995957328443</v>
      </c>
      <c r="F10" s="687">
        <f>tertiair!E16</f>
        <v>3633.9751555829289</v>
      </c>
      <c r="G10" s="687">
        <f ca="1">tertiair!F16</f>
        <v>22221.583572469695</v>
      </c>
      <c r="H10" s="687">
        <f>tertiair!G16</f>
        <v>0</v>
      </c>
      <c r="I10" s="687">
        <f>tertiair!H16</f>
        <v>0</v>
      </c>
      <c r="J10" s="687">
        <f>tertiair!I16</f>
        <v>0</v>
      </c>
      <c r="K10" s="687">
        <f>tertiair!J16</f>
        <v>0</v>
      </c>
      <c r="L10" s="687">
        <f>tertiair!K16</f>
        <v>0</v>
      </c>
      <c r="M10" s="687">
        <f ca="1">tertiair!L16</f>
        <v>0</v>
      </c>
      <c r="N10" s="687">
        <f>tertiair!M16</f>
        <v>0</v>
      </c>
      <c r="O10" s="687">
        <f ca="1">tertiair!N16</f>
        <v>2763.3415995585538</v>
      </c>
      <c r="P10" s="687">
        <f>tertiair!O16</f>
        <v>1.5633333333333335</v>
      </c>
      <c r="Q10" s="688">
        <f>tertiair!P16</f>
        <v>19.066666666666666</v>
      </c>
      <c r="R10" s="690">
        <f ca="1">SUM(C10:Q10)</f>
        <v>226968.59182848295</v>
      </c>
      <c r="S10" s="67"/>
    </row>
    <row r="11" spans="1:19" s="456" customFormat="1">
      <c r="A11" s="802" t="s">
        <v>225</v>
      </c>
      <c r="B11" s="807"/>
      <c r="C11" s="687">
        <f>huishoudens!B8</f>
        <v>98747.851590286256</v>
      </c>
      <c r="D11" s="687">
        <f>huishoudens!C8</f>
        <v>0</v>
      </c>
      <c r="E11" s="687">
        <f>huishoudens!D8</f>
        <v>191203.85158326596</v>
      </c>
      <c r="F11" s="687">
        <f>huishoudens!E8</f>
        <v>4538.5748893585551</v>
      </c>
      <c r="G11" s="687">
        <f>huishoudens!F8</f>
        <v>0</v>
      </c>
      <c r="H11" s="687">
        <f>huishoudens!G8</f>
        <v>0</v>
      </c>
      <c r="I11" s="687">
        <f>huishoudens!H8</f>
        <v>0</v>
      </c>
      <c r="J11" s="687">
        <f>huishoudens!I8</f>
        <v>0</v>
      </c>
      <c r="K11" s="687">
        <f>huishoudens!J8</f>
        <v>7796.8679435787717</v>
      </c>
      <c r="L11" s="687">
        <f>huishoudens!K8</f>
        <v>0</v>
      </c>
      <c r="M11" s="687">
        <f>huishoudens!L8</f>
        <v>0</v>
      </c>
      <c r="N11" s="687">
        <f>huishoudens!M8</f>
        <v>0</v>
      </c>
      <c r="O11" s="687">
        <f>huishoudens!N8</f>
        <v>31200.01828519813</v>
      </c>
      <c r="P11" s="687">
        <f>huishoudens!O8</f>
        <v>492.45</v>
      </c>
      <c r="Q11" s="688">
        <f>huishoudens!P8</f>
        <v>552.93333333333339</v>
      </c>
      <c r="R11" s="690">
        <f>SUM(C11:Q11)</f>
        <v>334532.54762502102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127957.90401412264</v>
      </c>
      <c r="D13" s="687">
        <f>industrie!C18</f>
        <v>0</v>
      </c>
      <c r="E13" s="687">
        <f>industrie!D18</f>
        <v>26907.565531344546</v>
      </c>
      <c r="F13" s="687">
        <f>industrie!E18</f>
        <v>1289.0443883375499</v>
      </c>
      <c r="G13" s="687">
        <f>industrie!F18</f>
        <v>39533.050063149625</v>
      </c>
      <c r="H13" s="687">
        <f>industrie!G18</f>
        <v>0</v>
      </c>
      <c r="I13" s="687">
        <f>industrie!H18</f>
        <v>0</v>
      </c>
      <c r="J13" s="687">
        <f>industrie!I18</f>
        <v>0</v>
      </c>
      <c r="K13" s="687">
        <f>industrie!J18</f>
        <v>472.15144129622888</v>
      </c>
      <c r="L13" s="687">
        <f>industrie!K18</f>
        <v>0</v>
      </c>
      <c r="M13" s="687">
        <f>industrie!L18</f>
        <v>0</v>
      </c>
      <c r="N13" s="687">
        <f>industrie!M18</f>
        <v>0</v>
      </c>
      <c r="O13" s="687">
        <f>industrie!N18</f>
        <v>0</v>
      </c>
      <c r="P13" s="687">
        <f>industrie!O18</f>
        <v>0</v>
      </c>
      <c r="Q13" s="688">
        <f>industrie!P18</f>
        <v>0</v>
      </c>
      <c r="R13" s="690">
        <f>SUM(C13:Q13)</f>
        <v>196159.7154382506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362443.74971938075</v>
      </c>
      <c r="D16" s="720">
        <f t="shared" ref="D16:R16" ca="1" si="0">SUM(D9:D15)</f>
        <v>211.07142857142858</v>
      </c>
      <c r="E16" s="720">
        <f t="shared" ca="1" si="0"/>
        <v>280491.41307193897</v>
      </c>
      <c r="F16" s="720">
        <f t="shared" si="0"/>
        <v>9461.5944332790332</v>
      </c>
      <c r="G16" s="720">
        <f t="shared" ca="1" si="0"/>
        <v>61754.633635619321</v>
      </c>
      <c r="H16" s="720">
        <f t="shared" si="0"/>
        <v>0</v>
      </c>
      <c r="I16" s="720">
        <f t="shared" si="0"/>
        <v>0</v>
      </c>
      <c r="J16" s="720">
        <f t="shared" si="0"/>
        <v>0</v>
      </c>
      <c r="K16" s="720">
        <f t="shared" si="0"/>
        <v>8269.0193848750005</v>
      </c>
      <c r="L16" s="720">
        <f t="shared" si="0"/>
        <v>0</v>
      </c>
      <c r="M16" s="720">
        <f t="shared" ca="1" si="0"/>
        <v>0</v>
      </c>
      <c r="N16" s="720">
        <f t="shared" si="0"/>
        <v>0</v>
      </c>
      <c r="O16" s="720">
        <f t="shared" ca="1" si="0"/>
        <v>33963.359884756683</v>
      </c>
      <c r="P16" s="720">
        <f t="shared" si="0"/>
        <v>494.01333333333332</v>
      </c>
      <c r="Q16" s="720">
        <f t="shared" si="0"/>
        <v>572.00000000000011</v>
      </c>
      <c r="R16" s="720">
        <f t="shared" ca="1" si="0"/>
        <v>757660.85489175457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4255.6501434377487</v>
      </c>
      <c r="I19" s="687">
        <f>transport!H54</f>
        <v>0</v>
      </c>
      <c r="J19" s="687">
        <f>transport!I54</f>
        <v>0</v>
      </c>
      <c r="K19" s="687">
        <f>transport!J54</f>
        <v>0</v>
      </c>
      <c r="L19" s="687">
        <f>transport!K54</f>
        <v>0</v>
      </c>
      <c r="M19" s="687">
        <f>transport!L54</f>
        <v>0</v>
      </c>
      <c r="N19" s="687">
        <f>transport!M54</f>
        <v>181.39987704242657</v>
      </c>
      <c r="O19" s="687">
        <f>transport!N54</f>
        <v>0</v>
      </c>
      <c r="P19" s="687">
        <f>transport!O54</f>
        <v>0</v>
      </c>
      <c r="Q19" s="688">
        <f>transport!P54</f>
        <v>0</v>
      </c>
      <c r="R19" s="690">
        <f>SUM(C19:Q19)</f>
        <v>4437.0500204801756</v>
      </c>
      <c r="S19" s="67"/>
    </row>
    <row r="20" spans="1:19" s="456" customFormat="1">
      <c r="A20" s="802" t="s">
        <v>307</v>
      </c>
      <c r="B20" s="807"/>
      <c r="C20" s="687">
        <f>transport!B14</f>
        <v>3.8415002626355124</v>
      </c>
      <c r="D20" s="687">
        <f>transport!C14</f>
        <v>0</v>
      </c>
      <c r="E20" s="687">
        <f>transport!D14</f>
        <v>18.929901746289755</v>
      </c>
      <c r="F20" s="687">
        <f>transport!E14</f>
        <v>2203.9195155164857</v>
      </c>
      <c r="G20" s="687">
        <f>transport!F14</f>
        <v>0</v>
      </c>
      <c r="H20" s="687">
        <f>transport!G14</f>
        <v>553764.75706209848</v>
      </c>
      <c r="I20" s="687">
        <f>transport!H14</f>
        <v>65146.450704911709</v>
      </c>
      <c r="J20" s="687">
        <f>transport!I14</f>
        <v>0</v>
      </c>
      <c r="K20" s="687">
        <f>transport!J14</f>
        <v>0</v>
      </c>
      <c r="L20" s="687">
        <f>transport!K14</f>
        <v>0</v>
      </c>
      <c r="M20" s="687">
        <f>transport!L14</f>
        <v>0</v>
      </c>
      <c r="N20" s="687">
        <f>transport!M14</f>
        <v>26926.834495421583</v>
      </c>
      <c r="O20" s="687">
        <f>transport!N14</f>
        <v>0</v>
      </c>
      <c r="P20" s="687">
        <f>transport!O14</f>
        <v>0</v>
      </c>
      <c r="Q20" s="688">
        <f>transport!P14</f>
        <v>0</v>
      </c>
      <c r="R20" s="690">
        <f>SUM(C20:Q20)</f>
        <v>648064.73317995726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3.8415002626355124</v>
      </c>
      <c r="D22" s="805">
        <f t="shared" ref="D22:R22" si="1">SUM(D18:D21)</f>
        <v>0</v>
      </c>
      <c r="E22" s="805">
        <f t="shared" si="1"/>
        <v>18.929901746289755</v>
      </c>
      <c r="F22" s="805">
        <f t="shared" si="1"/>
        <v>2203.9195155164857</v>
      </c>
      <c r="G22" s="805">
        <f t="shared" si="1"/>
        <v>0</v>
      </c>
      <c r="H22" s="805">
        <f t="shared" si="1"/>
        <v>558020.40720553626</v>
      </c>
      <c r="I22" s="805">
        <f t="shared" si="1"/>
        <v>65146.450704911709</v>
      </c>
      <c r="J22" s="805">
        <f t="shared" si="1"/>
        <v>0</v>
      </c>
      <c r="K22" s="805">
        <f t="shared" si="1"/>
        <v>0</v>
      </c>
      <c r="L22" s="805">
        <f t="shared" si="1"/>
        <v>0</v>
      </c>
      <c r="M22" s="805">
        <f t="shared" si="1"/>
        <v>0</v>
      </c>
      <c r="N22" s="805">
        <f t="shared" si="1"/>
        <v>27108.234372464009</v>
      </c>
      <c r="O22" s="805">
        <f t="shared" si="1"/>
        <v>0</v>
      </c>
      <c r="P22" s="805">
        <f t="shared" si="1"/>
        <v>0</v>
      </c>
      <c r="Q22" s="805">
        <f t="shared" si="1"/>
        <v>0</v>
      </c>
      <c r="R22" s="805">
        <f t="shared" si="1"/>
        <v>652501.78320043744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9873.2063815045713</v>
      </c>
      <c r="D24" s="687">
        <f>+landbouw!C8</f>
        <v>88650</v>
      </c>
      <c r="E24" s="687">
        <f>+landbouw!D8</f>
        <v>0</v>
      </c>
      <c r="F24" s="687">
        <f>+landbouw!E8</f>
        <v>103.39435468913227</v>
      </c>
      <c r="G24" s="687">
        <f>+landbouw!F8</f>
        <v>42264.825356410714</v>
      </c>
      <c r="H24" s="687">
        <f>+landbouw!G8</f>
        <v>0</v>
      </c>
      <c r="I24" s="687">
        <f>+landbouw!H8</f>
        <v>0</v>
      </c>
      <c r="J24" s="687">
        <f>+landbouw!I8</f>
        <v>0</v>
      </c>
      <c r="K24" s="687">
        <f>+landbouw!J8</f>
        <v>881.76582492685122</v>
      </c>
      <c r="L24" s="687">
        <f>+landbouw!K8</f>
        <v>0</v>
      </c>
      <c r="M24" s="687">
        <f>+landbouw!L8</f>
        <v>0</v>
      </c>
      <c r="N24" s="687">
        <f>+landbouw!M8</f>
        <v>0</v>
      </c>
      <c r="O24" s="687">
        <f>+landbouw!N8</f>
        <v>0</v>
      </c>
      <c r="P24" s="687">
        <f>+landbouw!O8</f>
        <v>0</v>
      </c>
      <c r="Q24" s="688">
        <f>+landbouw!P8</f>
        <v>0</v>
      </c>
      <c r="R24" s="690">
        <f>SUM(C24:Q24)</f>
        <v>141773.19191753125</v>
      </c>
      <c r="S24" s="67"/>
    </row>
    <row r="25" spans="1:19" s="456" customFormat="1" ht="15" thickBot="1">
      <c r="A25" s="824" t="s">
        <v>925</v>
      </c>
      <c r="B25" s="988"/>
      <c r="C25" s="989">
        <f>IF(Onbekend_ele_kWh="---",0,Onbekend_ele_kWh)/1000+IF(REST_rest_ele_kWh="---",0,REST_rest_ele_kWh)/1000</f>
        <v>5061.0700253527202</v>
      </c>
      <c r="D25" s="989"/>
      <c r="E25" s="989">
        <f>IF(onbekend_gas_kWh="---",0,onbekend_gas_kWh)/1000+IF(REST_rest_gas_kWh="---",0,REST_rest_gas_kWh)/1000</f>
        <v>36163.727625013598</v>
      </c>
      <c r="F25" s="989"/>
      <c r="G25" s="989"/>
      <c r="H25" s="989"/>
      <c r="I25" s="989"/>
      <c r="J25" s="989"/>
      <c r="K25" s="989"/>
      <c r="L25" s="989"/>
      <c r="M25" s="989"/>
      <c r="N25" s="989"/>
      <c r="O25" s="989"/>
      <c r="P25" s="989"/>
      <c r="Q25" s="990"/>
      <c r="R25" s="690">
        <f>SUM(C25:Q25)</f>
        <v>41224.797650366316</v>
      </c>
      <c r="S25" s="67"/>
    </row>
    <row r="26" spans="1:19" s="456" customFormat="1" ht="15.75" thickBot="1">
      <c r="A26" s="693" t="s">
        <v>926</v>
      </c>
      <c r="B26" s="810"/>
      <c r="C26" s="805">
        <f>SUM(C24:C25)</f>
        <v>14934.276406857291</v>
      </c>
      <c r="D26" s="805">
        <f t="shared" ref="D26:R26" si="2">SUM(D24:D25)</f>
        <v>88650</v>
      </c>
      <c r="E26" s="805">
        <f t="shared" si="2"/>
        <v>36163.727625013598</v>
      </c>
      <c r="F26" s="805">
        <f t="shared" si="2"/>
        <v>103.39435468913227</v>
      </c>
      <c r="G26" s="805">
        <f t="shared" si="2"/>
        <v>42264.825356410714</v>
      </c>
      <c r="H26" s="805">
        <f t="shared" si="2"/>
        <v>0</v>
      </c>
      <c r="I26" s="805">
        <f t="shared" si="2"/>
        <v>0</v>
      </c>
      <c r="J26" s="805">
        <f t="shared" si="2"/>
        <v>0</v>
      </c>
      <c r="K26" s="805">
        <f t="shared" si="2"/>
        <v>881.76582492685122</v>
      </c>
      <c r="L26" s="805">
        <f t="shared" si="2"/>
        <v>0</v>
      </c>
      <c r="M26" s="805">
        <f t="shared" si="2"/>
        <v>0</v>
      </c>
      <c r="N26" s="805">
        <f t="shared" si="2"/>
        <v>0</v>
      </c>
      <c r="O26" s="805">
        <f t="shared" si="2"/>
        <v>0</v>
      </c>
      <c r="P26" s="805">
        <f t="shared" si="2"/>
        <v>0</v>
      </c>
      <c r="Q26" s="805">
        <f t="shared" si="2"/>
        <v>0</v>
      </c>
      <c r="R26" s="805">
        <f t="shared" si="2"/>
        <v>182997.98956789757</v>
      </c>
      <c r="S26" s="67"/>
    </row>
    <row r="27" spans="1:19" s="456" customFormat="1" ht="17.25" thickTop="1" thickBot="1">
      <c r="A27" s="694" t="s">
        <v>116</v>
      </c>
      <c r="B27" s="797"/>
      <c r="C27" s="695">
        <f ca="1">C22+C16+C26</f>
        <v>377381.86762650067</v>
      </c>
      <c r="D27" s="695">
        <f t="shared" ref="D27:R27" ca="1" si="3">D22+D16+D26</f>
        <v>88861.071428571435</v>
      </c>
      <c r="E27" s="695">
        <f t="shared" ca="1" si="3"/>
        <v>316674.07059869886</v>
      </c>
      <c r="F27" s="695">
        <f t="shared" si="3"/>
        <v>11768.90830348465</v>
      </c>
      <c r="G27" s="695">
        <f t="shared" ca="1" si="3"/>
        <v>104019.45899203004</v>
      </c>
      <c r="H27" s="695">
        <f t="shared" si="3"/>
        <v>558020.40720553626</v>
      </c>
      <c r="I27" s="695">
        <f t="shared" si="3"/>
        <v>65146.450704911709</v>
      </c>
      <c r="J27" s="695">
        <f t="shared" si="3"/>
        <v>0</v>
      </c>
      <c r="K27" s="695">
        <f t="shared" si="3"/>
        <v>9150.785209801852</v>
      </c>
      <c r="L27" s="695">
        <f t="shared" si="3"/>
        <v>0</v>
      </c>
      <c r="M27" s="695">
        <f t="shared" ca="1" si="3"/>
        <v>0</v>
      </c>
      <c r="N27" s="695">
        <f t="shared" si="3"/>
        <v>27108.234372464009</v>
      </c>
      <c r="O27" s="695">
        <f t="shared" ca="1" si="3"/>
        <v>33963.359884756683</v>
      </c>
      <c r="P27" s="695">
        <f t="shared" si="3"/>
        <v>494.01333333333332</v>
      </c>
      <c r="Q27" s="695">
        <f t="shared" si="3"/>
        <v>572.00000000000011</v>
      </c>
      <c r="R27" s="695">
        <f t="shared" ca="1" si="3"/>
        <v>1593160.6276600894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30394.637957855346</v>
      </c>
      <c r="D40" s="687">
        <f ca="1">tertiair!C20</f>
        <v>42.057360426355828</v>
      </c>
      <c r="E40" s="687">
        <f ca="1">tertiair!D20</f>
        <v>12600.759183380347</v>
      </c>
      <c r="F40" s="687">
        <f>tertiair!E20</f>
        <v>824.9123603173249</v>
      </c>
      <c r="G40" s="687">
        <f ca="1">tertiair!F20</f>
        <v>5933.1628138494088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49795.529675828788</v>
      </c>
    </row>
    <row r="41" spans="1:18">
      <c r="A41" s="815" t="s">
        <v>225</v>
      </c>
      <c r="B41" s="822"/>
      <c r="C41" s="687">
        <f ca="1">huishoudens!B12</f>
        <v>22111.754470605709</v>
      </c>
      <c r="D41" s="687">
        <f ca="1">huishoudens!C12</f>
        <v>0</v>
      </c>
      <c r="E41" s="687">
        <f>huishoudens!D12</f>
        <v>38623.17801981973</v>
      </c>
      <c r="F41" s="687">
        <f>huishoudens!E12</f>
        <v>1030.256499884392</v>
      </c>
      <c r="G41" s="687">
        <f>huishoudens!F12</f>
        <v>0</v>
      </c>
      <c r="H41" s="687">
        <f>huishoudens!G12</f>
        <v>0</v>
      </c>
      <c r="I41" s="687">
        <f>huishoudens!H12</f>
        <v>0</v>
      </c>
      <c r="J41" s="687">
        <f>huishoudens!I12</f>
        <v>0</v>
      </c>
      <c r="K41" s="687">
        <f>huishoudens!J12</f>
        <v>2760.0912520268848</v>
      </c>
      <c r="L41" s="687">
        <f>huishoudens!K12</f>
        <v>0</v>
      </c>
      <c r="M41" s="687">
        <f>huishoudens!L12</f>
        <v>0</v>
      </c>
      <c r="N41" s="687">
        <f>huishoudens!M12</f>
        <v>0</v>
      </c>
      <c r="O41" s="687">
        <f>huishoudens!N12</f>
        <v>0</v>
      </c>
      <c r="P41" s="687">
        <f>huishoudens!O12</f>
        <v>0</v>
      </c>
      <c r="Q41" s="762">
        <f>huishoudens!P12</f>
        <v>0</v>
      </c>
      <c r="R41" s="843">
        <f t="shared" ca="1" si="4"/>
        <v>64525.280242336717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28652.509503426358</v>
      </c>
      <c r="D43" s="687">
        <f ca="1">industrie!C22</f>
        <v>0</v>
      </c>
      <c r="E43" s="687">
        <f>industrie!D22</f>
        <v>5435.3282373315988</v>
      </c>
      <c r="F43" s="687">
        <f>industrie!E22</f>
        <v>292.61307615262382</v>
      </c>
      <c r="G43" s="687">
        <f>industrie!F22</f>
        <v>10555.32436686095</v>
      </c>
      <c r="H43" s="687">
        <f>industrie!G22</f>
        <v>0</v>
      </c>
      <c r="I43" s="687">
        <f>industrie!H22</f>
        <v>0</v>
      </c>
      <c r="J43" s="687">
        <f>industrie!I22</f>
        <v>0</v>
      </c>
      <c r="K43" s="687">
        <f>industrie!J22</f>
        <v>167.14161021886503</v>
      </c>
      <c r="L43" s="687">
        <f>industrie!K22</f>
        <v>0</v>
      </c>
      <c r="M43" s="687">
        <f>industrie!L22</f>
        <v>0</v>
      </c>
      <c r="N43" s="687">
        <f>industrie!M22</f>
        <v>0</v>
      </c>
      <c r="O43" s="687">
        <f>industrie!N22</f>
        <v>0</v>
      </c>
      <c r="P43" s="687">
        <f>industrie!O22</f>
        <v>0</v>
      </c>
      <c r="Q43" s="762">
        <f>industrie!P22</f>
        <v>0</v>
      </c>
      <c r="R43" s="842">
        <f t="shared" ca="1" si="4"/>
        <v>45102.916793990393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81158.901931887405</v>
      </c>
      <c r="D46" s="720">
        <f t="shared" ref="D46:Q46" ca="1" si="5">SUM(D39:D45)</f>
        <v>42.057360426355828</v>
      </c>
      <c r="E46" s="720">
        <f t="shared" ca="1" si="5"/>
        <v>56659.265440531672</v>
      </c>
      <c r="F46" s="720">
        <f t="shared" si="5"/>
        <v>2147.7819363543408</v>
      </c>
      <c r="G46" s="720">
        <f t="shared" ca="1" si="5"/>
        <v>16488.487180710359</v>
      </c>
      <c r="H46" s="720">
        <f t="shared" si="5"/>
        <v>0</v>
      </c>
      <c r="I46" s="720">
        <f t="shared" si="5"/>
        <v>0</v>
      </c>
      <c r="J46" s="720">
        <f t="shared" si="5"/>
        <v>0</v>
      </c>
      <c r="K46" s="720">
        <f t="shared" si="5"/>
        <v>2927.2328622457499</v>
      </c>
      <c r="L46" s="720">
        <f t="shared" si="5"/>
        <v>0</v>
      </c>
      <c r="M46" s="720">
        <f t="shared" ca="1" si="5"/>
        <v>0</v>
      </c>
      <c r="N46" s="720">
        <f t="shared" si="5"/>
        <v>0</v>
      </c>
      <c r="O46" s="720">
        <f t="shared" ca="1" si="5"/>
        <v>0</v>
      </c>
      <c r="P46" s="720">
        <f t="shared" si="5"/>
        <v>0</v>
      </c>
      <c r="Q46" s="720">
        <f t="shared" si="5"/>
        <v>0</v>
      </c>
      <c r="R46" s="720">
        <f ca="1">SUM(R39:R45)</f>
        <v>159423.72671215588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1136.258588297879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1136.258588297879</v>
      </c>
    </row>
    <row r="50" spans="1:18">
      <c r="A50" s="818" t="s">
        <v>307</v>
      </c>
      <c r="B50" s="828"/>
      <c r="C50" s="995">
        <f ca="1">transport!B18</f>
        <v>0.8601940116995872</v>
      </c>
      <c r="D50" s="995">
        <f>transport!C18</f>
        <v>0</v>
      </c>
      <c r="E50" s="995">
        <f>transport!D18</f>
        <v>3.8238401527505306</v>
      </c>
      <c r="F50" s="995">
        <f>transport!E18</f>
        <v>500.28973002224228</v>
      </c>
      <c r="G50" s="995">
        <f>transport!F18</f>
        <v>0</v>
      </c>
      <c r="H50" s="995">
        <f>transport!G18</f>
        <v>147855.19013558031</v>
      </c>
      <c r="I50" s="995">
        <f>transport!H18</f>
        <v>16221.466225523016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164581.63012529002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0.8601940116995872</v>
      </c>
      <c r="D52" s="720">
        <f t="shared" ref="D52:Q52" ca="1" si="6">SUM(D48:D51)</f>
        <v>0</v>
      </c>
      <c r="E52" s="720">
        <f t="shared" si="6"/>
        <v>3.8238401527505306</v>
      </c>
      <c r="F52" s="720">
        <f t="shared" si="6"/>
        <v>500.28973002224228</v>
      </c>
      <c r="G52" s="720">
        <f t="shared" si="6"/>
        <v>0</v>
      </c>
      <c r="H52" s="720">
        <f t="shared" si="6"/>
        <v>148991.44872387819</v>
      </c>
      <c r="I52" s="720">
        <f t="shared" si="6"/>
        <v>16221.466225523016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165717.88871358789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2210.8219250303355</v>
      </c>
      <c r="D54" s="995">
        <f ca="1">+landbouw!C12</f>
        <v>17664.091379069447</v>
      </c>
      <c r="E54" s="995">
        <f>+landbouw!D12</f>
        <v>0</v>
      </c>
      <c r="F54" s="995">
        <f>+landbouw!E12</f>
        <v>23.470518514433028</v>
      </c>
      <c r="G54" s="995">
        <f>+landbouw!F12</f>
        <v>11284.708370161661</v>
      </c>
      <c r="H54" s="995">
        <f>+landbouw!G12</f>
        <v>0</v>
      </c>
      <c r="I54" s="995">
        <f>+landbouw!H12</f>
        <v>0</v>
      </c>
      <c r="J54" s="995">
        <f>+landbouw!I12</f>
        <v>0</v>
      </c>
      <c r="K54" s="995">
        <f>+landbouw!J12</f>
        <v>312.14510202410531</v>
      </c>
      <c r="L54" s="995">
        <f>+landbouw!K12</f>
        <v>0</v>
      </c>
      <c r="M54" s="995">
        <f>+landbouw!L12</f>
        <v>0</v>
      </c>
      <c r="N54" s="995">
        <f>+landbouw!M12</f>
        <v>0</v>
      </c>
      <c r="O54" s="995">
        <f>+landbouw!N12</f>
        <v>0</v>
      </c>
      <c r="P54" s="995">
        <f>+landbouw!O12</f>
        <v>0</v>
      </c>
      <c r="Q54" s="996">
        <f>+landbouw!P12</f>
        <v>0</v>
      </c>
      <c r="R54" s="719">
        <f ca="1">SUM(C54:Q54)</f>
        <v>31495.237294799983</v>
      </c>
    </row>
    <row r="55" spans="1:18" ht="15" thickBot="1">
      <c r="A55" s="818" t="s">
        <v>925</v>
      </c>
      <c r="B55" s="828"/>
      <c r="C55" s="995">
        <f ca="1">C25*'EF ele_warmte'!B12</f>
        <v>1133.2817469635966</v>
      </c>
      <c r="D55" s="995"/>
      <c r="E55" s="995">
        <f>E25*EF_CO2_aardgas</f>
        <v>7305.0729802527476</v>
      </c>
      <c r="F55" s="995"/>
      <c r="G55" s="995"/>
      <c r="H55" s="995"/>
      <c r="I55" s="995"/>
      <c r="J55" s="995"/>
      <c r="K55" s="995"/>
      <c r="L55" s="995"/>
      <c r="M55" s="995"/>
      <c r="N55" s="995"/>
      <c r="O55" s="995"/>
      <c r="P55" s="995"/>
      <c r="Q55" s="996"/>
      <c r="R55" s="719">
        <f ca="1">SUM(C55:Q55)</f>
        <v>8438.3547272163451</v>
      </c>
    </row>
    <row r="56" spans="1:18" ht="15.75" thickBot="1">
      <c r="A56" s="816" t="s">
        <v>926</v>
      </c>
      <c r="B56" s="829"/>
      <c r="C56" s="720">
        <f ca="1">SUM(C54:C55)</f>
        <v>3344.103671993932</v>
      </c>
      <c r="D56" s="720">
        <f t="shared" ref="D56:Q56" ca="1" si="7">SUM(D54:D55)</f>
        <v>17664.091379069447</v>
      </c>
      <c r="E56" s="720">
        <f t="shared" si="7"/>
        <v>7305.0729802527476</v>
      </c>
      <c r="F56" s="720">
        <f t="shared" si="7"/>
        <v>23.470518514433028</v>
      </c>
      <c r="G56" s="720">
        <f t="shared" si="7"/>
        <v>11284.708370161661</v>
      </c>
      <c r="H56" s="720">
        <f t="shared" si="7"/>
        <v>0</v>
      </c>
      <c r="I56" s="720">
        <f t="shared" si="7"/>
        <v>0</v>
      </c>
      <c r="J56" s="720">
        <f t="shared" si="7"/>
        <v>0</v>
      </c>
      <c r="K56" s="720">
        <f t="shared" si="7"/>
        <v>312.14510202410531</v>
      </c>
      <c r="L56" s="720">
        <f t="shared" si="7"/>
        <v>0</v>
      </c>
      <c r="M56" s="720">
        <f t="shared" si="7"/>
        <v>0</v>
      </c>
      <c r="N56" s="720">
        <f t="shared" si="7"/>
        <v>0</v>
      </c>
      <c r="O56" s="720">
        <f t="shared" si="7"/>
        <v>0</v>
      </c>
      <c r="P56" s="720">
        <f t="shared" si="7"/>
        <v>0</v>
      </c>
      <c r="Q56" s="721">
        <f t="shared" si="7"/>
        <v>0</v>
      </c>
      <c r="R56" s="722">
        <f ca="1">SUM(R54:R55)</f>
        <v>39933.592022016324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84503.865797893028</v>
      </c>
      <c r="D61" s="728">
        <f t="shared" ref="D61:Q61" ca="1" si="8">D46+D52+D56</f>
        <v>17706.148739495802</v>
      </c>
      <c r="E61" s="728">
        <f t="shared" ca="1" si="8"/>
        <v>63968.16226093717</v>
      </c>
      <c r="F61" s="728">
        <f t="shared" si="8"/>
        <v>2671.5421848910159</v>
      </c>
      <c r="G61" s="728">
        <f t="shared" ca="1" si="8"/>
        <v>27773.19555087202</v>
      </c>
      <c r="H61" s="728">
        <f t="shared" si="8"/>
        <v>148991.44872387819</v>
      </c>
      <c r="I61" s="728">
        <f t="shared" si="8"/>
        <v>16221.466225523016</v>
      </c>
      <c r="J61" s="728">
        <f t="shared" si="8"/>
        <v>0</v>
      </c>
      <c r="K61" s="728">
        <f t="shared" si="8"/>
        <v>3239.3779642698551</v>
      </c>
      <c r="L61" s="728">
        <f t="shared" si="8"/>
        <v>0</v>
      </c>
      <c r="M61" s="728">
        <f t="shared" ca="1" si="8"/>
        <v>0</v>
      </c>
      <c r="N61" s="728">
        <f t="shared" si="8"/>
        <v>0</v>
      </c>
      <c r="O61" s="728">
        <f t="shared" ca="1" si="8"/>
        <v>0</v>
      </c>
      <c r="P61" s="728">
        <f t="shared" si="8"/>
        <v>0</v>
      </c>
      <c r="Q61" s="728">
        <f t="shared" si="8"/>
        <v>0</v>
      </c>
      <c r="R61" s="728">
        <f ca="1">R46+R52+R56</f>
        <v>365075.20744776004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0.2239213726122303</v>
      </c>
      <c r="D63" s="772">
        <f t="shared" ca="1" si="9"/>
        <v>0.19925652993874163</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14206.070468537737</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23869.68774508519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10048.5</v>
      </c>
      <c r="C76" s="738">
        <f>'lokale energieproductie'!B8*IFERROR(SUM(D76:H76)/SUM(D76:O76),0)</f>
        <v>52154.25</v>
      </c>
      <c r="D76" s="1007">
        <f>'lokale energieproductie'!C8</f>
        <v>61357.941176470602</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11821.764705882355</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12394.304117647062</v>
      </c>
      <c r="R76" s="845">
        <v>0</v>
      </c>
    </row>
    <row r="77" spans="1:18" ht="30.75" thickBot="1">
      <c r="A77" s="741" t="s">
        <v>353</v>
      </c>
      <c r="B77" s="738">
        <f>'lokale energieproductie'!B9*IFERROR(SUM(I77:O77)/SUM(D77:O77),0)</f>
        <v>2970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8485.7142857142862</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51094.258213622925</v>
      </c>
      <c r="C78" s="743">
        <f>SUM(C72:C77)</f>
        <v>52154.25</v>
      </c>
      <c r="D78" s="744">
        <f t="shared" ref="D78:H78" si="10">SUM(D76:D77)</f>
        <v>61357.941176470602</v>
      </c>
      <c r="E78" s="744">
        <f t="shared" si="10"/>
        <v>0</v>
      </c>
      <c r="F78" s="744">
        <f t="shared" si="10"/>
        <v>0</v>
      </c>
      <c r="G78" s="744">
        <f t="shared" si="10"/>
        <v>0</v>
      </c>
      <c r="H78" s="744">
        <f t="shared" si="10"/>
        <v>0</v>
      </c>
      <c r="I78" s="744">
        <f>SUM(I76:I77)</f>
        <v>0</v>
      </c>
      <c r="J78" s="744">
        <f>SUM(J76:J77)</f>
        <v>20307.478991596639</v>
      </c>
      <c r="K78" s="744">
        <f t="shared" ref="K78:L78" si="11">SUM(K76:K77)</f>
        <v>0</v>
      </c>
      <c r="L78" s="744">
        <f t="shared" si="11"/>
        <v>0</v>
      </c>
      <c r="M78" s="744">
        <f>SUM(M76:M77)</f>
        <v>0</v>
      </c>
      <c r="N78" s="744">
        <f>SUM(N76:N77)</f>
        <v>0</v>
      </c>
      <c r="O78" s="853">
        <f>SUM(O76:O77)</f>
        <v>0</v>
      </c>
      <c r="P78" s="745">
        <v>0</v>
      </c>
      <c r="Q78" s="745">
        <f>SUM(Q76:Q77)</f>
        <v>12394.304117647062</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14355.000000000002</v>
      </c>
      <c r="C87" s="754">
        <f>'lokale energieproductie'!B17*IFERROR(SUM(D87:H87)/SUM(D87:O87),0)</f>
        <v>74506.071428571435</v>
      </c>
      <c r="D87" s="765">
        <f>'lokale energieproductie'!C17</f>
        <v>87654.201680672282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16888.23529411765</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17706.148739495802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14355.000000000002</v>
      </c>
      <c r="C90" s="743">
        <f>SUM(C87:C89)</f>
        <v>74506.071428571435</v>
      </c>
      <c r="D90" s="743">
        <f t="shared" ref="D90:H90" si="12">SUM(D87:D89)</f>
        <v>87654.201680672282</v>
      </c>
      <c r="E90" s="743">
        <f t="shared" si="12"/>
        <v>0</v>
      </c>
      <c r="F90" s="743">
        <f t="shared" si="12"/>
        <v>0</v>
      </c>
      <c r="G90" s="743">
        <f t="shared" si="12"/>
        <v>0</v>
      </c>
      <c r="H90" s="743">
        <f t="shared" si="12"/>
        <v>0</v>
      </c>
      <c r="I90" s="743">
        <f>SUM(I87:I89)</f>
        <v>0</v>
      </c>
      <c r="J90" s="743">
        <f>SUM(J87:J89)</f>
        <v>16888.23529411765</v>
      </c>
      <c r="K90" s="743">
        <f t="shared" ref="K90:L90" si="13">SUM(K87:K89)</f>
        <v>0</v>
      </c>
      <c r="L90" s="743">
        <f t="shared" si="13"/>
        <v>0</v>
      </c>
      <c r="M90" s="743">
        <f>SUM(M87:M89)</f>
        <v>0</v>
      </c>
      <c r="N90" s="743">
        <f>SUM(N87:N89)</f>
        <v>0</v>
      </c>
      <c r="O90" s="743">
        <f>SUM(O87:O89)</f>
        <v>0</v>
      </c>
      <c r="P90" s="743">
        <v>0</v>
      </c>
      <c r="Q90" s="743">
        <f>SUM(Q87:Q89)</f>
        <v>17706.148739495802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98747.851590286256</v>
      </c>
      <c r="C4" s="460">
        <f>huishoudens!C8</f>
        <v>0</v>
      </c>
      <c r="D4" s="460">
        <f>huishoudens!D8</f>
        <v>191203.85158326596</v>
      </c>
      <c r="E4" s="460">
        <f>huishoudens!E8</f>
        <v>4538.5748893585551</v>
      </c>
      <c r="F4" s="460">
        <f>huishoudens!F8</f>
        <v>0</v>
      </c>
      <c r="G4" s="460">
        <f>huishoudens!G8</f>
        <v>0</v>
      </c>
      <c r="H4" s="460">
        <f>huishoudens!H8</f>
        <v>0</v>
      </c>
      <c r="I4" s="460">
        <f>huishoudens!I8</f>
        <v>0</v>
      </c>
      <c r="J4" s="460">
        <f>huishoudens!J8</f>
        <v>7796.8679435787717</v>
      </c>
      <c r="K4" s="460">
        <f>huishoudens!K8</f>
        <v>0</v>
      </c>
      <c r="L4" s="460">
        <f>huishoudens!L8</f>
        <v>0</v>
      </c>
      <c r="M4" s="460">
        <f>huishoudens!M8</f>
        <v>0</v>
      </c>
      <c r="N4" s="460">
        <f>huishoudens!N8</f>
        <v>31200.01828519813</v>
      </c>
      <c r="O4" s="460">
        <f>huishoudens!O8</f>
        <v>492.45</v>
      </c>
      <c r="P4" s="461">
        <f>huishoudens!P8</f>
        <v>552.93333333333339</v>
      </c>
      <c r="Q4" s="462">
        <f>SUM(B4:P4)</f>
        <v>334532.54762502102</v>
      </c>
    </row>
    <row r="5" spans="1:17">
      <c r="A5" s="459" t="s">
        <v>156</v>
      </c>
      <c r="B5" s="460">
        <f ca="1">tertiair!B16</f>
        <v>132662.91311497189</v>
      </c>
      <c r="C5" s="460">
        <f ca="1">tertiair!C16</f>
        <v>211.07142857142858</v>
      </c>
      <c r="D5" s="460">
        <f ca="1">tertiair!D16</f>
        <v>62379.995957328443</v>
      </c>
      <c r="E5" s="460">
        <f>tertiair!E16</f>
        <v>3633.9751555829289</v>
      </c>
      <c r="F5" s="460">
        <f ca="1">tertiair!F16</f>
        <v>22221.583572469695</v>
      </c>
      <c r="G5" s="460">
        <f>tertiair!G16</f>
        <v>0</v>
      </c>
      <c r="H5" s="460">
        <f>tertiair!H16</f>
        <v>0</v>
      </c>
      <c r="I5" s="460">
        <f>tertiair!I16</f>
        <v>0</v>
      </c>
      <c r="J5" s="460">
        <f>tertiair!J16</f>
        <v>0</v>
      </c>
      <c r="K5" s="460">
        <f>tertiair!K16</f>
        <v>0</v>
      </c>
      <c r="L5" s="460">
        <f ca="1">tertiair!L16</f>
        <v>0</v>
      </c>
      <c r="M5" s="460">
        <f>tertiair!M16</f>
        <v>0</v>
      </c>
      <c r="N5" s="460">
        <f ca="1">tertiair!N16</f>
        <v>2763.3415995585538</v>
      </c>
      <c r="O5" s="460">
        <f>tertiair!O16</f>
        <v>1.5633333333333335</v>
      </c>
      <c r="P5" s="461">
        <f>tertiair!P16</f>
        <v>19.066666666666666</v>
      </c>
      <c r="Q5" s="459">
        <f t="shared" ref="Q5:Q14" ca="1" si="0">SUM(B5:P5)</f>
        <v>223893.51082848295</v>
      </c>
    </row>
    <row r="6" spans="1:17">
      <c r="A6" s="459" t="s">
        <v>194</v>
      </c>
      <c r="B6" s="460">
        <f>'openbare verlichting'!B8</f>
        <v>3075.0810000000001</v>
      </c>
      <c r="C6" s="460"/>
      <c r="D6" s="460"/>
      <c r="E6" s="460"/>
      <c r="F6" s="460"/>
      <c r="G6" s="460"/>
      <c r="H6" s="460"/>
      <c r="I6" s="460"/>
      <c r="J6" s="460"/>
      <c r="K6" s="460"/>
      <c r="L6" s="460"/>
      <c r="M6" s="460"/>
      <c r="N6" s="460"/>
      <c r="O6" s="460"/>
      <c r="P6" s="461"/>
      <c r="Q6" s="459">
        <f t="shared" si="0"/>
        <v>3075.0810000000001</v>
      </c>
    </row>
    <row r="7" spans="1:17">
      <c r="A7" s="459" t="s">
        <v>112</v>
      </c>
      <c r="B7" s="460">
        <f>landbouw!B8</f>
        <v>9873.2063815045713</v>
      </c>
      <c r="C7" s="460">
        <f>landbouw!C8</f>
        <v>88650</v>
      </c>
      <c r="D7" s="460">
        <f>landbouw!D8</f>
        <v>0</v>
      </c>
      <c r="E7" s="460">
        <f>landbouw!E8</f>
        <v>103.39435468913227</v>
      </c>
      <c r="F7" s="460">
        <f>landbouw!F8</f>
        <v>42264.825356410714</v>
      </c>
      <c r="G7" s="460">
        <f>landbouw!G8</f>
        <v>0</v>
      </c>
      <c r="H7" s="460">
        <f>landbouw!H8</f>
        <v>0</v>
      </c>
      <c r="I7" s="460">
        <f>landbouw!I8</f>
        <v>0</v>
      </c>
      <c r="J7" s="460">
        <f>landbouw!J8</f>
        <v>881.76582492685122</v>
      </c>
      <c r="K7" s="460">
        <f>landbouw!K8</f>
        <v>0</v>
      </c>
      <c r="L7" s="460">
        <f>landbouw!L8</f>
        <v>0</v>
      </c>
      <c r="M7" s="460">
        <f>landbouw!M8</f>
        <v>0</v>
      </c>
      <c r="N7" s="460">
        <f>landbouw!N8</f>
        <v>0</v>
      </c>
      <c r="O7" s="460">
        <f>landbouw!O8</f>
        <v>0</v>
      </c>
      <c r="P7" s="461">
        <f>landbouw!P8</f>
        <v>0</v>
      </c>
      <c r="Q7" s="459">
        <f t="shared" si="0"/>
        <v>141773.19191753125</v>
      </c>
    </row>
    <row r="8" spans="1:17">
      <c r="A8" s="459" t="s">
        <v>655</v>
      </c>
      <c r="B8" s="460">
        <f>industrie!B18</f>
        <v>127957.90401412264</v>
      </c>
      <c r="C8" s="460">
        <f>industrie!C18</f>
        <v>0</v>
      </c>
      <c r="D8" s="460">
        <f>industrie!D18</f>
        <v>26907.565531344546</v>
      </c>
      <c r="E8" s="460">
        <f>industrie!E18</f>
        <v>1289.0443883375499</v>
      </c>
      <c r="F8" s="460">
        <f>industrie!F18</f>
        <v>39533.050063149625</v>
      </c>
      <c r="G8" s="460">
        <f>industrie!G18</f>
        <v>0</v>
      </c>
      <c r="H8" s="460">
        <f>industrie!H18</f>
        <v>0</v>
      </c>
      <c r="I8" s="460">
        <f>industrie!I18</f>
        <v>0</v>
      </c>
      <c r="J8" s="460">
        <f>industrie!J18</f>
        <v>472.15144129622888</v>
      </c>
      <c r="K8" s="460">
        <f>industrie!K18</f>
        <v>0</v>
      </c>
      <c r="L8" s="460">
        <f>industrie!L18</f>
        <v>0</v>
      </c>
      <c r="M8" s="460">
        <f>industrie!M18</f>
        <v>0</v>
      </c>
      <c r="N8" s="460">
        <f>industrie!N18</f>
        <v>0</v>
      </c>
      <c r="O8" s="460">
        <f>industrie!O18</f>
        <v>0</v>
      </c>
      <c r="P8" s="461">
        <f>industrie!P18</f>
        <v>0</v>
      </c>
      <c r="Q8" s="459">
        <f t="shared" si="0"/>
        <v>196159.7154382506</v>
      </c>
    </row>
    <row r="9" spans="1:17" s="465" customFormat="1">
      <c r="A9" s="463" t="s">
        <v>573</v>
      </c>
      <c r="B9" s="464">
        <f>transport!B14</f>
        <v>3.8415002626355124</v>
      </c>
      <c r="C9" s="464">
        <f>transport!C14</f>
        <v>0</v>
      </c>
      <c r="D9" s="464">
        <f>transport!D14</f>
        <v>18.929901746289755</v>
      </c>
      <c r="E9" s="464">
        <f>transport!E14</f>
        <v>2203.9195155164857</v>
      </c>
      <c r="F9" s="464">
        <f>transport!F14</f>
        <v>0</v>
      </c>
      <c r="G9" s="464">
        <f>transport!G14</f>
        <v>553764.75706209848</v>
      </c>
      <c r="H9" s="464">
        <f>transport!H14</f>
        <v>65146.450704911709</v>
      </c>
      <c r="I9" s="464">
        <f>transport!I14</f>
        <v>0</v>
      </c>
      <c r="J9" s="464">
        <f>transport!J14</f>
        <v>0</v>
      </c>
      <c r="K9" s="464">
        <f>transport!K14</f>
        <v>0</v>
      </c>
      <c r="L9" s="464">
        <f>transport!L14</f>
        <v>0</v>
      </c>
      <c r="M9" s="464">
        <f>transport!M14</f>
        <v>26926.834495421583</v>
      </c>
      <c r="N9" s="464">
        <f>transport!N14</f>
        <v>0</v>
      </c>
      <c r="O9" s="464">
        <f>transport!O14</f>
        <v>0</v>
      </c>
      <c r="P9" s="464">
        <f>transport!P14</f>
        <v>0</v>
      </c>
      <c r="Q9" s="463">
        <f>SUM(B9:P9)</f>
        <v>648064.73317995726</v>
      </c>
    </row>
    <row r="10" spans="1:17">
      <c r="A10" s="459" t="s">
        <v>563</v>
      </c>
      <c r="B10" s="460">
        <f>transport!B54</f>
        <v>0</v>
      </c>
      <c r="C10" s="460">
        <f>transport!C54</f>
        <v>0</v>
      </c>
      <c r="D10" s="460">
        <f>transport!D54</f>
        <v>0</v>
      </c>
      <c r="E10" s="460">
        <f>transport!E54</f>
        <v>0</v>
      </c>
      <c r="F10" s="460">
        <f>transport!F54</f>
        <v>0</v>
      </c>
      <c r="G10" s="460">
        <f>transport!G54</f>
        <v>4255.6501434377487</v>
      </c>
      <c r="H10" s="460">
        <f>transport!H54</f>
        <v>0</v>
      </c>
      <c r="I10" s="460">
        <f>transport!I54</f>
        <v>0</v>
      </c>
      <c r="J10" s="460">
        <f>transport!J54</f>
        <v>0</v>
      </c>
      <c r="K10" s="460">
        <f>transport!K54</f>
        <v>0</v>
      </c>
      <c r="L10" s="460">
        <f>transport!L54</f>
        <v>0</v>
      </c>
      <c r="M10" s="460">
        <f>transport!M54</f>
        <v>181.39987704242657</v>
      </c>
      <c r="N10" s="460">
        <f>transport!N54</f>
        <v>0</v>
      </c>
      <c r="O10" s="460">
        <f>transport!O54</f>
        <v>0</v>
      </c>
      <c r="P10" s="461">
        <f>transport!P54</f>
        <v>0</v>
      </c>
      <c r="Q10" s="459">
        <f t="shared" si="0"/>
        <v>4437.0500204801756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5061.0700253527202</v>
      </c>
      <c r="C14" s="467"/>
      <c r="D14" s="467">
        <f>'SEAP template'!E25</f>
        <v>36163.727625013598</v>
      </c>
      <c r="E14" s="467"/>
      <c r="F14" s="467"/>
      <c r="G14" s="467"/>
      <c r="H14" s="467"/>
      <c r="I14" s="467"/>
      <c r="J14" s="467"/>
      <c r="K14" s="467"/>
      <c r="L14" s="467"/>
      <c r="M14" s="467"/>
      <c r="N14" s="467"/>
      <c r="O14" s="467"/>
      <c r="P14" s="468"/>
      <c r="Q14" s="459">
        <f t="shared" si="0"/>
        <v>41224.797650366316</v>
      </c>
    </row>
    <row r="15" spans="1:17" s="472" customFormat="1">
      <c r="A15" s="469" t="s">
        <v>567</v>
      </c>
      <c r="B15" s="470">
        <f ca="1">SUM(B4:B14)</f>
        <v>377381.86762650067</v>
      </c>
      <c r="C15" s="470">
        <f t="shared" ref="C15:Q15" ca="1" si="1">SUM(C4:C14)</f>
        <v>88861.071428571435</v>
      </c>
      <c r="D15" s="470">
        <f t="shared" ca="1" si="1"/>
        <v>316674.07059869886</v>
      </c>
      <c r="E15" s="470">
        <f t="shared" si="1"/>
        <v>11768.908303484652</v>
      </c>
      <c r="F15" s="470">
        <f t="shared" ca="1" si="1"/>
        <v>104019.45899203004</v>
      </c>
      <c r="G15" s="470">
        <f t="shared" si="1"/>
        <v>558020.40720553626</v>
      </c>
      <c r="H15" s="470">
        <f t="shared" si="1"/>
        <v>65146.450704911709</v>
      </c>
      <c r="I15" s="470">
        <f t="shared" si="1"/>
        <v>0</v>
      </c>
      <c r="J15" s="470">
        <f t="shared" si="1"/>
        <v>9150.785209801852</v>
      </c>
      <c r="K15" s="470">
        <f t="shared" si="1"/>
        <v>0</v>
      </c>
      <c r="L15" s="470">
        <f t="shared" ca="1" si="1"/>
        <v>0</v>
      </c>
      <c r="M15" s="470">
        <f t="shared" si="1"/>
        <v>27108.234372464009</v>
      </c>
      <c r="N15" s="470">
        <f t="shared" ca="1" si="1"/>
        <v>33963.359884756683</v>
      </c>
      <c r="O15" s="470">
        <f t="shared" si="1"/>
        <v>494.01333333333332</v>
      </c>
      <c r="P15" s="470">
        <f t="shared" si="1"/>
        <v>572.00000000000011</v>
      </c>
      <c r="Q15" s="470">
        <f t="shared" ca="1" si="1"/>
        <v>1593160.6276600894</v>
      </c>
    </row>
    <row r="17" spans="1:17">
      <c r="A17" s="473" t="s">
        <v>568</v>
      </c>
      <c r="B17" s="777">
        <f ca="1">huishoudens!B10</f>
        <v>0.22392137261223033</v>
      </c>
      <c r="C17" s="777">
        <f ca="1">huishoudens!C10</f>
        <v>0.19925652993874163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22111.754470605709</v>
      </c>
      <c r="C22" s="460">
        <f t="shared" ref="C22:C32" ca="1" si="3">C4*$C$17</f>
        <v>0</v>
      </c>
      <c r="D22" s="460">
        <f t="shared" ref="D22:D32" si="4">D4*$D$17</f>
        <v>38623.17801981973</v>
      </c>
      <c r="E22" s="460">
        <f t="shared" ref="E22:E32" si="5">E4*$E$17</f>
        <v>1030.256499884392</v>
      </c>
      <c r="F22" s="460">
        <f t="shared" ref="F22:F32" si="6">F4*$F$17</f>
        <v>0</v>
      </c>
      <c r="G22" s="460">
        <f t="shared" ref="G22:G32" si="7">G4*$G$17</f>
        <v>0</v>
      </c>
      <c r="H22" s="460">
        <f t="shared" ref="H22:H32" si="8">H4*$H$17</f>
        <v>0</v>
      </c>
      <c r="I22" s="460">
        <f t="shared" ref="I22:I32" si="9">I4*$I$17</f>
        <v>0</v>
      </c>
      <c r="J22" s="460">
        <f t="shared" ref="J22:J32" si="10">J4*$J$17</f>
        <v>2760.0912520268848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64525.280242336717</v>
      </c>
    </row>
    <row r="23" spans="1:17">
      <c r="A23" s="459" t="s">
        <v>156</v>
      </c>
      <c r="B23" s="460">
        <f t="shared" ca="1" si="2"/>
        <v>29706.061599441557</v>
      </c>
      <c r="C23" s="460">
        <f t="shared" ca="1" si="3"/>
        <v>42.057360426355828</v>
      </c>
      <c r="D23" s="460">
        <f t="shared" ca="1" si="4"/>
        <v>12600.759183380347</v>
      </c>
      <c r="E23" s="460">
        <f t="shared" si="5"/>
        <v>824.9123603173249</v>
      </c>
      <c r="F23" s="460">
        <f t="shared" ca="1" si="6"/>
        <v>5933.1628138494088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49106.953317414998</v>
      </c>
    </row>
    <row r="24" spans="1:17">
      <c r="A24" s="459" t="s">
        <v>194</v>
      </c>
      <c r="B24" s="460">
        <f t="shared" ca="1" si="2"/>
        <v>688.57635841378988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688.57635841378988</v>
      </c>
    </row>
    <row r="25" spans="1:17">
      <c r="A25" s="459" t="s">
        <v>112</v>
      </c>
      <c r="B25" s="460">
        <f t="shared" ca="1" si="2"/>
        <v>2210.8219250303355</v>
      </c>
      <c r="C25" s="460">
        <f t="shared" ca="1" si="3"/>
        <v>17664.091379069447</v>
      </c>
      <c r="D25" s="460">
        <f t="shared" si="4"/>
        <v>0</v>
      </c>
      <c r="E25" s="460">
        <f t="shared" si="5"/>
        <v>23.470518514433028</v>
      </c>
      <c r="F25" s="460">
        <f t="shared" si="6"/>
        <v>11284.708370161661</v>
      </c>
      <c r="G25" s="460">
        <f t="shared" si="7"/>
        <v>0</v>
      </c>
      <c r="H25" s="460">
        <f t="shared" si="8"/>
        <v>0</v>
      </c>
      <c r="I25" s="460">
        <f t="shared" si="9"/>
        <v>0</v>
      </c>
      <c r="J25" s="460">
        <f t="shared" si="10"/>
        <v>312.14510202410531</v>
      </c>
      <c r="K25" s="460">
        <f t="shared" si="11"/>
        <v>0</v>
      </c>
      <c r="L25" s="460">
        <f t="shared" si="12"/>
        <v>0</v>
      </c>
      <c r="M25" s="460">
        <f t="shared" si="13"/>
        <v>0</v>
      </c>
      <c r="N25" s="460">
        <f t="shared" si="14"/>
        <v>0</v>
      </c>
      <c r="O25" s="460">
        <f t="shared" si="15"/>
        <v>0</v>
      </c>
      <c r="P25" s="461">
        <f t="shared" si="16"/>
        <v>0</v>
      </c>
      <c r="Q25" s="459">
        <f t="shared" ca="1" si="17"/>
        <v>31495.237294799983</v>
      </c>
    </row>
    <row r="26" spans="1:17">
      <c r="A26" s="459" t="s">
        <v>655</v>
      </c>
      <c r="B26" s="460">
        <f t="shared" ca="1" si="2"/>
        <v>28652.509503426358</v>
      </c>
      <c r="C26" s="460">
        <f t="shared" ca="1" si="3"/>
        <v>0</v>
      </c>
      <c r="D26" s="460">
        <f t="shared" si="4"/>
        <v>5435.3282373315988</v>
      </c>
      <c r="E26" s="460">
        <f t="shared" si="5"/>
        <v>292.61307615262382</v>
      </c>
      <c r="F26" s="460">
        <f t="shared" si="6"/>
        <v>10555.32436686095</v>
      </c>
      <c r="G26" s="460">
        <f t="shared" si="7"/>
        <v>0</v>
      </c>
      <c r="H26" s="460">
        <f t="shared" si="8"/>
        <v>0</v>
      </c>
      <c r="I26" s="460">
        <f t="shared" si="9"/>
        <v>0</v>
      </c>
      <c r="J26" s="460">
        <f t="shared" si="10"/>
        <v>167.14161021886503</v>
      </c>
      <c r="K26" s="460">
        <f t="shared" si="11"/>
        <v>0</v>
      </c>
      <c r="L26" s="460">
        <f t="shared" si="12"/>
        <v>0</v>
      </c>
      <c r="M26" s="460">
        <f t="shared" si="13"/>
        <v>0</v>
      </c>
      <c r="N26" s="460">
        <f t="shared" si="14"/>
        <v>0</v>
      </c>
      <c r="O26" s="460">
        <f t="shared" si="15"/>
        <v>0</v>
      </c>
      <c r="P26" s="461">
        <f t="shared" si="16"/>
        <v>0</v>
      </c>
      <c r="Q26" s="459">
        <f t="shared" ca="1" si="17"/>
        <v>45102.916793990393</v>
      </c>
    </row>
    <row r="27" spans="1:17" s="465" customFormat="1">
      <c r="A27" s="463" t="s">
        <v>573</v>
      </c>
      <c r="B27" s="771">
        <f t="shared" ca="1" si="2"/>
        <v>0.8601940116995872</v>
      </c>
      <c r="C27" s="464">
        <f t="shared" ca="1" si="3"/>
        <v>0</v>
      </c>
      <c r="D27" s="464">
        <f t="shared" si="4"/>
        <v>3.8238401527505306</v>
      </c>
      <c r="E27" s="464">
        <f t="shared" si="5"/>
        <v>500.28973002224228</v>
      </c>
      <c r="F27" s="464">
        <f t="shared" si="6"/>
        <v>0</v>
      </c>
      <c r="G27" s="464">
        <f t="shared" si="7"/>
        <v>147855.19013558031</v>
      </c>
      <c r="H27" s="464">
        <f t="shared" si="8"/>
        <v>16221.466225523016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164581.63012529002</v>
      </c>
    </row>
    <row r="28" spans="1:17">
      <c r="A28" s="459" t="s">
        <v>563</v>
      </c>
      <c r="B28" s="460">
        <f t="shared" ca="1" si="2"/>
        <v>0</v>
      </c>
      <c r="C28" s="460">
        <f t="shared" ca="1" si="3"/>
        <v>0</v>
      </c>
      <c r="D28" s="460">
        <f t="shared" si="4"/>
        <v>0</v>
      </c>
      <c r="E28" s="460">
        <f t="shared" si="5"/>
        <v>0</v>
      </c>
      <c r="F28" s="460">
        <f t="shared" si="6"/>
        <v>0</v>
      </c>
      <c r="G28" s="460">
        <f t="shared" si="7"/>
        <v>1136.258588297879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1136.258588297879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1133.2817469635966</v>
      </c>
      <c r="C32" s="460">
        <f t="shared" ca="1" si="3"/>
        <v>0</v>
      </c>
      <c r="D32" s="460">
        <f t="shared" si="4"/>
        <v>7305.0729802527476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8438.3547272163451</v>
      </c>
    </row>
    <row r="33" spans="1:17" s="472" customFormat="1">
      <c r="A33" s="469" t="s">
        <v>567</v>
      </c>
      <c r="B33" s="470">
        <f ca="1">SUM(B22:B32)</f>
        <v>84503.865797893042</v>
      </c>
      <c r="C33" s="470">
        <f t="shared" ref="C33:Q33" ca="1" si="19">SUM(C22:C32)</f>
        <v>17706.148739495802</v>
      </c>
      <c r="D33" s="470">
        <f t="shared" ca="1" si="19"/>
        <v>63968.16226093717</v>
      </c>
      <c r="E33" s="470">
        <f t="shared" si="19"/>
        <v>2671.5421848910159</v>
      </c>
      <c r="F33" s="470">
        <f t="shared" ca="1" si="19"/>
        <v>27773.19555087202</v>
      </c>
      <c r="G33" s="470">
        <f t="shared" si="19"/>
        <v>148991.44872387819</v>
      </c>
      <c r="H33" s="470">
        <f t="shared" si="19"/>
        <v>16221.466225523016</v>
      </c>
      <c r="I33" s="470">
        <f t="shared" si="19"/>
        <v>0</v>
      </c>
      <c r="J33" s="470">
        <f t="shared" si="19"/>
        <v>3239.3779642698551</v>
      </c>
      <c r="K33" s="470">
        <f t="shared" si="19"/>
        <v>0</v>
      </c>
      <c r="L33" s="470">
        <f t="shared" ca="1" si="19"/>
        <v>0</v>
      </c>
      <c r="M33" s="470">
        <f t="shared" si="19"/>
        <v>0</v>
      </c>
      <c r="N33" s="470">
        <f t="shared" ca="1" si="19"/>
        <v>0</v>
      </c>
      <c r="O33" s="470">
        <f t="shared" si="19"/>
        <v>0</v>
      </c>
      <c r="P33" s="470">
        <f t="shared" si="19"/>
        <v>0</v>
      </c>
      <c r="Q33" s="470">
        <f t="shared" ca="1" si="19"/>
        <v>365075.2074477601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14206.070468537737</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23869.68774508519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10048.5</v>
      </c>
      <c r="C8" s="1028">
        <f>'SEAP template'!C76</f>
        <v>52154.25</v>
      </c>
      <c r="D8" s="1028">
        <f>'SEAP template'!D76</f>
        <v>61357.941176470602</v>
      </c>
      <c r="E8" s="1028">
        <f>'SEAP template'!E76</f>
        <v>0</v>
      </c>
      <c r="F8" s="1028">
        <f>'SEAP template'!F76</f>
        <v>0</v>
      </c>
      <c r="G8" s="1028">
        <f>'SEAP template'!G76</f>
        <v>0</v>
      </c>
      <c r="H8" s="1028">
        <f>'SEAP template'!H76</f>
        <v>0</v>
      </c>
      <c r="I8" s="1028">
        <f>'SEAP template'!I76</f>
        <v>0</v>
      </c>
      <c r="J8" s="1028">
        <f>'SEAP template'!J76</f>
        <v>11821.764705882355</v>
      </c>
      <c r="K8" s="1028">
        <f>'SEAP template'!K76</f>
        <v>0</v>
      </c>
      <c r="L8" s="1028">
        <f>'SEAP template'!L76</f>
        <v>0</v>
      </c>
      <c r="M8" s="1028">
        <f>'SEAP template'!M76</f>
        <v>0</v>
      </c>
      <c r="N8" s="1028">
        <f>'SEAP template'!N76</f>
        <v>0</v>
      </c>
      <c r="O8" s="1028">
        <f>'SEAP template'!O76</f>
        <v>0</v>
      </c>
      <c r="P8" s="1029">
        <f>'SEAP template'!Q76</f>
        <v>12394.304117647062</v>
      </c>
    </row>
    <row r="9" spans="1:16">
      <c r="A9" s="1031" t="s">
        <v>939</v>
      </c>
      <c r="B9" s="1028">
        <f>'SEAP template'!B77</f>
        <v>2970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8485.7142857142862</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51094.258213622925</v>
      </c>
      <c r="C10" s="1032">
        <f>SUM(C4:C9)</f>
        <v>52154.25</v>
      </c>
      <c r="D10" s="1032">
        <f t="shared" ref="D10:H10" si="0">SUM(D8:D9)</f>
        <v>61357.941176470602</v>
      </c>
      <c r="E10" s="1032">
        <f t="shared" si="0"/>
        <v>0</v>
      </c>
      <c r="F10" s="1032">
        <f t="shared" si="0"/>
        <v>0</v>
      </c>
      <c r="G10" s="1032">
        <f t="shared" si="0"/>
        <v>0</v>
      </c>
      <c r="H10" s="1032">
        <f t="shared" si="0"/>
        <v>0</v>
      </c>
      <c r="I10" s="1032">
        <f>SUM(I8:I9)</f>
        <v>0</v>
      </c>
      <c r="J10" s="1032">
        <f>SUM(J8:J9)</f>
        <v>20307.478991596639</v>
      </c>
      <c r="K10" s="1032">
        <f t="shared" ref="K10:L10" si="1">SUM(K8:K9)</f>
        <v>0</v>
      </c>
      <c r="L10" s="1032">
        <f t="shared" si="1"/>
        <v>0</v>
      </c>
      <c r="M10" s="1032">
        <f>SUM(M8:M9)</f>
        <v>0</v>
      </c>
      <c r="N10" s="1032">
        <f>SUM(N8:N9)</f>
        <v>0</v>
      </c>
      <c r="O10" s="1032">
        <f>SUM(O8:O9)</f>
        <v>0</v>
      </c>
      <c r="P10" s="1032">
        <f>SUM(P8:P9)</f>
        <v>12394.304117647062</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0.22392137261223033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14355.000000000002</v>
      </c>
      <c r="C17" s="1035">
        <f>'SEAP template'!C87</f>
        <v>74506.071428571435</v>
      </c>
      <c r="D17" s="1029">
        <f>'SEAP template'!D87</f>
        <v>87654.201680672282</v>
      </c>
      <c r="E17" s="1029">
        <f>'SEAP template'!E87</f>
        <v>0</v>
      </c>
      <c r="F17" s="1029">
        <f>'SEAP template'!F87</f>
        <v>0</v>
      </c>
      <c r="G17" s="1029">
        <f>'SEAP template'!G87</f>
        <v>0</v>
      </c>
      <c r="H17" s="1029">
        <f>'SEAP template'!H87</f>
        <v>0</v>
      </c>
      <c r="I17" s="1029">
        <f>'SEAP template'!I87</f>
        <v>0</v>
      </c>
      <c r="J17" s="1029">
        <f>'SEAP template'!J87</f>
        <v>16888.23529411765</v>
      </c>
      <c r="K17" s="1029">
        <f>'SEAP template'!K87</f>
        <v>0</v>
      </c>
      <c r="L17" s="1029">
        <f>'SEAP template'!L87</f>
        <v>0</v>
      </c>
      <c r="M17" s="1029">
        <f>'SEAP template'!M87</f>
        <v>0</v>
      </c>
      <c r="N17" s="1029">
        <f>'SEAP template'!N87</f>
        <v>0</v>
      </c>
      <c r="O17" s="1029">
        <f>'SEAP template'!O87</f>
        <v>0</v>
      </c>
      <c r="P17" s="1029">
        <f>'SEAP template'!Q87</f>
        <v>17706.148739495802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14355.000000000002</v>
      </c>
      <c r="C20" s="1032">
        <f>SUM(C17:C19)</f>
        <v>74506.071428571435</v>
      </c>
      <c r="D20" s="1032">
        <f t="shared" ref="D20:H20" si="2">SUM(D17:D19)</f>
        <v>87654.201680672282</v>
      </c>
      <c r="E20" s="1032">
        <f t="shared" si="2"/>
        <v>0</v>
      </c>
      <c r="F20" s="1032">
        <f t="shared" si="2"/>
        <v>0</v>
      </c>
      <c r="G20" s="1032">
        <f t="shared" si="2"/>
        <v>0</v>
      </c>
      <c r="H20" s="1032">
        <f t="shared" si="2"/>
        <v>0</v>
      </c>
      <c r="I20" s="1032">
        <f>SUM(I17:I19)</f>
        <v>0</v>
      </c>
      <c r="J20" s="1032">
        <f>SUM(J17:J19)</f>
        <v>16888.23529411765</v>
      </c>
      <c r="K20" s="1032">
        <f t="shared" ref="K20:L20" si="3">SUM(K17:K19)</f>
        <v>0</v>
      </c>
      <c r="L20" s="1032">
        <f t="shared" si="3"/>
        <v>0</v>
      </c>
      <c r="M20" s="1032">
        <f>SUM(M17:M19)</f>
        <v>0</v>
      </c>
      <c r="N20" s="1032">
        <f>SUM(N17:N19)</f>
        <v>0</v>
      </c>
      <c r="O20" s="1032">
        <f>SUM(O17:O19)</f>
        <v>0</v>
      </c>
      <c r="P20" s="1032">
        <f>SUM(P17:P19)</f>
        <v>17706.148739495802</v>
      </c>
    </row>
    <row r="22" spans="1:16">
      <c r="A22" s="473" t="s">
        <v>947</v>
      </c>
      <c r="B22" s="777" t="s">
        <v>941</v>
      </c>
      <c r="C22" s="777">
        <f ca="1">'EF ele_warmte'!B22</f>
        <v>0.19925652993874163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0.22392137261223033</v>
      </c>
      <c r="C17" s="509">
        <f ca="1">'EF ele_warmte'!B22</f>
        <v>0.19925652993874163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0.22392137261223033</v>
      </c>
      <c r="C17" s="509">
        <f ca="1">'EF ele_warmte'!B22</f>
        <v>0.19925652993874163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0.22392137261223033</v>
      </c>
      <c r="C29" s="510">
        <f ca="1">'EF ele_warmte'!B22</f>
        <v>0.19925652993874163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46003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19064</v>
      </c>
      <c r="C9" s="336">
        <v>20115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7223</v>
      </c>
    </row>
    <row r="15" spans="1:6">
      <c r="A15" s="1277" t="s">
        <v>184</v>
      </c>
      <c r="B15" s="333">
        <v>44</v>
      </c>
    </row>
    <row r="16" spans="1:6">
      <c r="A16" s="1277" t="s">
        <v>6</v>
      </c>
      <c r="B16" s="333">
        <v>1625</v>
      </c>
    </row>
    <row r="17" spans="1:6">
      <c r="A17" s="1277" t="s">
        <v>7</v>
      </c>
      <c r="B17" s="333">
        <v>2330</v>
      </c>
    </row>
    <row r="18" spans="1:6">
      <c r="A18" s="1277" t="s">
        <v>8</v>
      </c>
      <c r="B18" s="333">
        <v>3105</v>
      </c>
    </row>
    <row r="19" spans="1:6">
      <c r="A19" s="1277" t="s">
        <v>9</v>
      </c>
      <c r="B19" s="333">
        <v>3013</v>
      </c>
    </row>
    <row r="20" spans="1:6">
      <c r="A20" s="1277" t="s">
        <v>10</v>
      </c>
      <c r="B20" s="333">
        <v>2067</v>
      </c>
    </row>
    <row r="21" spans="1:6">
      <c r="A21" s="1277" t="s">
        <v>11</v>
      </c>
      <c r="B21" s="333">
        <v>21957</v>
      </c>
    </row>
    <row r="22" spans="1:6">
      <c r="A22" s="1277" t="s">
        <v>12</v>
      </c>
      <c r="B22" s="333">
        <v>57251</v>
      </c>
    </row>
    <row r="23" spans="1:6">
      <c r="A23" s="1277" t="s">
        <v>13</v>
      </c>
      <c r="B23" s="333">
        <v>1119</v>
      </c>
    </row>
    <row r="24" spans="1:6">
      <c r="A24" s="1277" t="s">
        <v>14</v>
      </c>
      <c r="B24" s="333">
        <v>60</v>
      </c>
    </row>
    <row r="25" spans="1:6">
      <c r="A25" s="1277" t="s">
        <v>15</v>
      </c>
      <c r="B25" s="333">
        <v>6887</v>
      </c>
    </row>
    <row r="26" spans="1:6">
      <c r="A26" s="1277" t="s">
        <v>16</v>
      </c>
      <c r="B26" s="333">
        <v>133</v>
      </c>
    </row>
    <row r="27" spans="1:6">
      <c r="A27" s="1277" t="s">
        <v>17</v>
      </c>
      <c r="B27" s="333">
        <v>0</v>
      </c>
    </row>
    <row r="28" spans="1:6">
      <c r="A28" s="1277" t="s">
        <v>18</v>
      </c>
      <c r="B28" s="333">
        <v>516542</v>
      </c>
    </row>
    <row r="29" spans="1:6">
      <c r="A29" s="1277" t="s">
        <v>957</v>
      </c>
      <c r="B29" s="333">
        <v>333</v>
      </c>
    </row>
    <row r="30" spans="1:6">
      <c r="A30" s="1273" t="s">
        <v>958</v>
      </c>
      <c r="B30" s="1273">
        <v>121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8</v>
      </c>
      <c r="F35" s="333">
        <v>216919.43141436801</v>
      </c>
    </row>
    <row r="36" spans="1:6">
      <c r="A36" s="1277" t="s">
        <v>25</v>
      </c>
      <c r="B36" s="1277" t="s">
        <v>27</v>
      </c>
      <c r="C36" s="333">
        <v>0</v>
      </c>
      <c r="D36" s="333">
        <v>0</v>
      </c>
      <c r="E36" s="333">
        <v>18</v>
      </c>
      <c r="F36" s="333">
        <v>2070750.4576851199</v>
      </c>
    </row>
    <row r="37" spans="1:6">
      <c r="A37" s="1277" t="s">
        <v>25</v>
      </c>
      <c r="B37" s="1277" t="s">
        <v>28</v>
      </c>
      <c r="C37" s="333">
        <v>0</v>
      </c>
      <c r="D37" s="333">
        <v>0</v>
      </c>
      <c r="E37" s="333">
        <v>0</v>
      </c>
      <c r="F37" s="333">
        <v>0</v>
      </c>
    </row>
    <row r="38" spans="1:6">
      <c r="A38" s="1277" t="s">
        <v>25</v>
      </c>
      <c r="B38" s="1277" t="s">
        <v>29</v>
      </c>
      <c r="C38" s="333">
        <v>3</v>
      </c>
      <c r="D38" s="333">
        <v>23217945.892087098</v>
      </c>
      <c r="E38" s="333">
        <v>4</v>
      </c>
      <c r="F38" s="333">
        <v>93164.783441684893</v>
      </c>
    </row>
    <row r="39" spans="1:6">
      <c r="A39" s="1277" t="s">
        <v>30</v>
      </c>
      <c r="B39" s="1277" t="s">
        <v>31</v>
      </c>
      <c r="C39" s="333">
        <v>13413</v>
      </c>
      <c r="D39" s="333">
        <v>211977662.50916401</v>
      </c>
      <c r="E39" s="333">
        <v>18553</v>
      </c>
      <c r="F39" s="333">
        <v>93412271.588989303</v>
      </c>
    </row>
    <row r="40" spans="1:6">
      <c r="A40" s="1277" t="s">
        <v>30</v>
      </c>
      <c r="B40" s="1277" t="s">
        <v>29</v>
      </c>
      <c r="C40" s="333">
        <v>0</v>
      </c>
      <c r="D40" s="333">
        <v>0</v>
      </c>
      <c r="E40" s="333">
        <v>0</v>
      </c>
      <c r="F40" s="333">
        <v>0</v>
      </c>
    </row>
    <row r="41" spans="1:6">
      <c r="A41" s="1277" t="s">
        <v>32</v>
      </c>
      <c r="B41" s="1277" t="s">
        <v>33</v>
      </c>
      <c r="C41" s="333">
        <v>150</v>
      </c>
      <c r="D41" s="333">
        <v>3761457.4450473199</v>
      </c>
      <c r="E41" s="333">
        <v>352</v>
      </c>
      <c r="F41" s="333">
        <v>32039561.505156402</v>
      </c>
    </row>
    <row r="42" spans="1:6">
      <c r="A42" s="1277" t="s">
        <v>32</v>
      </c>
      <c r="B42" s="1277" t="s">
        <v>34</v>
      </c>
      <c r="C42" s="333">
        <v>0</v>
      </c>
      <c r="D42" s="333">
        <v>0</v>
      </c>
      <c r="E42" s="333">
        <v>3</v>
      </c>
      <c r="F42" s="333">
        <v>16505646.858420201</v>
      </c>
    </row>
    <row r="43" spans="1:6">
      <c r="A43" s="1277" t="s">
        <v>32</v>
      </c>
      <c r="B43" s="1277" t="s">
        <v>35</v>
      </c>
      <c r="C43" s="333">
        <v>0</v>
      </c>
      <c r="D43" s="333">
        <v>0</v>
      </c>
      <c r="E43" s="333">
        <v>0</v>
      </c>
      <c r="F43" s="333">
        <v>0</v>
      </c>
    </row>
    <row r="44" spans="1:6">
      <c r="A44" s="1277" t="s">
        <v>32</v>
      </c>
      <c r="B44" s="1277" t="s">
        <v>36</v>
      </c>
      <c r="C44" s="333">
        <v>0</v>
      </c>
      <c r="D44" s="333">
        <v>0</v>
      </c>
      <c r="E44" s="333">
        <v>18</v>
      </c>
      <c r="F44" s="333">
        <v>645028.01486275205</v>
      </c>
    </row>
    <row r="45" spans="1:6">
      <c r="A45" s="1277" t="s">
        <v>32</v>
      </c>
      <c r="B45" s="1277" t="s">
        <v>37</v>
      </c>
      <c r="C45" s="333">
        <v>4</v>
      </c>
      <c r="D45" s="333">
        <v>109465.814608179</v>
      </c>
      <c r="E45" s="333">
        <v>4</v>
      </c>
      <c r="F45" s="333">
        <v>51002.768720417997</v>
      </c>
    </row>
    <row r="46" spans="1:6">
      <c r="A46" s="1277" t="s">
        <v>32</v>
      </c>
      <c r="B46" s="1277" t="s">
        <v>38</v>
      </c>
      <c r="C46" s="333">
        <v>0</v>
      </c>
      <c r="D46" s="333">
        <v>0</v>
      </c>
      <c r="E46" s="333">
        <v>0</v>
      </c>
      <c r="F46" s="333">
        <v>0</v>
      </c>
    </row>
    <row r="47" spans="1:6">
      <c r="A47" s="1277" t="s">
        <v>32</v>
      </c>
      <c r="B47" s="1277" t="s">
        <v>39</v>
      </c>
      <c r="C47" s="333">
        <v>4</v>
      </c>
      <c r="D47" s="333">
        <v>179283.953331417</v>
      </c>
      <c r="E47" s="333">
        <v>9</v>
      </c>
      <c r="F47" s="333">
        <v>171991.81306672</v>
      </c>
    </row>
    <row r="48" spans="1:6">
      <c r="A48" s="1277" t="s">
        <v>32</v>
      </c>
      <c r="B48" s="1277" t="s">
        <v>29</v>
      </c>
      <c r="C48" s="333">
        <v>54</v>
      </c>
      <c r="D48" s="333">
        <v>24736646.190481901</v>
      </c>
      <c r="E48" s="333">
        <v>74</v>
      </c>
      <c r="F48" s="333">
        <v>55272334.842164099</v>
      </c>
    </row>
    <row r="49" spans="1:6">
      <c r="A49" s="1277" t="s">
        <v>32</v>
      </c>
      <c r="B49" s="1277" t="s">
        <v>40</v>
      </c>
      <c r="C49" s="333">
        <v>0</v>
      </c>
      <c r="D49" s="333">
        <v>0</v>
      </c>
      <c r="E49" s="333">
        <v>4</v>
      </c>
      <c r="F49" s="333">
        <v>29797.7087181477</v>
      </c>
    </row>
    <row r="50" spans="1:6">
      <c r="A50" s="1277" t="s">
        <v>32</v>
      </c>
      <c r="B50" s="1277" t="s">
        <v>41</v>
      </c>
      <c r="C50" s="333">
        <v>23</v>
      </c>
      <c r="D50" s="333">
        <v>1044150.51154731</v>
      </c>
      <c r="E50" s="333">
        <v>35</v>
      </c>
      <c r="F50" s="333">
        <v>20272540.503013901</v>
      </c>
    </row>
    <row r="51" spans="1:6">
      <c r="A51" s="1277" t="s">
        <v>42</v>
      </c>
      <c r="B51" s="1277" t="s">
        <v>43</v>
      </c>
      <c r="C51" s="333">
        <v>55</v>
      </c>
      <c r="D51" s="333">
        <v>108743927.783867</v>
      </c>
      <c r="E51" s="333">
        <v>367</v>
      </c>
      <c r="F51" s="333">
        <v>9766239.0456189793</v>
      </c>
    </row>
    <row r="52" spans="1:6">
      <c r="A52" s="1277" t="s">
        <v>42</v>
      </c>
      <c r="B52" s="1277" t="s">
        <v>29</v>
      </c>
      <c r="C52" s="333">
        <v>6</v>
      </c>
      <c r="D52" s="333">
        <v>105121.75831878401</v>
      </c>
      <c r="E52" s="333">
        <v>10</v>
      </c>
      <c r="F52" s="333">
        <v>106967.335885591</v>
      </c>
    </row>
    <row r="53" spans="1:6">
      <c r="A53" s="1277" t="s">
        <v>44</v>
      </c>
      <c r="B53" s="1277" t="s">
        <v>45</v>
      </c>
      <c r="C53" s="333">
        <v>571</v>
      </c>
      <c r="D53" s="333">
        <v>36163727.625013597</v>
      </c>
      <c r="E53" s="333">
        <v>910</v>
      </c>
      <c r="F53" s="333">
        <v>5061070.0253527202</v>
      </c>
    </row>
    <row r="54" spans="1:6">
      <c r="A54" s="1277" t="s">
        <v>46</v>
      </c>
      <c r="B54" s="1277" t="s">
        <v>47</v>
      </c>
      <c r="C54" s="333">
        <v>0</v>
      </c>
      <c r="D54" s="333">
        <v>0</v>
      </c>
      <c r="E54" s="333">
        <v>1</v>
      </c>
      <c r="F54" s="333">
        <v>3075081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95</v>
      </c>
      <c r="D57" s="333">
        <v>4444144.3887713803</v>
      </c>
      <c r="E57" s="333">
        <v>186</v>
      </c>
      <c r="F57" s="333">
        <v>7718006.0608184701</v>
      </c>
    </row>
    <row r="58" spans="1:6">
      <c r="A58" s="1277" t="s">
        <v>49</v>
      </c>
      <c r="B58" s="1277" t="s">
        <v>51</v>
      </c>
      <c r="C58" s="333">
        <v>29</v>
      </c>
      <c r="D58" s="333">
        <v>1264940.4065514</v>
      </c>
      <c r="E58" s="333">
        <v>38</v>
      </c>
      <c r="F58" s="333">
        <v>998272.90481441398</v>
      </c>
    </row>
    <row r="59" spans="1:6">
      <c r="A59" s="1277" t="s">
        <v>49</v>
      </c>
      <c r="B59" s="1277" t="s">
        <v>52</v>
      </c>
      <c r="C59" s="333">
        <v>265</v>
      </c>
      <c r="D59" s="333">
        <v>11148274.004396301</v>
      </c>
      <c r="E59" s="333">
        <v>531</v>
      </c>
      <c r="F59" s="333">
        <v>22759965.842691101</v>
      </c>
    </row>
    <row r="60" spans="1:6">
      <c r="A60" s="1277" t="s">
        <v>49</v>
      </c>
      <c r="B60" s="1277" t="s">
        <v>53</v>
      </c>
      <c r="C60" s="333">
        <v>122</v>
      </c>
      <c r="D60" s="333">
        <v>5263421.9059172301</v>
      </c>
      <c r="E60" s="333">
        <v>162</v>
      </c>
      <c r="F60" s="333">
        <v>5212394.2337046703</v>
      </c>
    </row>
    <row r="61" spans="1:6">
      <c r="A61" s="1277" t="s">
        <v>49</v>
      </c>
      <c r="B61" s="1277" t="s">
        <v>54</v>
      </c>
      <c r="C61" s="333">
        <v>315</v>
      </c>
      <c r="D61" s="333">
        <v>26312908.2029128</v>
      </c>
      <c r="E61" s="333">
        <v>965</v>
      </c>
      <c r="F61" s="333">
        <v>83917794.001307905</v>
      </c>
    </row>
    <row r="62" spans="1:6">
      <c r="A62" s="1277" t="s">
        <v>49</v>
      </c>
      <c r="B62" s="1277" t="s">
        <v>55</v>
      </c>
      <c r="C62" s="333">
        <v>12</v>
      </c>
      <c r="D62" s="333">
        <v>1499780.3047014601</v>
      </c>
      <c r="E62" s="333">
        <v>28</v>
      </c>
      <c r="F62" s="333">
        <v>833625.57157852198</v>
      </c>
    </row>
    <row r="63" spans="1:6">
      <c r="A63" s="1277" t="s">
        <v>49</v>
      </c>
      <c r="B63" s="1277" t="s">
        <v>29</v>
      </c>
      <c r="C63" s="333">
        <v>163</v>
      </c>
      <c r="D63" s="333">
        <v>19691961.8449216</v>
      </c>
      <c r="E63" s="333">
        <v>173</v>
      </c>
      <c r="F63" s="333">
        <v>11075104.5000568</v>
      </c>
    </row>
    <row r="64" spans="1:6">
      <c r="A64" s="1277" t="s">
        <v>56</v>
      </c>
      <c r="B64" s="1277" t="s">
        <v>57</v>
      </c>
      <c r="C64" s="333">
        <v>0</v>
      </c>
      <c r="D64" s="333">
        <v>0</v>
      </c>
      <c r="E64" s="333">
        <v>0</v>
      </c>
      <c r="F64" s="333">
        <v>0</v>
      </c>
    </row>
    <row r="65" spans="1:6">
      <c r="A65" s="1277" t="s">
        <v>56</v>
      </c>
      <c r="B65" s="1277" t="s">
        <v>29</v>
      </c>
      <c r="C65" s="333">
        <v>3</v>
      </c>
      <c r="D65" s="333">
        <v>83790.760166975495</v>
      </c>
      <c r="E65" s="333">
        <v>4</v>
      </c>
      <c r="F65" s="333">
        <v>79943.478167709705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8</v>
      </c>
      <c r="D68" s="333">
        <v>336456.48177841201</v>
      </c>
      <c r="E68" s="333">
        <v>46</v>
      </c>
      <c r="F68" s="333">
        <v>1380629.12213336</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113268719</v>
      </c>
      <c r="E73" s="333">
        <v>181448941.13965991</v>
      </c>
      <c r="F73" s="333">
        <v>107513961</v>
      </c>
    </row>
    <row r="74" spans="1:6">
      <c r="A74" s="1277" t="s">
        <v>64</v>
      </c>
      <c r="B74" s="1277" t="s">
        <v>774</v>
      </c>
      <c r="C74" s="1288" t="s">
        <v>775</v>
      </c>
      <c r="D74" s="333">
        <v>19554244.331827737</v>
      </c>
      <c r="E74" s="333">
        <v>31502312.612434216</v>
      </c>
      <c r="F74" s="333">
        <v>18941244.311169676</v>
      </c>
    </row>
    <row r="75" spans="1:6">
      <c r="A75" s="1277" t="s">
        <v>65</v>
      </c>
      <c r="B75" s="1277" t="s">
        <v>772</v>
      </c>
      <c r="C75" s="1288" t="s">
        <v>776</v>
      </c>
      <c r="D75" s="333">
        <v>73326331</v>
      </c>
      <c r="E75" s="333">
        <v>127849365.64532027</v>
      </c>
      <c r="F75" s="333">
        <v>71466890</v>
      </c>
    </row>
    <row r="76" spans="1:6">
      <c r="A76" s="1277" t="s">
        <v>65</v>
      </c>
      <c r="B76" s="1277" t="s">
        <v>774</v>
      </c>
      <c r="C76" s="1288" t="s">
        <v>777</v>
      </c>
      <c r="D76" s="333">
        <v>12481789.331827739</v>
      </c>
      <c r="E76" s="333">
        <v>21783597.186458554</v>
      </c>
      <c r="F76" s="333">
        <v>12471033.311169678</v>
      </c>
    </row>
    <row r="77" spans="1:6">
      <c r="A77" s="1277" t="s">
        <v>66</v>
      </c>
      <c r="B77" s="1277" t="s">
        <v>772</v>
      </c>
      <c r="C77" s="1288" t="s">
        <v>778</v>
      </c>
      <c r="D77" s="333">
        <v>294553076</v>
      </c>
      <c r="E77" s="333">
        <v>329335509.8866815</v>
      </c>
      <c r="F77" s="333">
        <v>298605844</v>
      </c>
    </row>
    <row r="78" spans="1:6">
      <c r="A78" s="1273" t="s">
        <v>66</v>
      </c>
      <c r="B78" s="1273" t="s">
        <v>774</v>
      </c>
      <c r="C78" s="1273" t="s">
        <v>779</v>
      </c>
      <c r="D78" s="1273">
        <v>81065063</v>
      </c>
      <c r="E78" s="1273">
        <v>93221529.289531812</v>
      </c>
      <c r="F78" s="336">
        <v>84240757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1166785.3363445224</v>
      </c>
      <c r="C83" s="333">
        <v>1066007.454748821</v>
      </c>
      <c r="D83" s="333">
        <v>1050651.3776606442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14206.070468537737</v>
      </c>
    </row>
    <row r="91" spans="1:6">
      <c r="A91" s="1277" t="s">
        <v>68</v>
      </c>
      <c r="B91" s="333">
        <v>5335.5800012969567</v>
      </c>
    </row>
    <row r="92" spans="1:6">
      <c r="A92" s="1273" t="s">
        <v>69</v>
      </c>
      <c r="B92" s="336">
        <v>18534.107743788234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9871</v>
      </c>
    </row>
    <row r="98" spans="1:6">
      <c r="A98" s="1277" t="s">
        <v>72</v>
      </c>
      <c r="B98" s="333">
        <v>3</v>
      </c>
    </row>
    <row r="99" spans="1:6">
      <c r="A99" s="1277" t="s">
        <v>73</v>
      </c>
      <c r="B99" s="333">
        <v>133</v>
      </c>
    </row>
    <row r="100" spans="1:6">
      <c r="A100" s="1277" t="s">
        <v>74</v>
      </c>
      <c r="B100" s="333">
        <v>2776</v>
      </c>
    </row>
    <row r="101" spans="1:6">
      <c r="A101" s="1277" t="s">
        <v>75</v>
      </c>
      <c r="B101" s="333">
        <v>316</v>
      </c>
    </row>
    <row r="102" spans="1:6">
      <c r="A102" s="1277" t="s">
        <v>76</v>
      </c>
      <c r="B102" s="333">
        <v>369</v>
      </c>
    </row>
    <row r="103" spans="1:6">
      <c r="A103" s="1277" t="s">
        <v>77</v>
      </c>
      <c r="B103" s="333">
        <v>626</v>
      </c>
    </row>
    <row r="104" spans="1:6">
      <c r="A104" s="1277" t="s">
        <v>78</v>
      </c>
      <c r="B104" s="333">
        <v>3115</v>
      </c>
    </row>
    <row r="105" spans="1:6">
      <c r="A105" s="1273" t="s">
        <v>79</v>
      </c>
      <c r="B105" s="1273">
        <v>19</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20</v>
      </c>
      <c r="C123" s="333">
        <v>60</v>
      </c>
    </row>
    <row r="124" spans="1:6">
      <c r="A124" s="1273" t="s">
        <v>89</v>
      </c>
      <c r="B124" s="333">
        <v>0</v>
      </c>
      <c r="C124" s="333">
        <v>3</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252</v>
      </c>
    </row>
    <row r="130" spans="1:6">
      <c r="A130" s="1277" t="s">
        <v>295</v>
      </c>
      <c r="B130" s="333">
        <v>1</v>
      </c>
    </row>
    <row r="131" spans="1:6">
      <c r="A131" s="1277" t="s">
        <v>296</v>
      </c>
      <c r="B131" s="333">
        <v>1</v>
      </c>
    </row>
    <row r="132" spans="1:6">
      <c r="A132" s="1273" t="s">
        <v>297</v>
      </c>
      <c r="B132" s="336">
        <v>9</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377381.86762650067</v>
      </c>
      <c r="C3" s="43" t="s">
        <v>170</v>
      </c>
      <c r="D3" s="43"/>
      <c r="E3" s="156"/>
      <c r="F3" s="43"/>
      <c r="G3" s="43"/>
      <c r="H3" s="43"/>
      <c r="I3" s="43"/>
      <c r="J3" s="43"/>
      <c r="K3" s="96"/>
    </row>
    <row r="4" spans="1:11">
      <c r="A4" s="364" t="s">
        <v>171</v>
      </c>
      <c r="B4" s="49">
        <f>IF(ISERROR('SEAP template'!B78),0,'SEAP template'!B78)</f>
        <v>51094.258213622925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12394.304117647062</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0.22392137261223033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17706.148739495802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88861.071428571435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0.19925652993874163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3075.0810000000001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3075.0810000000001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0.22392137261223033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688.57635841378988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93412.271588989301</v>
      </c>
      <c r="C5" s="17">
        <f>IF(ISERROR('Eigen informatie GS &amp; warmtenet'!B57),0,'Eigen informatie GS &amp; warmtenet'!B57)</f>
        <v>0</v>
      </c>
      <c r="D5" s="30">
        <f>(SUM(HH_hh_gas_kWh,HH_rest_gas_kWh)/1000)*0.902</f>
        <v>191203.85158326596</v>
      </c>
      <c r="E5" s="17">
        <f>B46*B57</f>
        <v>4538.5748893585551</v>
      </c>
      <c r="F5" s="17">
        <f>B51*B62</f>
        <v>0</v>
      </c>
      <c r="G5" s="18"/>
      <c r="H5" s="17"/>
      <c r="I5" s="17"/>
      <c r="J5" s="17">
        <f>B50*B61+C50*C61</f>
        <v>7796.8679435787717</v>
      </c>
      <c r="K5" s="17"/>
      <c r="L5" s="17"/>
      <c r="M5" s="17"/>
      <c r="N5" s="17">
        <f>B48*B59+C48*C59</f>
        <v>31200.01828519813</v>
      </c>
      <c r="O5" s="17">
        <f>B69*B70*B71</f>
        <v>492.45</v>
      </c>
      <c r="P5" s="17">
        <f>B77*B78*B79/1000-B77*B78*B79/1000/B80</f>
        <v>552.93333333333339</v>
      </c>
    </row>
    <row r="6" spans="1:16">
      <c r="A6" s="16" t="s">
        <v>632</v>
      </c>
      <c r="B6" s="779">
        <f>kWh_PV_kleiner_dan_10kW</f>
        <v>5335.5800012969567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98747.851590286256</v>
      </c>
      <c r="C8" s="21">
        <f>C5</f>
        <v>0</v>
      </c>
      <c r="D8" s="21">
        <f>D5</f>
        <v>191203.85158326596</v>
      </c>
      <c r="E8" s="21">
        <f>E5</f>
        <v>4538.5748893585551</v>
      </c>
      <c r="F8" s="21">
        <f>F5</f>
        <v>0</v>
      </c>
      <c r="G8" s="21"/>
      <c r="H8" s="21"/>
      <c r="I8" s="21"/>
      <c r="J8" s="21">
        <f>J5</f>
        <v>7796.8679435787717</v>
      </c>
      <c r="K8" s="21"/>
      <c r="L8" s="21">
        <f>L5</f>
        <v>0</v>
      </c>
      <c r="M8" s="21">
        <f>M5</f>
        <v>0</v>
      </c>
      <c r="N8" s="21">
        <f>N5</f>
        <v>31200.01828519813</v>
      </c>
      <c r="O8" s="21">
        <f>O5</f>
        <v>492.45</v>
      </c>
      <c r="P8" s="21">
        <f>P5</f>
        <v>552.93333333333339</v>
      </c>
    </row>
    <row r="9" spans="1:16">
      <c r="B9" s="19"/>
      <c r="C9" s="19"/>
      <c r="D9" s="260"/>
      <c r="E9" s="19"/>
      <c r="F9" s="19"/>
      <c r="G9" s="19"/>
      <c r="H9" s="19"/>
      <c r="I9" s="19"/>
      <c r="J9" s="19"/>
      <c r="K9" s="19"/>
      <c r="L9" s="19"/>
      <c r="M9" s="19"/>
      <c r="N9" s="19"/>
      <c r="O9" s="19"/>
      <c r="P9" s="19"/>
    </row>
    <row r="10" spans="1:16">
      <c r="A10" s="24" t="s">
        <v>214</v>
      </c>
      <c r="B10" s="25">
        <f ca="1">'EF ele_warmte'!B12</f>
        <v>0.22392137261223033</v>
      </c>
      <c r="C10" s="25">
        <f ca="1">'EF ele_warmte'!B22</f>
        <v>0.19925652993874163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22111.754470605709</v>
      </c>
      <c r="C12" s="23">
        <f ca="1">C10*C8</f>
        <v>0</v>
      </c>
      <c r="D12" s="23">
        <f>D8*D10</f>
        <v>38623.17801981973</v>
      </c>
      <c r="E12" s="23">
        <f>E10*E8</f>
        <v>1030.256499884392</v>
      </c>
      <c r="F12" s="23">
        <f>F10*F8</f>
        <v>0</v>
      </c>
      <c r="G12" s="23"/>
      <c r="H12" s="23"/>
      <c r="I12" s="23"/>
      <c r="J12" s="23">
        <f>J10*J8</f>
        <v>2760.0912520268848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9871</v>
      </c>
      <c r="C18" s="167" t="s">
        <v>111</v>
      </c>
      <c r="D18" s="229"/>
      <c r="E18" s="15"/>
    </row>
    <row r="19" spans="1:7">
      <c r="A19" s="172" t="s">
        <v>72</v>
      </c>
      <c r="B19" s="37">
        <f>aantalw2001_ander</f>
        <v>3</v>
      </c>
      <c r="C19" s="167" t="s">
        <v>111</v>
      </c>
      <c r="D19" s="230"/>
      <c r="E19" s="15"/>
    </row>
    <row r="20" spans="1:7">
      <c r="A20" s="172" t="s">
        <v>73</v>
      </c>
      <c r="B20" s="37">
        <f>aantalw2001_propaan</f>
        <v>133</v>
      </c>
      <c r="C20" s="168">
        <f>IF(ISERROR(B20/SUM($B$20,$B$21,$B$22)*100),0,B20/SUM($B$20,$B$21,$B$22)*100)</f>
        <v>4.1240310077519382</v>
      </c>
      <c r="D20" s="230"/>
      <c r="E20" s="15"/>
    </row>
    <row r="21" spans="1:7">
      <c r="A21" s="172" t="s">
        <v>74</v>
      </c>
      <c r="B21" s="37">
        <f>aantalw2001_elektriciteit</f>
        <v>2776</v>
      </c>
      <c r="C21" s="168">
        <f>IF(ISERROR(B21/SUM($B$20,$B$21,$B$22)*100),0,B21/SUM($B$20,$B$21,$B$22)*100)</f>
        <v>86.077519379844958</v>
      </c>
      <c r="D21" s="230"/>
      <c r="E21" s="15"/>
    </row>
    <row r="22" spans="1:7">
      <c r="A22" s="172" t="s">
        <v>75</v>
      </c>
      <c r="B22" s="37">
        <f>aantalw2001_hout</f>
        <v>316</v>
      </c>
      <c r="C22" s="168">
        <f>IF(ISERROR(B22/SUM($B$20,$B$21,$B$22)*100),0,B22/SUM($B$20,$B$21,$B$22)*100)</f>
        <v>9.7984496124031004</v>
      </c>
      <c r="D22" s="230"/>
      <c r="E22" s="15"/>
    </row>
    <row r="23" spans="1:7">
      <c r="A23" s="172" t="s">
        <v>76</v>
      </c>
      <c r="B23" s="37">
        <f>aantalw2001_niet_gespec</f>
        <v>369</v>
      </c>
      <c r="C23" s="167" t="s">
        <v>111</v>
      </c>
      <c r="D23" s="229"/>
      <c r="E23" s="15"/>
    </row>
    <row r="24" spans="1:7">
      <c r="A24" s="172" t="s">
        <v>77</v>
      </c>
      <c r="B24" s="37">
        <f>aantalw2001_steenkool</f>
        <v>626</v>
      </c>
      <c r="C24" s="167" t="s">
        <v>111</v>
      </c>
      <c r="D24" s="230"/>
      <c r="E24" s="15"/>
    </row>
    <row r="25" spans="1:7">
      <c r="A25" s="172" t="s">
        <v>78</v>
      </c>
      <c r="B25" s="37">
        <f>aantalw2001_stookolie</f>
        <v>3115</v>
      </c>
      <c r="C25" s="167" t="s">
        <v>111</v>
      </c>
      <c r="D25" s="229"/>
      <c r="E25" s="52"/>
    </row>
    <row r="26" spans="1:7">
      <c r="A26" s="172" t="s">
        <v>79</v>
      </c>
      <c r="B26" s="37">
        <f>aantalw2001_WP</f>
        <v>19</v>
      </c>
      <c r="C26" s="167" t="s">
        <v>111</v>
      </c>
      <c r="D26" s="229"/>
      <c r="E26" s="15"/>
    </row>
    <row r="27" spans="1:7" s="15" customFormat="1">
      <c r="A27" s="172"/>
      <c r="B27" s="29"/>
      <c r="C27" s="36"/>
      <c r="D27" s="229"/>
    </row>
    <row r="28" spans="1:7" s="15" customFormat="1">
      <c r="A28" s="231" t="s">
        <v>712</v>
      </c>
      <c r="B28" s="37">
        <f>aantalHuishoudens2011</f>
        <v>19064</v>
      </c>
      <c r="C28" s="36"/>
      <c r="D28" s="229"/>
    </row>
    <row r="29" spans="1:7" s="15" customFormat="1">
      <c r="A29" s="231" t="s">
        <v>713</v>
      </c>
      <c r="B29" s="37">
        <f>SUM(HH_hh_gas_aantal,HH_rest_gas_aantal)</f>
        <v>13413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13413</v>
      </c>
      <c r="C32" s="168">
        <f>IF(ISERROR(B32/SUM($B$32,$B$34,$B$35,$B$36,$B$38,$B$39)*100),0,B32/SUM($B$32,$B$34,$B$35,$B$36,$B$38,$B$39)*100)</f>
        <v>70.464933018124512</v>
      </c>
      <c r="D32" s="234"/>
      <c r="G32" s="15"/>
    </row>
    <row r="33" spans="1:7">
      <c r="A33" s="172" t="s">
        <v>72</v>
      </c>
      <c r="B33" s="34" t="s">
        <v>111</v>
      </c>
      <c r="C33" s="168"/>
      <c r="D33" s="234"/>
      <c r="G33" s="15"/>
    </row>
    <row r="34" spans="1:7">
      <c r="A34" s="172" t="s">
        <v>73</v>
      </c>
      <c r="B34" s="33">
        <f>IF((($B$28-$B$32-$B$39-$B$77-$B$38)*C20/100)&lt;0,0,($B$28-$B$32-$B$39-$B$77-$B$38)*C20/100)</f>
        <v>220.64390697674418</v>
      </c>
      <c r="C34" s="168">
        <f>IF(ISERROR(B34/SUM($B$32,$B$34,$B$35,$B$36,$B$38,$B$39)*100),0,B34/SUM($B$32,$B$34,$B$35,$B$36,$B$38,$B$39)*100)</f>
        <v>1.1591484474743587</v>
      </c>
      <c r="D34" s="234"/>
      <c r="G34" s="15"/>
    </row>
    <row r="35" spans="1:7">
      <c r="A35" s="172" t="s">
        <v>74</v>
      </c>
      <c r="B35" s="33">
        <f>IF((($B$28-$B$32-$B$39-$B$77-$B$38)*C21/100)&lt;0,0,($B$28-$B$32-$B$39-$B$77-$B$38)*C21/100)</f>
        <v>4605.3194418604653</v>
      </c>
      <c r="C35" s="168">
        <f>IF(ISERROR(B35/SUM($B$32,$B$34,$B$35,$B$36,$B$38,$B$39)*100),0,B35/SUM($B$32,$B$34,$B$35,$B$36,$B$38,$B$39)*100)</f>
        <v>24.193955565329471</v>
      </c>
      <c r="D35" s="234"/>
      <c r="G35" s="15"/>
    </row>
    <row r="36" spans="1:7">
      <c r="A36" s="172" t="s">
        <v>75</v>
      </c>
      <c r="B36" s="33">
        <f>IF((($B$28-$B$32-$B$39-$B$77-$B$38)*C22/100)&lt;0,0,($B$28-$B$32-$B$39-$B$77-$B$38)*C22/100)</f>
        <v>524.23665116279062</v>
      </c>
      <c r="C36" s="168">
        <f>IF(ISERROR(B36/SUM($B$32,$B$34,$B$35,$B$36,$B$38,$B$39)*100),0,B36/SUM($B$32,$B$34,$B$35,$B$36,$B$38,$B$39)*100)</f>
        <v>2.7540669879841904</v>
      </c>
      <c r="D36" s="234"/>
      <c r="G36" s="15"/>
    </row>
    <row r="37" spans="1:7">
      <c r="A37" s="172" t="s">
        <v>76</v>
      </c>
      <c r="B37" s="34" t="s">
        <v>111</v>
      </c>
      <c r="C37" s="168"/>
      <c r="D37" s="174"/>
      <c r="G37" s="15"/>
    </row>
    <row r="38" spans="1:7">
      <c r="A38" s="172" t="s">
        <v>77</v>
      </c>
      <c r="B38" s="33">
        <f>IF((B24-(B29-B18)*0.1)&lt;0,0,B24-(B29-B18)*0.1)</f>
        <v>271.79999999999995</v>
      </c>
      <c r="C38" s="168">
        <f>IF(ISERROR(B38/SUM($B$32,$B$34,$B$35,$B$36,$B$38,$B$39)*100),0,B38/SUM($B$32,$B$34,$B$35,$B$36,$B$38,$B$39)*100)</f>
        <v>1.4278959810874701</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13413</v>
      </c>
      <c r="C44" s="34" t="s">
        <v>111</v>
      </c>
      <c r="D44" s="175"/>
    </row>
    <row r="45" spans="1:7">
      <c r="A45" s="172" t="s">
        <v>72</v>
      </c>
      <c r="B45" s="33" t="str">
        <f t="shared" si="0"/>
        <v>-</v>
      </c>
      <c r="C45" s="34" t="s">
        <v>111</v>
      </c>
      <c r="D45" s="175"/>
    </row>
    <row r="46" spans="1:7">
      <c r="A46" s="172" t="s">
        <v>73</v>
      </c>
      <c r="B46" s="33">
        <f t="shared" si="0"/>
        <v>220.64390697674418</v>
      </c>
      <c r="C46" s="34" t="s">
        <v>111</v>
      </c>
      <c r="D46" s="175"/>
    </row>
    <row r="47" spans="1:7">
      <c r="A47" s="172" t="s">
        <v>74</v>
      </c>
      <c r="B47" s="33">
        <f t="shared" si="0"/>
        <v>4605.3194418604653</v>
      </c>
      <c r="C47" s="34" t="s">
        <v>111</v>
      </c>
      <c r="D47" s="175"/>
    </row>
    <row r="48" spans="1:7">
      <c r="A48" s="172" t="s">
        <v>75</v>
      </c>
      <c r="B48" s="33">
        <f t="shared" si="0"/>
        <v>524.23665116279062</v>
      </c>
      <c r="C48" s="33">
        <f>B48*10</f>
        <v>5242.3665116279062</v>
      </c>
      <c r="D48" s="235"/>
    </row>
    <row r="49" spans="1:6">
      <c r="A49" s="172" t="s">
        <v>76</v>
      </c>
      <c r="B49" s="33" t="str">
        <f t="shared" si="0"/>
        <v>-</v>
      </c>
      <c r="C49" s="34" t="s">
        <v>111</v>
      </c>
      <c r="D49" s="235"/>
    </row>
    <row r="50" spans="1:6">
      <c r="A50" s="172" t="s">
        <v>77</v>
      </c>
      <c r="B50" s="33">
        <f t="shared" si="0"/>
        <v>271.79999999999995</v>
      </c>
      <c r="C50" s="33">
        <f>B50*2</f>
        <v>543.59999999999991</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315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132515.16311497189</v>
      </c>
      <c r="C5" s="17">
        <f>IF(ISERROR('Eigen informatie GS &amp; warmtenet'!B58),0,'Eigen informatie GS &amp; warmtenet'!B58)</f>
        <v>0</v>
      </c>
      <c r="D5" s="30">
        <f>SUM(D6:D12)</f>
        <v>62802.138814471298</v>
      </c>
      <c r="E5" s="17">
        <f>SUM(E6:E12)</f>
        <v>3633.9751555829289</v>
      </c>
      <c r="F5" s="17">
        <f>SUM(F6:F12)</f>
        <v>22221.583572469695</v>
      </c>
      <c r="G5" s="18"/>
      <c r="H5" s="17"/>
      <c r="I5" s="17"/>
      <c r="J5" s="17">
        <f>SUM(J6:J12)</f>
        <v>0</v>
      </c>
      <c r="K5" s="17"/>
      <c r="L5" s="17"/>
      <c r="M5" s="17"/>
      <c r="N5" s="17">
        <f>SUM(N6:N12)</f>
        <v>2763.3415995585538</v>
      </c>
      <c r="O5" s="17">
        <f>B38*B39*B40</f>
        <v>1.5633333333333335</v>
      </c>
      <c r="P5" s="17">
        <f>B46*B47*B48/1000-B46*B47*B48/1000/B49</f>
        <v>19.066666666666666</v>
      </c>
      <c r="R5" s="32"/>
    </row>
    <row r="6" spans="1:18">
      <c r="A6" s="32" t="s">
        <v>54</v>
      </c>
      <c r="B6" s="37">
        <f>B26</f>
        <v>83917.794001307906</v>
      </c>
      <c r="C6" s="33"/>
      <c r="D6" s="37">
        <f>IF(ISERROR(TER_kantoor_gas_kWh/1000),0,TER_kantoor_gas_kWh/1000)*0.902</f>
        <v>23734.243199027347</v>
      </c>
      <c r="E6" s="33">
        <f>$C$26*'E Balans VL '!I12/100/3.6*1000000</f>
        <v>2937.4529013855667</v>
      </c>
      <c r="F6" s="33">
        <f>$C$26*('E Balans VL '!L12+'E Balans VL '!N12)/100/3.6*1000000</f>
        <v>12723.739267980469</v>
      </c>
      <c r="G6" s="34"/>
      <c r="H6" s="33"/>
      <c r="I6" s="33"/>
      <c r="J6" s="33">
        <f>$C$26*('E Balans VL '!D12+'E Balans VL '!E12)/100/3.6*1000000</f>
        <v>0</v>
      </c>
      <c r="K6" s="33"/>
      <c r="L6" s="33"/>
      <c r="M6" s="33"/>
      <c r="N6" s="33">
        <f>$C$26*'E Balans VL '!Y12/100/3.6*1000000</f>
        <v>648.65828208344806</v>
      </c>
      <c r="O6" s="33"/>
      <c r="P6" s="33"/>
      <c r="R6" s="32"/>
    </row>
    <row r="7" spans="1:18">
      <c r="A7" s="32" t="s">
        <v>53</v>
      </c>
      <c r="B7" s="37">
        <f t="shared" ref="B7:B12" si="0">B27</f>
        <v>5212.3942337046701</v>
      </c>
      <c r="C7" s="33"/>
      <c r="D7" s="37">
        <f>IF(ISERROR(TER_horeca_gas_kWh/1000),0,TER_horeca_gas_kWh/1000)*0.902</f>
        <v>4747.6065591373417</v>
      </c>
      <c r="E7" s="33">
        <f>$C$27*'E Balans VL '!I9/100/3.6*1000000</f>
        <v>294.04834274490236</v>
      </c>
      <c r="F7" s="33">
        <f>$C$27*('E Balans VL '!L9+'E Balans VL '!N9)/100/3.6*1000000</f>
        <v>908.02792127140481</v>
      </c>
      <c r="G7" s="34"/>
      <c r="H7" s="33"/>
      <c r="I7" s="33"/>
      <c r="J7" s="33">
        <f>$C$27*('E Balans VL '!D9+'E Balans VL '!E9)/100/3.6*1000000</f>
        <v>0</v>
      </c>
      <c r="K7" s="33"/>
      <c r="L7" s="33"/>
      <c r="M7" s="33"/>
      <c r="N7" s="33">
        <f>$C$27*'E Balans VL '!Y9/100/3.6*1000000</f>
        <v>0</v>
      </c>
      <c r="O7" s="33"/>
      <c r="P7" s="33"/>
      <c r="R7" s="32"/>
    </row>
    <row r="8" spans="1:18">
      <c r="A8" s="6" t="s">
        <v>52</v>
      </c>
      <c r="B8" s="37">
        <f t="shared" si="0"/>
        <v>22759.965842691101</v>
      </c>
      <c r="C8" s="33"/>
      <c r="D8" s="37">
        <f>IF(ISERROR(TER_handel_gas_kWh/1000),0,TER_handel_gas_kWh/1000)*0.902</f>
        <v>10055.743151965464</v>
      </c>
      <c r="E8" s="33">
        <f>$C$28*'E Balans VL '!I13/100/3.6*1000000</f>
        <v>116.8473522573838</v>
      </c>
      <c r="F8" s="33">
        <f>$C$28*('E Balans VL '!L13+'E Balans VL '!N13)/100/3.6*1000000</f>
        <v>3509.2350553694196</v>
      </c>
      <c r="G8" s="34"/>
      <c r="H8" s="33"/>
      <c r="I8" s="33"/>
      <c r="J8" s="33">
        <f>$C$28*('E Balans VL '!D13+'E Balans VL '!E13)/100/3.6*1000000</f>
        <v>0</v>
      </c>
      <c r="K8" s="33"/>
      <c r="L8" s="33"/>
      <c r="M8" s="33"/>
      <c r="N8" s="33">
        <f>$C$28*'E Balans VL '!Y13/100/3.6*1000000</f>
        <v>10.645113847405728</v>
      </c>
      <c r="O8" s="33"/>
      <c r="P8" s="33"/>
      <c r="R8" s="32"/>
    </row>
    <row r="9" spans="1:18">
      <c r="A9" s="32" t="s">
        <v>51</v>
      </c>
      <c r="B9" s="37">
        <f t="shared" si="0"/>
        <v>998.27290481441401</v>
      </c>
      <c r="C9" s="33"/>
      <c r="D9" s="37">
        <f>IF(ISERROR(TER_gezond_gas_kWh/1000),0,TER_gezond_gas_kWh/1000)*0.902</f>
        <v>1140.9762467093628</v>
      </c>
      <c r="E9" s="33">
        <f>$C$29*'E Balans VL '!I10/100/3.6*1000000</f>
        <v>0.41377700960074754</v>
      </c>
      <c r="F9" s="33">
        <f>$C$29*('E Balans VL '!L10+'E Balans VL '!N10)/100/3.6*1000000</f>
        <v>245.86029931253529</v>
      </c>
      <c r="G9" s="34"/>
      <c r="H9" s="33"/>
      <c r="I9" s="33"/>
      <c r="J9" s="33">
        <f>$C$29*('E Balans VL '!D10+'E Balans VL '!E10)/100/3.6*1000000</f>
        <v>0</v>
      </c>
      <c r="K9" s="33"/>
      <c r="L9" s="33"/>
      <c r="M9" s="33"/>
      <c r="N9" s="33">
        <f>$C$29*'E Balans VL '!Y10/100/3.6*1000000</f>
        <v>8.6275487479377109</v>
      </c>
      <c r="O9" s="33"/>
      <c r="P9" s="33"/>
      <c r="R9" s="32"/>
    </row>
    <row r="10" spans="1:18">
      <c r="A10" s="32" t="s">
        <v>50</v>
      </c>
      <c r="B10" s="37">
        <f t="shared" si="0"/>
        <v>7718.0060608184704</v>
      </c>
      <c r="C10" s="33"/>
      <c r="D10" s="37">
        <f>IF(ISERROR(TER_ander_gas_kWh/1000),0,TER_ander_gas_kWh/1000)*0.902</f>
        <v>4008.6182386717851</v>
      </c>
      <c r="E10" s="33">
        <f>$C$30*'E Balans VL '!I14/100/3.6*1000000</f>
        <v>47.049155370777868</v>
      </c>
      <c r="F10" s="33">
        <f>$C$30*('E Balans VL '!L14+'E Balans VL '!N14)/100/3.6*1000000</f>
        <v>2046.1491314131374</v>
      </c>
      <c r="G10" s="34"/>
      <c r="H10" s="33"/>
      <c r="I10" s="33"/>
      <c r="J10" s="33">
        <f>$C$30*('E Balans VL '!D14+'E Balans VL '!E14)/100/3.6*1000000</f>
        <v>0</v>
      </c>
      <c r="K10" s="33"/>
      <c r="L10" s="33"/>
      <c r="M10" s="33"/>
      <c r="N10" s="33">
        <f>$C$30*'E Balans VL '!Y14/100/3.6*1000000</f>
        <v>1778.8336231829408</v>
      </c>
      <c r="O10" s="33"/>
      <c r="P10" s="33"/>
      <c r="R10" s="32"/>
    </row>
    <row r="11" spans="1:18">
      <c r="A11" s="32" t="s">
        <v>55</v>
      </c>
      <c r="B11" s="37">
        <f t="shared" si="0"/>
        <v>833.625571578522</v>
      </c>
      <c r="C11" s="33"/>
      <c r="D11" s="37">
        <f>IF(ISERROR(TER_onderwijs_gas_kWh/1000),0,TER_onderwijs_gas_kWh/1000)*0.902</f>
        <v>1352.801834840717</v>
      </c>
      <c r="E11" s="33">
        <f>$C$31*'E Balans VL '!I11/100/3.6*1000000</f>
        <v>0.63526609288491565</v>
      </c>
      <c r="F11" s="33">
        <f>$C$31*('E Balans VL '!L11+'E Balans VL '!N11)/100/3.6*1000000</f>
        <v>603.25714817637731</v>
      </c>
      <c r="G11" s="34"/>
      <c r="H11" s="33"/>
      <c r="I11" s="33"/>
      <c r="J11" s="33">
        <f>$C$31*('E Balans VL '!D11+'E Balans VL '!E11)/100/3.6*1000000</f>
        <v>0</v>
      </c>
      <c r="K11" s="33"/>
      <c r="L11" s="33"/>
      <c r="M11" s="33"/>
      <c r="N11" s="33">
        <f>$C$31*'E Balans VL '!Y11/100/3.6*1000000</f>
        <v>2.4568937923230969</v>
      </c>
      <c r="O11" s="33"/>
      <c r="P11" s="33"/>
      <c r="R11" s="32"/>
    </row>
    <row r="12" spans="1:18">
      <c r="A12" s="32" t="s">
        <v>260</v>
      </c>
      <c r="B12" s="37">
        <f t="shared" si="0"/>
        <v>11075.104500056799</v>
      </c>
      <c r="C12" s="33"/>
      <c r="D12" s="37">
        <f>IF(ISERROR(TER_rest_gas_kWh/1000),0,TER_rest_gas_kWh/1000)*0.902</f>
        <v>17762.149584119285</v>
      </c>
      <c r="E12" s="33">
        <f>$C$32*'E Balans VL '!I8/100/3.6*1000000</f>
        <v>237.52836072181236</v>
      </c>
      <c r="F12" s="33">
        <f>$C$32*('E Balans VL '!L8+'E Balans VL '!N8)/100/3.6*1000000</f>
        <v>2185.3147489463513</v>
      </c>
      <c r="G12" s="34"/>
      <c r="H12" s="33"/>
      <c r="I12" s="33"/>
      <c r="J12" s="33">
        <f>$C$32*('E Balans VL '!D8+'E Balans VL '!E8)/100/3.6*1000000</f>
        <v>0</v>
      </c>
      <c r="K12" s="33"/>
      <c r="L12" s="33"/>
      <c r="M12" s="33"/>
      <c r="N12" s="33">
        <f>$C$32*'E Balans VL '!Y8/100/3.6*1000000</f>
        <v>314.12013790449845</v>
      </c>
      <c r="O12" s="33"/>
      <c r="P12" s="33"/>
      <c r="R12" s="32"/>
    </row>
    <row r="13" spans="1:18">
      <c r="A13" s="16" t="s">
        <v>496</v>
      </c>
      <c r="B13" s="248">
        <f ca="1">'lokale energieproductie'!N91+'lokale energieproductie'!N60</f>
        <v>147.75</v>
      </c>
      <c r="C13" s="248">
        <f ca="1">'lokale energieproductie'!O91+'lokale energieproductie'!O60</f>
        <v>211.07142857142858</v>
      </c>
      <c r="D13" s="311">
        <f ca="1">('lokale energieproductie'!P60+'lokale energieproductie'!P91)*(-1)</f>
        <v>-422.14285714285717</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132662.91311497189</v>
      </c>
      <c r="C16" s="21">
        <f ca="1">C5+C13+C14</f>
        <v>211.07142857142858</v>
      </c>
      <c r="D16" s="21">
        <f t="shared" ref="D16:N16" ca="1" si="1">MAX((D5+D13+D14),0)</f>
        <v>62379.995957328443</v>
      </c>
      <c r="E16" s="21">
        <f t="shared" si="1"/>
        <v>3633.9751555829289</v>
      </c>
      <c r="F16" s="21">
        <f t="shared" ca="1" si="1"/>
        <v>22221.583572469695</v>
      </c>
      <c r="G16" s="21">
        <f t="shared" si="1"/>
        <v>0</v>
      </c>
      <c r="H16" s="21">
        <f t="shared" si="1"/>
        <v>0</v>
      </c>
      <c r="I16" s="21">
        <f t="shared" si="1"/>
        <v>0</v>
      </c>
      <c r="J16" s="21">
        <f t="shared" si="1"/>
        <v>0</v>
      </c>
      <c r="K16" s="21">
        <f t="shared" si="1"/>
        <v>0</v>
      </c>
      <c r="L16" s="21">
        <f t="shared" ca="1" si="1"/>
        <v>0</v>
      </c>
      <c r="M16" s="21">
        <f t="shared" si="1"/>
        <v>0</v>
      </c>
      <c r="N16" s="21">
        <f t="shared" ca="1" si="1"/>
        <v>2763.3415995585538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0.22392137261223033</v>
      </c>
      <c r="C18" s="25">
        <f ca="1">'EF ele_warmte'!B22</f>
        <v>0.19925652993874163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29706.061599441557</v>
      </c>
      <c r="C20" s="23">
        <f t="shared" ref="C20:P20" ca="1" si="2">C16*C18</f>
        <v>42.057360426355828</v>
      </c>
      <c r="D20" s="23">
        <f t="shared" ca="1" si="2"/>
        <v>12600.759183380347</v>
      </c>
      <c r="E20" s="23">
        <f t="shared" si="2"/>
        <v>824.9123603173249</v>
      </c>
      <c r="F20" s="23">
        <f t="shared" ca="1" si="2"/>
        <v>5933.1628138494088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83917.794001307906</v>
      </c>
      <c r="C26" s="39">
        <f>IF(ISERROR(B26*3.6/1000000/'E Balans VL '!Z12*100),0,B26*3.6/1000000/'E Balans VL '!Z12*100)</f>
        <v>1.7659108075716239</v>
      </c>
      <c r="D26" s="238" t="s">
        <v>719</v>
      </c>
      <c r="F26" s="6"/>
    </row>
    <row r="27" spans="1:18">
      <c r="A27" s="232" t="s">
        <v>53</v>
      </c>
      <c r="B27" s="33">
        <f>IF(ISERROR(TER_horeca_ele_kWh/1000),0,TER_horeca_ele_kWh/1000)</f>
        <v>5212.3942337046701</v>
      </c>
      <c r="C27" s="39">
        <f>IF(ISERROR(B27*3.6/1000000/'E Balans VL '!Z9*100),0,B27*3.6/1000000/'E Balans VL '!Z9*100)</f>
        <v>0.44131877307561523</v>
      </c>
      <c r="D27" s="238" t="s">
        <v>719</v>
      </c>
      <c r="F27" s="6"/>
    </row>
    <row r="28" spans="1:18">
      <c r="A28" s="172" t="s">
        <v>52</v>
      </c>
      <c r="B28" s="33">
        <f>IF(ISERROR(TER_handel_ele_kWh/1000),0,TER_handel_ele_kWh/1000)</f>
        <v>22759.965842691101</v>
      </c>
      <c r="C28" s="39">
        <f>IF(ISERROR(B28*3.6/1000000/'E Balans VL '!Z13*100),0,B28*3.6/1000000/'E Balans VL '!Z13*100)</f>
        <v>0.6301065071285461</v>
      </c>
      <c r="D28" s="238" t="s">
        <v>719</v>
      </c>
      <c r="F28" s="6"/>
    </row>
    <row r="29" spans="1:18">
      <c r="A29" s="232" t="s">
        <v>51</v>
      </c>
      <c r="B29" s="33">
        <f>IF(ISERROR(TER_gezond_ele_kWh/1000),0,TER_gezond_ele_kWh/1000)</f>
        <v>998.27290481441401</v>
      </c>
      <c r="C29" s="39">
        <f>IF(ISERROR(B29*3.6/1000000/'E Balans VL '!Z10*100),0,B29*3.6/1000000/'E Balans VL '!Z10*100)</f>
        <v>0.12976441048040857</v>
      </c>
      <c r="D29" s="238" t="s">
        <v>719</v>
      </c>
      <c r="F29" s="6"/>
    </row>
    <row r="30" spans="1:18">
      <c r="A30" s="232" t="s">
        <v>50</v>
      </c>
      <c r="B30" s="33">
        <f>IF(ISERROR(TER_ander_ele_kWh/1000),0,TER_ander_ele_kWh/1000)</f>
        <v>7718.0060608184704</v>
      </c>
      <c r="C30" s="39">
        <f>IF(ISERROR(B30*3.6/1000000/'E Balans VL '!Z14*100),0,B30*3.6/1000000/'E Balans VL '!Z14*100)</f>
        <v>0.59821624923592898</v>
      </c>
      <c r="D30" s="238" t="s">
        <v>719</v>
      </c>
      <c r="F30" s="6"/>
    </row>
    <row r="31" spans="1:18">
      <c r="A31" s="232" t="s">
        <v>55</v>
      </c>
      <c r="B31" s="33">
        <f>IF(ISERROR(TER_onderwijs_ele_kWh/1000),0,TER_onderwijs_ele_kWh/1000)</f>
        <v>833.625571578522</v>
      </c>
      <c r="C31" s="39">
        <f>IF(ISERROR(B31*3.6/1000000/'E Balans VL '!Z11*100),0,B31*3.6/1000000/'E Balans VL '!Z11*100)</f>
        <v>0.15948677652210952</v>
      </c>
      <c r="D31" s="238" t="s">
        <v>719</v>
      </c>
    </row>
    <row r="32" spans="1:18">
      <c r="A32" s="232" t="s">
        <v>260</v>
      </c>
      <c r="B32" s="33">
        <f>IF(ISERROR(TER_rest_ele_kWh/1000),0,TER_rest_ele_kWh/1000)</f>
        <v>11075.104500056799</v>
      </c>
      <c r="C32" s="39">
        <f>IF(ISERROR(B32*3.6/1000000/'E Balans VL '!Z8*100),0,B32*3.6/1000000/'E Balans VL '!Z8*100)</f>
        <v>9.1322741348078454E-2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124987.90401412264</v>
      </c>
      <c r="C5" s="17">
        <f>IF(ISERROR('Eigen informatie GS &amp; warmtenet'!B59),0,'Eigen informatie GS &amp; warmtenet'!B59)</f>
        <v>0</v>
      </c>
      <c r="D5" s="30">
        <f>SUM(D6:D15)</f>
        <v>26907.565531344546</v>
      </c>
      <c r="E5" s="17">
        <f>SUM(E6:E15)</f>
        <v>1289.0443883375499</v>
      </c>
      <c r="F5" s="17">
        <f>SUM(F6:F15)</f>
        <v>39533.050063149625</v>
      </c>
      <c r="G5" s="18"/>
      <c r="H5" s="17"/>
      <c r="I5" s="17"/>
      <c r="J5" s="17">
        <f>SUM(J6:J15)</f>
        <v>472.15144129622888</v>
      </c>
      <c r="K5" s="17"/>
      <c r="L5" s="17"/>
      <c r="M5" s="17"/>
      <c r="N5" s="17">
        <f>SUM(N6:N15)</f>
        <v>3745.6947730277416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645.028014862752</v>
      </c>
      <c r="C8" s="33"/>
      <c r="D8" s="37">
        <f>IF( ISERROR(IND_metaal_Gas_kWH/1000),0,IND_metaal_Gas_kWH/1000)*0.902</f>
        <v>0</v>
      </c>
      <c r="E8" s="33">
        <f>C30*'E Balans VL '!I18/100/3.6*1000000</f>
        <v>4.532469541464704</v>
      </c>
      <c r="F8" s="33">
        <f>C30*'E Balans VL '!L18/100/3.6*1000000+C30*'E Balans VL '!N18/100/3.6*1000000</f>
        <v>70.820302246595034</v>
      </c>
      <c r="G8" s="34"/>
      <c r="H8" s="33"/>
      <c r="I8" s="33"/>
      <c r="J8" s="40">
        <f>C30*'E Balans VL '!D18/100/3.6*1000000+C30*'E Balans VL '!E18/100/3.6*1000000</f>
        <v>13.308318234694779</v>
      </c>
      <c r="K8" s="33"/>
      <c r="L8" s="33"/>
      <c r="M8" s="33"/>
      <c r="N8" s="33">
        <f>C30*'E Balans VL '!Y18/100/3.6*1000000</f>
        <v>2.4176114545733967</v>
      </c>
      <c r="O8" s="33"/>
      <c r="P8" s="33"/>
      <c r="R8" s="32"/>
    </row>
    <row r="9" spans="1:18">
      <c r="A9" s="6" t="s">
        <v>33</v>
      </c>
      <c r="B9" s="37">
        <f t="shared" si="0"/>
        <v>32039.561505156402</v>
      </c>
      <c r="C9" s="33"/>
      <c r="D9" s="37">
        <f>IF( ISERROR(IND_andere_gas_kWh/1000),0,IND_andere_gas_kWh/1000)*0.902</f>
        <v>3392.8346154326823</v>
      </c>
      <c r="E9" s="33">
        <f>C31*'E Balans VL '!I19/100/3.6*1000000</f>
        <v>538.14368519511936</v>
      </c>
      <c r="F9" s="33">
        <f>C31*'E Balans VL '!L19/100/3.6*1000000+C31*'E Balans VL '!N19/100/3.6*1000000</f>
        <v>25046.704347564111</v>
      </c>
      <c r="G9" s="34"/>
      <c r="H9" s="33"/>
      <c r="I9" s="33"/>
      <c r="J9" s="40">
        <f>C31*'E Balans VL '!D19/100/3.6*1000000+C31*'E Balans VL '!E19/100/3.6*1000000</f>
        <v>2.8896856222232348</v>
      </c>
      <c r="K9" s="33"/>
      <c r="L9" s="33"/>
      <c r="M9" s="33"/>
      <c r="N9" s="33">
        <f>C31*'E Balans VL '!Y19/100/3.6*1000000</f>
        <v>2374.6455370426856</v>
      </c>
      <c r="O9" s="33"/>
      <c r="P9" s="33"/>
      <c r="R9" s="32"/>
    </row>
    <row r="10" spans="1:18">
      <c r="A10" s="6" t="s">
        <v>41</v>
      </c>
      <c r="B10" s="37">
        <f t="shared" si="0"/>
        <v>20272.540503013901</v>
      </c>
      <c r="C10" s="33"/>
      <c r="D10" s="37">
        <f>IF( ISERROR(IND_voed_gas_kWh/1000),0,IND_voed_gas_kWh/1000)*0.902</f>
        <v>941.82376141567374</v>
      </c>
      <c r="E10" s="33">
        <f>C32*'E Balans VL '!I20/100/3.6*1000000</f>
        <v>184.95823529569785</v>
      </c>
      <c r="F10" s="33">
        <f>C32*'E Balans VL '!L20/100/3.6*1000000+C32*'E Balans VL '!N20/100/3.6*1000000</f>
        <v>3270.5948710949579</v>
      </c>
      <c r="G10" s="34"/>
      <c r="H10" s="33"/>
      <c r="I10" s="33"/>
      <c r="J10" s="40">
        <f>C32*'E Balans VL '!D20/100/3.6*1000000+C32*'E Balans VL '!E20/100/3.6*1000000</f>
        <v>83.495613112332506</v>
      </c>
      <c r="K10" s="33"/>
      <c r="L10" s="33"/>
      <c r="M10" s="33"/>
      <c r="N10" s="33">
        <f>C32*'E Balans VL '!Y20/100/3.6*1000000</f>
        <v>296.571282212261</v>
      </c>
      <c r="O10" s="33"/>
      <c r="P10" s="33"/>
      <c r="R10" s="32"/>
    </row>
    <row r="11" spans="1:18">
      <c r="A11" s="6" t="s">
        <v>40</v>
      </c>
      <c r="B11" s="37">
        <f t="shared" si="0"/>
        <v>29.7977087181477</v>
      </c>
      <c r="C11" s="33"/>
      <c r="D11" s="37">
        <f>IF( ISERROR(IND_textiel_gas_kWh/1000),0,IND_textiel_gas_kWh/1000)*0.902</f>
        <v>0</v>
      </c>
      <c r="E11" s="33">
        <f>C33*'E Balans VL '!I21/100/3.6*1000000</f>
        <v>6.7963046347446085E-2</v>
      </c>
      <c r="F11" s="33">
        <f>C33*'E Balans VL '!L21/100/3.6*1000000+C33*'E Balans VL '!N21/100/3.6*1000000</f>
        <v>0.63695366110073359</v>
      </c>
      <c r="G11" s="34"/>
      <c r="H11" s="33"/>
      <c r="I11" s="33"/>
      <c r="J11" s="40">
        <f>C33*'E Balans VL '!D21/100/3.6*1000000+C33*'E Balans VL '!E21/100/3.6*1000000</f>
        <v>0</v>
      </c>
      <c r="K11" s="33"/>
      <c r="L11" s="33"/>
      <c r="M11" s="33"/>
      <c r="N11" s="33">
        <f>C33*'E Balans VL '!Y21/100/3.6*1000000</f>
        <v>0.21138092565118985</v>
      </c>
      <c r="O11" s="33"/>
      <c r="P11" s="33"/>
      <c r="R11" s="32"/>
    </row>
    <row r="12" spans="1:18">
      <c r="A12" s="6" t="s">
        <v>37</v>
      </c>
      <c r="B12" s="37">
        <f t="shared" si="0"/>
        <v>51.002768720417997</v>
      </c>
      <c r="C12" s="33"/>
      <c r="D12" s="37">
        <f>IF( ISERROR(IND_min_gas_kWh/1000),0,IND_min_gas_kWh/1000)*0.902</f>
        <v>98.738164776577463</v>
      </c>
      <c r="E12" s="33">
        <f>C34*'E Balans VL '!I22/100/3.6*1000000</f>
        <v>1.265034476731725</v>
      </c>
      <c r="F12" s="33">
        <f>C34*'E Balans VL '!L22/100/3.6*1000000+C34*'E Balans VL '!N22/100/3.6*1000000</f>
        <v>5.4195325278641766</v>
      </c>
      <c r="G12" s="34"/>
      <c r="H12" s="33"/>
      <c r="I12" s="33"/>
      <c r="J12" s="40">
        <f>C34*'E Balans VL '!D22/100/3.6*1000000+C34*'E Balans VL '!E22/100/3.6*1000000</f>
        <v>0.2897256528288642</v>
      </c>
      <c r="K12" s="33"/>
      <c r="L12" s="33"/>
      <c r="M12" s="33"/>
      <c r="N12" s="33">
        <f>C34*'E Balans VL '!Y22/100/3.6*1000000</f>
        <v>0</v>
      </c>
      <c r="O12" s="33"/>
      <c r="P12" s="33"/>
      <c r="R12" s="32"/>
    </row>
    <row r="13" spans="1:18">
      <c r="A13" s="6" t="s">
        <v>39</v>
      </c>
      <c r="B13" s="37">
        <f t="shared" si="0"/>
        <v>171.99181306672</v>
      </c>
      <c r="C13" s="33"/>
      <c r="D13" s="37">
        <f>IF( ISERROR(IND_papier_gas_kWh/1000),0,IND_papier_gas_kWh/1000)*0.902</f>
        <v>161.71412590493813</v>
      </c>
      <c r="E13" s="33">
        <f>C35*'E Balans VL '!I23/100/3.6*1000000</f>
        <v>5.2917392294073462</v>
      </c>
      <c r="F13" s="33">
        <f>C35*'E Balans VL '!L23/100/3.6*1000000+C35*'E Balans VL '!N23/100/3.6*1000000</f>
        <v>36.519872672801363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16505.646858420201</v>
      </c>
      <c r="C14" s="33"/>
      <c r="D14" s="37">
        <f>IF( ISERROR(IND_chemie_gas_kWh/1000),0,IND_chemie_gas_kWh/1000)*0.902</f>
        <v>0</v>
      </c>
      <c r="E14" s="33">
        <f>C36*'E Balans VL '!I24/100/3.6*1000000</f>
        <v>55.965511389877463</v>
      </c>
      <c r="F14" s="33">
        <f>C36*'E Balans VL '!L24/100/3.6*1000000+C36*'E Balans VL '!N24/100/3.6*1000000</f>
        <v>52.97061985729637</v>
      </c>
      <c r="G14" s="34"/>
      <c r="H14" s="33"/>
      <c r="I14" s="33"/>
      <c r="J14" s="40">
        <f>C36*'E Balans VL '!D24/100/3.6*1000000+C36*'E Balans VL '!E24/100/3.6*1000000</f>
        <v>0</v>
      </c>
      <c r="K14" s="33"/>
      <c r="L14" s="33"/>
      <c r="M14" s="33"/>
      <c r="N14" s="33">
        <f>C36*'E Balans VL '!Y24/100/3.6*1000000</f>
        <v>77.175931600085519</v>
      </c>
      <c r="O14" s="33"/>
      <c r="P14" s="33"/>
      <c r="R14" s="32"/>
    </row>
    <row r="15" spans="1:18">
      <c r="A15" s="6" t="s">
        <v>270</v>
      </c>
      <c r="B15" s="37">
        <f t="shared" si="0"/>
        <v>55272.334842164099</v>
      </c>
      <c r="C15" s="33"/>
      <c r="D15" s="37">
        <f>IF( ISERROR(IND_rest_gas_kWh/1000),0,IND_rest_gas_kWh/1000)*0.902</f>
        <v>22312.454863814673</v>
      </c>
      <c r="E15" s="33">
        <f>C37*'E Balans VL '!I15/100/3.6*1000000</f>
        <v>498.81975016290409</v>
      </c>
      <c r="F15" s="33">
        <f>C37*'E Balans VL '!L15/100/3.6*1000000+C37*'E Balans VL '!N15/100/3.6*1000000</f>
        <v>11049.383563524898</v>
      </c>
      <c r="G15" s="34"/>
      <c r="H15" s="33"/>
      <c r="I15" s="33"/>
      <c r="J15" s="40">
        <f>C37*'E Balans VL '!D15/100/3.6*1000000+C37*'E Balans VL '!E15/100/3.6*1000000</f>
        <v>372.16809867414952</v>
      </c>
      <c r="K15" s="33"/>
      <c r="L15" s="33"/>
      <c r="M15" s="33"/>
      <c r="N15" s="33">
        <f>C37*'E Balans VL '!Y15/100/3.6*1000000</f>
        <v>994.67302979248484</v>
      </c>
      <c r="O15" s="33"/>
      <c r="P15" s="33"/>
      <c r="R15" s="32"/>
    </row>
    <row r="16" spans="1:18">
      <c r="A16" s="16" t="s">
        <v>496</v>
      </c>
      <c r="B16" s="248">
        <f>'lokale energieproductie'!N90+'lokale energieproductie'!N59</f>
        <v>2970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-8485.7142857142862</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127957.90401412264</v>
      </c>
      <c r="C18" s="21">
        <f>C5+C16</f>
        <v>0</v>
      </c>
      <c r="D18" s="21">
        <f>MAX((D5+D16),0)</f>
        <v>26907.565531344546</v>
      </c>
      <c r="E18" s="21">
        <f>MAX((E5+E16),0)</f>
        <v>1289.0443883375499</v>
      </c>
      <c r="F18" s="21">
        <f>MAX((F5+F16),0)</f>
        <v>39533.050063149625</v>
      </c>
      <c r="G18" s="21"/>
      <c r="H18" s="21"/>
      <c r="I18" s="21"/>
      <c r="J18" s="21">
        <f>MAX((J5+J16),0)</f>
        <v>472.15144129622888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0.22392137261223033</v>
      </c>
      <c r="C20" s="25">
        <f ca="1">'EF ele_warmte'!B22</f>
        <v>0.19925652993874163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28652.509503426358</v>
      </c>
      <c r="C22" s="23">
        <f ca="1">C18*C20</f>
        <v>0</v>
      </c>
      <c r="D22" s="23">
        <f>D18*D20</f>
        <v>5435.3282373315988</v>
      </c>
      <c r="E22" s="23">
        <f>E18*E20</f>
        <v>292.61307615262382</v>
      </c>
      <c r="F22" s="23">
        <f>F18*F20</f>
        <v>10555.32436686095</v>
      </c>
      <c r="G22" s="23"/>
      <c r="H22" s="23"/>
      <c r="I22" s="23"/>
      <c r="J22" s="23">
        <f>J18*J20</f>
        <v>167.14161021886503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645.028014862752</v>
      </c>
      <c r="C30" s="39">
        <f>IF(ISERROR(B30*3.6/1000000/'E Balans VL '!Z18*100),0,B30*3.6/1000000/'E Balans VL '!Z18*100)</f>
        <v>4.2939908836526312E-2</v>
      </c>
      <c r="D30" s="238" t="s">
        <v>719</v>
      </c>
    </row>
    <row r="31" spans="1:18">
      <c r="A31" s="6" t="s">
        <v>33</v>
      </c>
      <c r="B31" s="37">
        <f>IF( ISERROR(IND_ander_ele_kWh/1000),0,IND_ander_ele_kWh/1000)</f>
        <v>32039.561505156402</v>
      </c>
      <c r="C31" s="39">
        <f>IF(ISERROR(B31*3.6/1000000/'E Balans VL '!Z19*100),0,B31*3.6/1000000/'E Balans VL '!Z19*100)</f>
        <v>1.4201867904441838</v>
      </c>
      <c r="D31" s="238" t="s">
        <v>719</v>
      </c>
    </row>
    <row r="32" spans="1:18">
      <c r="A32" s="172" t="s">
        <v>41</v>
      </c>
      <c r="B32" s="37">
        <f>IF( ISERROR(IND_voed_ele_kWh/1000),0,IND_voed_ele_kWh/1000)</f>
        <v>20272.540503013901</v>
      </c>
      <c r="C32" s="39">
        <f>IF(ISERROR(B32*3.6/1000000/'E Balans VL '!Z20*100),0,B32*3.6/1000000/'E Balans VL '!Z20*100)</f>
        <v>0.67716100719271832</v>
      </c>
      <c r="D32" s="238" t="s">
        <v>719</v>
      </c>
    </row>
    <row r="33" spans="1:5">
      <c r="A33" s="172" t="s">
        <v>40</v>
      </c>
      <c r="B33" s="37">
        <f>IF( ISERROR(IND_textiel_ele_kWh/1000),0,IND_textiel_ele_kWh/1000)</f>
        <v>29.7977087181477</v>
      </c>
      <c r="C33" s="39">
        <f>IF(ISERROR(B33*3.6/1000000/'E Balans VL '!Z21*100),0,B33*3.6/1000000/'E Balans VL '!Z21*100)</f>
        <v>3.922937067451714E-3</v>
      </c>
      <c r="D33" s="238" t="s">
        <v>719</v>
      </c>
    </row>
    <row r="34" spans="1:5">
      <c r="A34" s="172" t="s">
        <v>37</v>
      </c>
      <c r="B34" s="37">
        <f>IF( ISERROR(IND_min_ele_kWh/1000),0,IND_min_ele_kWh/1000)</f>
        <v>51.002768720417997</v>
      </c>
      <c r="C34" s="39">
        <f>IF(ISERROR(B34*3.6/1000000/'E Balans VL '!Z22*100),0,B34*3.6/1000000/'E Balans VL '!Z22*100)</f>
        <v>9.9194782825525098E-3</v>
      </c>
      <c r="D34" s="238" t="s">
        <v>719</v>
      </c>
    </row>
    <row r="35" spans="1:5">
      <c r="A35" s="172" t="s">
        <v>39</v>
      </c>
      <c r="B35" s="37">
        <f>IF( ISERROR(IND_papier_ele_kWh/1000),0,IND_papier_ele_kWh/1000)</f>
        <v>171.99181306672</v>
      </c>
      <c r="C35" s="39">
        <f>IF(ISERROR(B35*3.6/1000000/'E Balans VL '!Z22*100),0,B35*3.6/1000000/'E Balans VL '!Z22*100)</f>
        <v>3.3450518418800416E-2</v>
      </c>
      <c r="D35" s="238" t="s">
        <v>719</v>
      </c>
    </row>
    <row r="36" spans="1:5">
      <c r="A36" s="172" t="s">
        <v>34</v>
      </c>
      <c r="B36" s="37">
        <f>IF( ISERROR(IND_chemie_ele_kWh/1000),0,IND_chemie_ele_kWh/1000)</f>
        <v>16505.646858420201</v>
      </c>
      <c r="C36" s="39">
        <f>IF(ISERROR(B36*3.6/1000000/'E Balans VL '!Z24*100),0,B36*3.6/1000000/'E Balans VL '!Z24*100)</f>
        <v>0.38759704451844912</v>
      </c>
      <c r="D36" s="238" t="s">
        <v>719</v>
      </c>
    </row>
    <row r="37" spans="1:5">
      <c r="A37" s="172" t="s">
        <v>270</v>
      </c>
      <c r="B37" s="37">
        <f>IF( ISERROR(IND_rest_ele_kWh/1000),0,IND_rest_ele_kWh/1000)</f>
        <v>55272.334842164099</v>
      </c>
      <c r="C37" s="39">
        <f>IF(ISERROR(B37*3.6/1000000/'E Balans VL '!Z15*100),0,B37*3.6/1000000/'E Balans VL '!Z15*100)</f>
        <v>0.41113612488974749</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9873.2063815045713</v>
      </c>
      <c r="C5" s="17">
        <f>'Eigen informatie GS &amp; warmtenet'!B60</f>
        <v>0</v>
      </c>
      <c r="D5" s="30">
        <f>IF(ISERROR(SUM(LB_lb_gas_kWh,LB_rest_gas_kWh)/1000),0,SUM(LB_lb_gas_kWh,LB_rest_gas_kWh)/1000)*0.902</f>
        <v>98181.842687051569</v>
      </c>
      <c r="E5" s="17">
        <f>B17*'E Balans VL '!I25/3.6*1000000/100</f>
        <v>103.39435468913227</v>
      </c>
      <c r="F5" s="17">
        <f>B17*('E Balans VL '!L25/3.6*1000000+'E Balans VL '!N25/3.6*1000000)/100</f>
        <v>42264.825356410714</v>
      </c>
      <c r="G5" s="18"/>
      <c r="H5" s="17"/>
      <c r="I5" s="17"/>
      <c r="J5" s="17">
        <f>('E Balans VL '!D25+'E Balans VL '!E25)/3.6*1000000*landbouw!B17/100</f>
        <v>881.76582492685122</v>
      </c>
      <c r="K5" s="17"/>
      <c r="L5" s="17">
        <f>L6*(-1)</f>
        <v>0</v>
      </c>
      <c r="M5" s="17"/>
      <c r="N5" s="17">
        <f>N6*(-1)</f>
        <v>28710.000000000004</v>
      </c>
      <c r="O5" s="17"/>
      <c r="P5" s="17"/>
      <c r="R5" s="32"/>
    </row>
    <row r="6" spans="1:18">
      <c r="A6" s="16" t="s">
        <v>496</v>
      </c>
      <c r="B6" s="17" t="s">
        <v>211</v>
      </c>
      <c r="C6" s="17">
        <f>'lokale energieproductie'!O92+'lokale energieproductie'!O61</f>
        <v>88650</v>
      </c>
      <c r="D6" s="311">
        <f>('lokale energieproductie'!P61+'lokale energieproductie'!P92)*(-1)</f>
        <v>-148590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-28710.000000000004</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9873.2063815045713</v>
      </c>
      <c r="C8" s="21">
        <f>C5+C6</f>
        <v>88650</v>
      </c>
      <c r="D8" s="21">
        <f>MAX((D5+D6),0)</f>
        <v>0</v>
      </c>
      <c r="E8" s="21">
        <f>MAX((E5+E6),0)</f>
        <v>103.39435468913227</v>
      </c>
      <c r="F8" s="21">
        <f>MAX((F5+F6),0)</f>
        <v>42264.825356410714</v>
      </c>
      <c r="G8" s="21"/>
      <c r="H8" s="21"/>
      <c r="I8" s="21"/>
      <c r="J8" s="21">
        <f>MAX((J5+J6),0)</f>
        <v>881.76582492685122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0.22392137261223033</v>
      </c>
      <c r="C10" s="31">
        <f ca="1">'EF ele_warmte'!B22</f>
        <v>0.19925652993874163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2210.8219250303355</v>
      </c>
      <c r="C12" s="23">
        <f ca="1">C8*C10</f>
        <v>17664.091379069447</v>
      </c>
      <c r="D12" s="23">
        <f>D8*D10</f>
        <v>0</v>
      </c>
      <c r="E12" s="23">
        <f>E8*E10</f>
        <v>23.470518514433028</v>
      </c>
      <c r="F12" s="23">
        <f>F8*F10</f>
        <v>11284.708370161661</v>
      </c>
      <c r="G12" s="23"/>
      <c r="H12" s="23"/>
      <c r="I12" s="23"/>
      <c r="J12" s="23">
        <f>J8*J10</f>
        <v>312.14510202410531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1.5196770502171002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941.7459198649143</v>
      </c>
      <c r="C26" s="248">
        <f>B26*'GWP N2O_CH4'!B5</f>
        <v>19776.664317163199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512.07474814351588</v>
      </c>
      <c r="C27" s="248">
        <f>B27*'GWP N2O_CH4'!B5</f>
        <v>10753.569711013834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14.181769987756798</v>
      </c>
      <c r="C28" s="248">
        <f>B28*'GWP N2O_CH4'!B4</f>
        <v>4396.3486962046072</v>
      </c>
      <c r="D28" s="50"/>
    </row>
    <row r="29" spans="1:4">
      <c r="A29" s="41" t="s">
        <v>277</v>
      </c>
      <c r="B29" s="248">
        <f>B34*'ha_N2O bodem landbouw'!B4</f>
        <v>64.985781468237207</v>
      </c>
      <c r="C29" s="248">
        <f>B29*'GWP N2O_CH4'!B4</f>
        <v>20145.592255153533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1.073975389117208E-2</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1.3829400945487846E-5</v>
      </c>
      <c r="C5" s="446" t="s">
        <v>211</v>
      </c>
      <c r="D5" s="431">
        <f>SUM(D6:D11)</f>
        <v>6.8147646286643109E-5</v>
      </c>
      <c r="E5" s="431">
        <f>SUM(E6:E11)</f>
        <v>7.9341102558593488E-3</v>
      </c>
      <c r="F5" s="444" t="s">
        <v>211</v>
      </c>
      <c r="G5" s="431">
        <f>SUM(G6:G11)</f>
        <v>1.9935531254235546</v>
      </c>
      <c r="H5" s="431">
        <f>SUM(H6:H11)</f>
        <v>0.23452722253768216</v>
      </c>
      <c r="I5" s="446" t="s">
        <v>211</v>
      </c>
      <c r="J5" s="446" t="s">
        <v>211</v>
      </c>
      <c r="K5" s="446" t="s">
        <v>211</v>
      </c>
      <c r="L5" s="446" t="s">
        <v>211</v>
      </c>
      <c r="M5" s="431">
        <f>SUM(M6:M11)</f>
        <v>9.6936604183517697E-2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3.255626375717812E-6</v>
      </c>
      <c r="C6" s="432"/>
      <c r="D6" s="432">
        <f>vkm_2011_GW_PW*SUMIFS(TableVerdeelsleutelVkm[CNG],TableVerdeelsleutelVkm[Voertuigtype],"Lichte voertuigen")*SUMIFS(TableECFTransport[EnergieConsumptieFactor (PJ per km)],TableECFTransport[Index],CONCATENATE($A6,"_CNG_CNG"))</f>
        <v>1.4034626872127405E-5</v>
      </c>
      <c r="E6" s="434">
        <f>vkm_2011_GW_PW*SUMIFS(TableVerdeelsleutelVkm[LPG],TableVerdeelsleutelVkm[Voertuigtype],"Lichte voertuigen")*SUMIFS(TableECFTransport[EnergieConsumptieFactor (PJ per km)],TableECFTransport[Index],CONCATENATE($A6,"_LPG_LPG"))</f>
        <v>1.460216811381754E-3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0.17961067650233778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4.7287769047411235E-2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9.9437776768245452E-3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0.1828657055027739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6.2702116328458162E-5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7.8994558468035801E-3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2.1075822110976166E-6</v>
      </c>
      <c r="C8" s="432"/>
      <c r="D8" s="434">
        <f>vkm_2011_NGW_PW*SUMIFS(TableVerdeelsleutelVkm[CNG],TableVerdeelsleutelVkm[Voertuigtype],"Lichte voertuigen")*SUMIFS(TableECFTransport[EnergieConsumptieFactor (PJ per km)],TableECFTransport[Index],CONCATENATE($A8,"_CNG_CNG"))</f>
        <v>1.6299683513494869E-5</v>
      </c>
      <c r="E8" s="434">
        <f>vkm_2011_NGW_PW*SUMIFS(TableVerdeelsleutelVkm[LPG],TableVerdeelsleutelVkm[Voertuigtype],"Lichte voertuigen")*SUMIFS(TableECFTransport[EnergieConsumptieFactor (PJ per km)],TableECFTransport[Index],CONCATENATE($A8,"_LPG_LPG"))</f>
        <v>1.5484661006779771E-3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0.18065226709467277</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5.2424475100473843E-2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1.0226407102905706E-2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0.16219476523309836</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4.8313559531462981E-5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7.0061721851866531E-3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8.4661923586724171E-6</v>
      </c>
      <c r="C10" s="432"/>
      <c r="D10" s="434">
        <f>vkm_2011_SW_PW*SUMIFS(TableVerdeelsleutelVkm[CNG],TableVerdeelsleutelVkm[Voertuigtype],"Lichte voertuigen")*SUMIFS(TableECFTransport[EnergieConsumptieFactor (PJ per km)],TableECFTransport[Index],CONCATENATE($A10,"_CNG_CNG"))</f>
        <v>3.7813335901020837E-5</v>
      </c>
      <c r="E10" s="434">
        <f>vkm_2011_SW_PW*SUMIFS(TableVerdeelsleutelVkm[LPG],TableVerdeelsleutelVkm[Voertuigtype],"Lichte voertuigen")*SUMIFS(TableECFTransport[EnergieConsumptieFactor (PJ per km)],TableECFTransport[Index],CONCATENATE($A10,"_LPG_LPG"))</f>
        <v>4.9254273437996177E-3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0.5569742217988396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0.13443643612060341</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3.0271147611495002E-2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0.73125548929183226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2.6752659333372614E-4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3.1589643760302211E-2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3.8415002626355124</v>
      </c>
      <c r="C14" s="21"/>
      <c r="D14" s="21">
        <f t="shared" ref="D14:M14" si="0">((D5)*10^9/3600)+D12</f>
        <v>18.929901746289755</v>
      </c>
      <c r="E14" s="21">
        <f t="shared" si="0"/>
        <v>2203.9195155164857</v>
      </c>
      <c r="F14" s="21"/>
      <c r="G14" s="21">
        <f t="shared" si="0"/>
        <v>553764.75706209848</v>
      </c>
      <c r="H14" s="21">
        <f t="shared" si="0"/>
        <v>65146.450704911709</v>
      </c>
      <c r="I14" s="21"/>
      <c r="J14" s="21"/>
      <c r="K14" s="21"/>
      <c r="L14" s="21"/>
      <c r="M14" s="21">
        <f t="shared" si="0"/>
        <v>26926.834495421583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0.22392137261223033</v>
      </c>
      <c r="C16" s="56">
        <f ca="1">'EF ele_warmte'!B22</f>
        <v>0.19925652993874163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0.8601940116995872</v>
      </c>
      <c r="C18" s="23"/>
      <c r="D18" s="23">
        <f t="shared" ref="D18:M18" si="1">D14*D16</f>
        <v>3.8238401527505306</v>
      </c>
      <c r="E18" s="23">
        <f t="shared" si="1"/>
        <v>500.28973002224228</v>
      </c>
      <c r="F18" s="23"/>
      <c r="G18" s="23">
        <f t="shared" si="1"/>
        <v>147855.19013558031</v>
      </c>
      <c r="H18" s="23">
        <f t="shared" si="1"/>
        <v>16221.466225523016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1.5320340516375895E-2</v>
      </c>
      <c r="H50" s="322">
        <f t="shared" si="2"/>
        <v>0</v>
      </c>
      <c r="I50" s="322">
        <f t="shared" si="2"/>
        <v>0</v>
      </c>
      <c r="J50" s="322">
        <f t="shared" si="2"/>
        <v>0</v>
      </c>
      <c r="K50" s="322">
        <f t="shared" si="2"/>
        <v>0</v>
      </c>
      <c r="L50" s="322">
        <f t="shared" si="2"/>
        <v>0</v>
      </c>
      <c r="M50" s="322">
        <f t="shared" si="2"/>
        <v>6.5303955735273569E-4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1.5320340516375895E-2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6.5303955735273569E-4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4255.6501434377487</v>
      </c>
      <c r="H54" s="21">
        <f t="shared" si="3"/>
        <v>0</v>
      </c>
      <c r="I54" s="21">
        <f t="shared" si="3"/>
        <v>0</v>
      </c>
      <c r="J54" s="21">
        <f t="shared" si="3"/>
        <v>0</v>
      </c>
      <c r="K54" s="21">
        <f t="shared" si="3"/>
        <v>0</v>
      </c>
      <c r="L54" s="21">
        <f t="shared" si="3"/>
        <v>0</v>
      </c>
      <c r="M54" s="21">
        <f t="shared" si="3"/>
        <v>181.39987704242657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0.22392137261223033</v>
      </c>
      <c r="C56" s="56">
        <f ca="1">'EF ele_warmte'!B22</f>
        <v>0.19925652993874163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1136.258588297879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14206.070468537737</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23869.68774508519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62202.75</v>
      </c>
      <c r="C8" s="557">
        <f>B101</f>
        <v>61357.941176470602</v>
      </c>
      <c r="D8" s="985"/>
      <c r="E8" s="985">
        <f>E101</f>
        <v>0</v>
      </c>
      <c r="F8" s="986"/>
      <c r="G8" s="558"/>
      <c r="H8" s="985">
        <f>I101</f>
        <v>0</v>
      </c>
      <c r="I8" s="985">
        <f>G101+F101</f>
        <v>0</v>
      </c>
      <c r="J8" s="985">
        <f>H101+D101+C101</f>
        <v>11821.764705882355</v>
      </c>
      <c r="K8" s="985"/>
      <c r="L8" s="985"/>
      <c r="M8" s="985"/>
      <c r="N8" s="559"/>
      <c r="O8" s="560">
        <f>C8*$C$12+D8*$D$12+E8*$E$12+F8*$F$12+G8*$G$12+H8*$H$12+I8*$I$12+J8*$J$12</f>
        <v>12394.304117647062</v>
      </c>
      <c r="P8" s="1225"/>
      <c r="Q8" s="1226"/>
      <c r="S8" s="1018"/>
      <c r="T8" s="1213"/>
      <c r="U8" s="1213"/>
    </row>
    <row r="9" spans="1:21" s="545" customFormat="1" ht="17.45" customHeight="1" thickBot="1">
      <c r="A9" s="561" t="s">
        <v>248</v>
      </c>
      <c r="B9" s="1022">
        <f>N89+'Eigen informatie GS &amp; warmtenet'!B12</f>
        <v>2970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8485.7142857142862</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103248.50821362293</v>
      </c>
      <c r="C10" s="569">
        <f t="shared" ref="C10:L10" si="0">SUM(C8:C9)</f>
        <v>61357.941176470602</v>
      </c>
      <c r="D10" s="569">
        <f t="shared" si="0"/>
        <v>0</v>
      </c>
      <c r="E10" s="569">
        <f t="shared" si="0"/>
        <v>0</v>
      </c>
      <c r="F10" s="569">
        <f t="shared" si="0"/>
        <v>0</v>
      </c>
      <c r="G10" s="569">
        <f t="shared" si="0"/>
        <v>0</v>
      </c>
      <c r="H10" s="569">
        <f t="shared" si="0"/>
        <v>0</v>
      </c>
      <c r="I10" s="569">
        <f t="shared" si="0"/>
        <v>0</v>
      </c>
      <c r="J10" s="569">
        <f t="shared" si="0"/>
        <v>20307.478991596639</v>
      </c>
      <c r="K10" s="569">
        <f t="shared" si="0"/>
        <v>0</v>
      </c>
      <c r="L10" s="569">
        <f t="shared" si="0"/>
        <v>0</v>
      </c>
      <c r="M10" s="980"/>
      <c r="N10" s="980"/>
      <c r="O10" s="570">
        <f>SUM(O4:O9)</f>
        <v>12394.304117647062</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88861.071428571435</v>
      </c>
      <c r="C17" s="581">
        <f>B102</f>
        <v>87654.201680672282</v>
      </c>
      <c r="D17" s="582"/>
      <c r="E17" s="582">
        <f>E102</f>
        <v>0</v>
      </c>
      <c r="F17" s="583"/>
      <c r="G17" s="584"/>
      <c r="H17" s="581">
        <f>I102</f>
        <v>0</v>
      </c>
      <c r="I17" s="582">
        <f>G102+F102</f>
        <v>0</v>
      </c>
      <c r="J17" s="582">
        <f>H102+D102+C102</f>
        <v>16888.23529411765</v>
      </c>
      <c r="K17" s="582"/>
      <c r="L17" s="582"/>
      <c r="M17" s="582"/>
      <c r="N17" s="981"/>
      <c r="O17" s="585">
        <f>C17*$C$22+E17*$E$22+H17*$H$22+I17*$I$22+J17*$J$22+D17*$D$22+F17*$F$22+G17*$G$22+K17*$K$22+L17*$L$22</f>
        <v>17706.148739495802</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88861.071428571435</v>
      </c>
      <c r="C20" s="568">
        <f>SUM(C17:C19)</f>
        <v>87654.201680672282</v>
      </c>
      <c r="D20" s="568">
        <f t="shared" ref="D20:L20" si="1">SUM(D17:D19)</f>
        <v>0</v>
      </c>
      <c r="E20" s="568">
        <f t="shared" si="1"/>
        <v>0</v>
      </c>
      <c r="F20" s="568">
        <f t="shared" si="1"/>
        <v>0</v>
      </c>
      <c r="G20" s="568">
        <f t="shared" si="1"/>
        <v>0</v>
      </c>
      <c r="H20" s="568">
        <f t="shared" si="1"/>
        <v>0</v>
      </c>
      <c r="I20" s="568">
        <f t="shared" si="1"/>
        <v>0</v>
      </c>
      <c r="J20" s="568">
        <f t="shared" si="1"/>
        <v>16888.23529411765</v>
      </c>
      <c r="K20" s="568">
        <f t="shared" si="1"/>
        <v>0</v>
      </c>
      <c r="L20" s="568">
        <f t="shared" si="1"/>
        <v>0</v>
      </c>
      <c r="M20" s="568"/>
      <c r="N20" s="568"/>
      <c r="O20" s="589">
        <f>SUM(O17:O19)</f>
        <v>17706.148739495802</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46003</v>
      </c>
      <c r="C28" s="788">
        <v>9120</v>
      </c>
      <c r="D28" s="641" t="s">
        <v>963</v>
      </c>
      <c r="E28" s="640" t="s">
        <v>964</v>
      </c>
      <c r="F28" s="640" t="s">
        <v>965</v>
      </c>
      <c r="G28" s="640" t="s">
        <v>966</v>
      </c>
      <c r="H28" s="640" t="s">
        <v>967</v>
      </c>
      <c r="I28" s="640" t="s">
        <v>964</v>
      </c>
      <c r="J28" s="787">
        <v>40819</v>
      </c>
      <c r="K28" s="787">
        <v>40834</v>
      </c>
      <c r="L28" s="640" t="s">
        <v>968</v>
      </c>
      <c r="M28" s="640">
        <v>197</v>
      </c>
      <c r="N28" s="640">
        <v>147.75</v>
      </c>
      <c r="O28" s="640">
        <v>211.07142857142858</v>
      </c>
      <c r="P28" s="640">
        <v>422.14285714285717</v>
      </c>
      <c r="Q28" s="640">
        <v>0</v>
      </c>
      <c r="R28" s="640">
        <v>0</v>
      </c>
      <c r="S28" s="640">
        <v>0</v>
      </c>
      <c r="T28" s="640">
        <v>0</v>
      </c>
      <c r="U28" s="640">
        <v>0</v>
      </c>
      <c r="V28" s="640">
        <v>0</v>
      </c>
      <c r="W28" s="640">
        <v>0</v>
      </c>
      <c r="X28" s="640">
        <v>1200</v>
      </c>
      <c r="Y28" s="640" t="s">
        <v>53</v>
      </c>
      <c r="Z28" s="642" t="s">
        <v>156</v>
      </c>
    </row>
    <row r="29" spans="1:26" s="594" customFormat="1" ht="25.5">
      <c r="A29" s="593"/>
      <c r="B29" s="788">
        <v>46003</v>
      </c>
      <c r="C29" s="788">
        <v>9120</v>
      </c>
      <c r="D29" s="641" t="s">
        <v>969</v>
      </c>
      <c r="E29" s="640" t="s">
        <v>970</v>
      </c>
      <c r="F29" s="640" t="s">
        <v>971</v>
      </c>
      <c r="G29" s="640" t="s">
        <v>966</v>
      </c>
      <c r="H29" s="640" t="s">
        <v>967</v>
      </c>
      <c r="I29" s="640" t="s">
        <v>970</v>
      </c>
      <c r="J29" s="787">
        <v>39377</v>
      </c>
      <c r="K29" s="787">
        <v>39380</v>
      </c>
      <c r="L29" s="640" t="s">
        <v>968</v>
      </c>
      <c r="M29" s="640">
        <v>1372</v>
      </c>
      <c r="N29" s="640">
        <v>6174.0000000000009</v>
      </c>
      <c r="O29" s="640">
        <v>8820.0000000000018</v>
      </c>
      <c r="P29" s="640">
        <v>17640.000000000004</v>
      </c>
      <c r="Q29" s="640">
        <v>0</v>
      </c>
      <c r="R29" s="640">
        <v>0</v>
      </c>
      <c r="S29" s="640">
        <v>0</v>
      </c>
      <c r="T29" s="640">
        <v>0</v>
      </c>
      <c r="U29" s="640">
        <v>0</v>
      </c>
      <c r="V29" s="640">
        <v>0</v>
      </c>
      <c r="W29" s="640">
        <v>0</v>
      </c>
      <c r="X29" s="640">
        <v>10</v>
      </c>
      <c r="Y29" s="640" t="s">
        <v>112</v>
      </c>
      <c r="Z29" s="642" t="s">
        <v>112</v>
      </c>
    </row>
    <row r="30" spans="1:26" s="594" customFormat="1" ht="25.5">
      <c r="A30" s="593"/>
      <c r="B30" s="788">
        <v>46003</v>
      </c>
      <c r="C30" s="788">
        <v>9120</v>
      </c>
      <c r="D30" s="641" t="s">
        <v>972</v>
      </c>
      <c r="E30" s="640" t="s">
        <v>973</v>
      </c>
      <c r="F30" s="640" t="s">
        <v>974</v>
      </c>
      <c r="G30" s="640" t="s">
        <v>966</v>
      </c>
      <c r="H30" s="640" t="s">
        <v>967</v>
      </c>
      <c r="I30" s="640" t="s">
        <v>973</v>
      </c>
      <c r="J30" s="787">
        <v>39737</v>
      </c>
      <c r="K30" s="787">
        <v>39737</v>
      </c>
      <c r="L30" s="640" t="s">
        <v>968</v>
      </c>
      <c r="M30" s="640">
        <v>1562</v>
      </c>
      <c r="N30" s="640">
        <v>7029</v>
      </c>
      <c r="O30" s="640">
        <v>10041.428571428572</v>
      </c>
      <c r="P30" s="640">
        <v>20082.857142857145</v>
      </c>
      <c r="Q30" s="640">
        <v>0</v>
      </c>
      <c r="R30" s="640">
        <v>0</v>
      </c>
      <c r="S30" s="640">
        <v>0</v>
      </c>
      <c r="T30" s="640">
        <v>0</v>
      </c>
      <c r="U30" s="640">
        <v>0</v>
      </c>
      <c r="V30" s="640">
        <v>0</v>
      </c>
      <c r="W30" s="640">
        <v>0</v>
      </c>
      <c r="X30" s="640">
        <v>10</v>
      </c>
      <c r="Y30" s="640" t="s">
        <v>112</v>
      </c>
      <c r="Z30" s="642" t="s">
        <v>112</v>
      </c>
    </row>
    <row r="31" spans="1:26" s="594" customFormat="1" ht="25.5">
      <c r="A31" s="593"/>
      <c r="B31" s="788">
        <v>46003</v>
      </c>
      <c r="C31" s="788">
        <v>9210</v>
      </c>
      <c r="D31" s="641" t="s">
        <v>975</v>
      </c>
      <c r="E31" s="640" t="s">
        <v>976</v>
      </c>
      <c r="F31" s="640" t="s">
        <v>977</v>
      </c>
      <c r="G31" s="640" t="s">
        <v>966</v>
      </c>
      <c r="H31" s="640" t="s">
        <v>967</v>
      </c>
      <c r="I31" s="640" t="s">
        <v>978</v>
      </c>
      <c r="J31" s="787">
        <v>40333</v>
      </c>
      <c r="K31" s="787">
        <v>40345</v>
      </c>
      <c r="L31" s="640" t="s">
        <v>968</v>
      </c>
      <c r="M31" s="640">
        <v>1994</v>
      </c>
      <c r="N31" s="640">
        <v>8973</v>
      </c>
      <c r="O31" s="640">
        <v>12818.571428571429</v>
      </c>
      <c r="P31" s="640">
        <v>25637.142857142859</v>
      </c>
      <c r="Q31" s="640">
        <v>0</v>
      </c>
      <c r="R31" s="640">
        <v>0</v>
      </c>
      <c r="S31" s="640">
        <v>0</v>
      </c>
      <c r="T31" s="640">
        <v>0</v>
      </c>
      <c r="U31" s="640">
        <v>0</v>
      </c>
      <c r="V31" s="640">
        <v>0</v>
      </c>
      <c r="W31" s="640">
        <v>0</v>
      </c>
      <c r="X31" s="640">
        <v>10</v>
      </c>
      <c r="Y31" s="640" t="s">
        <v>112</v>
      </c>
      <c r="Z31" s="642" t="s">
        <v>112</v>
      </c>
    </row>
    <row r="32" spans="1:26" s="594" customFormat="1" ht="25.5">
      <c r="A32" s="593"/>
      <c r="B32" s="788">
        <v>46003</v>
      </c>
      <c r="C32" s="788">
        <v>9120</v>
      </c>
      <c r="D32" s="641" t="s">
        <v>979</v>
      </c>
      <c r="E32" s="640" t="s">
        <v>980</v>
      </c>
      <c r="F32" s="640" t="s">
        <v>981</v>
      </c>
      <c r="G32" s="640" t="s">
        <v>966</v>
      </c>
      <c r="H32" s="640" t="s">
        <v>967</v>
      </c>
      <c r="I32" s="640" t="s">
        <v>980</v>
      </c>
      <c r="J32" s="787">
        <v>40927</v>
      </c>
      <c r="K32" s="787">
        <v>39841</v>
      </c>
      <c r="L32" s="640" t="s">
        <v>968</v>
      </c>
      <c r="M32" s="640">
        <v>2233</v>
      </c>
      <c r="N32" s="640">
        <v>10048.5</v>
      </c>
      <c r="O32" s="640">
        <v>14355</v>
      </c>
      <c r="P32" s="640">
        <v>0</v>
      </c>
      <c r="Q32" s="640">
        <v>28710.000000000004</v>
      </c>
      <c r="R32" s="640">
        <v>0</v>
      </c>
      <c r="S32" s="640">
        <v>0</v>
      </c>
      <c r="T32" s="640">
        <v>0</v>
      </c>
      <c r="U32" s="640">
        <v>0</v>
      </c>
      <c r="V32" s="640">
        <v>0</v>
      </c>
      <c r="W32" s="640">
        <v>0</v>
      </c>
      <c r="X32" s="640">
        <v>10</v>
      </c>
      <c r="Y32" s="640" t="s">
        <v>112</v>
      </c>
      <c r="Z32" s="642" t="s">
        <v>112</v>
      </c>
    </row>
    <row r="33" spans="1:26" s="594" customFormat="1" ht="25.5">
      <c r="A33" s="593"/>
      <c r="B33" s="788">
        <v>46003</v>
      </c>
      <c r="C33" s="788">
        <v>9120</v>
      </c>
      <c r="D33" s="641" t="s">
        <v>982</v>
      </c>
      <c r="E33" s="640" t="s">
        <v>983</v>
      </c>
      <c r="F33" s="640" t="s">
        <v>984</v>
      </c>
      <c r="G33" s="640" t="s">
        <v>966</v>
      </c>
      <c r="H33" s="640" t="s">
        <v>967</v>
      </c>
      <c r="I33" s="640" t="s">
        <v>983</v>
      </c>
      <c r="J33" s="787">
        <v>39568</v>
      </c>
      <c r="K33" s="787">
        <v>39568</v>
      </c>
      <c r="L33" s="640" t="s">
        <v>968</v>
      </c>
      <c r="M33" s="640">
        <v>2731</v>
      </c>
      <c r="N33" s="640">
        <v>12289.5</v>
      </c>
      <c r="O33" s="640">
        <v>17556.428571428572</v>
      </c>
      <c r="P33" s="640">
        <v>35112.857142857145</v>
      </c>
      <c r="Q33" s="640">
        <v>0</v>
      </c>
      <c r="R33" s="640">
        <v>0</v>
      </c>
      <c r="S33" s="640">
        <v>0</v>
      </c>
      <c r="T33" s="640">
        <v>0</v>
      </c>
      <c r="U33" s="640">
        <v>0</v>
      </c>
      <c r="V33" s="640">
        <v>0</v>
      </c>
      <c r="W33" s="640">
        <v>0</v>
      </c>
      <c r="X33" s="640">
        <v>10</v>
      </c>
      <c r="Y33" s="640" t="s">
        <v>112</v>
      </c>
      <c r="Z33" s="642" t="s">
        <v>112</v>
      </c>
    </row>
    <row r="34" spans="1:26" s="594" customFormat="1" ht="25.5">
      <c r="A34" s="593"/>
      <c r="B34" s="788">
        <v>46003</v>
      </c>
      <c r="C34" s="788">
        <v>9120</v>
      </c>
      <c r="D34" s="641" t="s">
        <v>985</v>
      </c>
      <c r="E34" s="640" t="s">
        <v>986</v>
      </c>
      <c r="F34" s="640" t="s">
        <v>987</v>
      </c>
      <c r="G34" s="640" t="s">
        <v>966</v>
      </c>
      <c r="H34" s="640" t="s">
        <v>967</v>
      </c>
      <c r="I34" s="640" t="s">
        <v>986</v>
      </c>
      <c r="J34" s="787">
        <v>40954</v>
      </c>
      <c r="K34" s="787">
        <v>39990</v>
      </c>
      <c r="L34" s="640" t="s">
        <v>968</v>
      </c>
      <c r="M34" s="640">
        <v>3898</v>
      </c>
      <c r="N34" s="640">
        <v>17541</v>
      </c>
      <c r="O34" s="640">
        <v>25058.571428571428</v>
      </c>
      <c r="P34" s="640">
        <v>50117.142857142862</v>
      </c>
      <c r="Q34" s="640">
        <v>0</v>
      </c>
      <c r="R34" s="640">
        <v>0</v>
      </c>
      <c r="S34" s="640">
        <v>0</v>
      </c>
      <c r="T34" s="640">
        <v>0</v>
      </c>
      <c r="U34" s="640">
        <v>0</v>
      </c>
      <c r="V34" s="640">
        <v>0</v>
      </c>
      <c r="W34" s="640">
        <v>0</v>
      </c>
      <c r="X34" s="640">
        <v>10</v>
      </c>
      <c r="Y34" s="640" t="s">
        <v>112</v>
      </c>
      <c r="Z34" s="642" t="s">
        <v>112</v>
      </c>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13987</v>
      </c>
      <c r="N58" s="598">
        <f>SUM(N28:N57)</f>
        <v>62202.75</v>
      </c>
      <c r="O58" s="598">
        <f t="shared" ref="O58:W58" si="2">SUM(O28:O57)</f>
        <v>88861.071428571435</v>
      </c>
      <c r="P58" s="598">
        <f t="shared" si="2"/>
        <v>149012.14285714287</v>
      </c>
      <c r="Q58" s="598">
        <f t="shared" si="2"/>
        <v>28710.000000000004</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197</v>
      </c>
      <c r="N60" s="598">
        <f ca="1">SUMIF($Z$28:AD57,"tertiair",N28:N57)</f>
        <v>147.75</v>
      </c>
      <c r="O60" s="598">
        <f ca="1">SUMIF($Z$28:AE57,"tertiair",O28:O57)</f>
        <v>211.07142857142858</v>
      </c>
      <c r="P60" s="598">
        <f ca="1">SUMIF($Z$28:AF57,"tertiair",P28:P57)</f>
        <v>422.14285714285717</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13790</v>
      </c>
      <c r="N61" s="603">
        <f t="shared" si="4"/>
        <v>62055</v>
      </c>
      <c r="O61" s="603">
        <f t="shared" si="4"/>
        <v>88650</v>
      </c>
      <c r="P61" s="603">
        <f t="shared" si="4"/>
        <v>148590</v>
      </c>
      <c r="Q61" s="603">
        <f t="shared" si="4"/>
        <v>28710.000000000004</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25.5">
      <c r="A64" s="595"/>
      <c r="B64" s="788">
        <v>46003</v>
      </c>
      <c r="C64" s="788">
        <v>9130</v>
      </c>
      <c r="D64" s="643" t="s">
        <v>988</v>
      </c>
      <c r="E64" s="643" t="s">
        <v>989</v>
      </c>
      <c r="F64" s="643" t="s">
        <v>990</v>
      </c>
      <c r="G64" s="643" t="s">
        <v>991</v>
      </c>
      <c r="H64" s="643" t="s">
        <v>992</v>
      </c>
      <c r="I64" s="643" t="s">
        <v>993</v>
      </c>
      <c r="J64" s="787">
        <v>37067</v>
      </c>
      <c r="K64" s="787">
        <v>37288</v>
      </c>
      <c r="L64" s="643" t="s">
        <v>994</v>
      </c>
      <c r="M64" s="643">
        <v>660</v>
      </c>
      <c r="N64" s="643">
        <v>2970</v>
      </c>
      <c r="O64" s="643">
        <v>0</v>
      </c>
      <c r="P64" s="643">
        <v>0</v>
      </c>
      <c r="Q64" s="643">
        <v>8485.7142857142862</v>
      </c>
      <c r="R64" s="643">
        <v>0</v>
      </c>
      <c r="S64" s="643">
        <v>0</v>
      </c>
      <c r="T64" s="643">
        <v>0</v>
      </c>
      <c r="U64" s="643">
        <v>0</v>
      </c>
      <c r="V64" s="643">
        <v>0</v>
      </c>
      <c r="W64" s="643">
        <v>0</v>
      </c>
      <c r="X64" s="643">
        <v>500</v>
      </c>
      <c r="Y64" s="643" t="s">
        <v>41</v>
      </c>
      <c r="Z64" s="644" t="s">
        <v>391</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660</v>
      </c>
      <c r="N89" s="598">
        <f t="shared" ref="N89:W89" si="5">SUM(N64:N88)</f>
        <v>2970</v>
      </c>
      <c r="O89" s="598">
        <f t="shared" si="5"/>
        <v>0</v>
      </c>
      <c r="P89" s="598">
        <f t="shared" si="5"/>
        <v>0</v>
      </c>
      <c r="Q89" s="598">
        <f t="shared" si="5"/>
        <v>8485.7142857142862</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660</v>
      </c>
      <c r="N90" s="598">
        <f t="shared" si="6"/>
        <v>2970</v>
      </c>
      <c r="O90" s="598">
        <f t="shared" si="6"/>
        <v>0</v>
      </c>
      <c r="P90" s="598">
        <f t="shared" si="6"/>
        <v>0</v>
      </c>
      <c r="Q90" s="598">
        <f t="shared" si="6"/>
        <v>8485.7142857142862</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61357.941176470602</v>
      </c>
      <c r="C101" s="632">
        <f t="shared" si="9"/>
        <v>11821.764705882355</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87654.201680672282</v>
      </c>
      <c r="C102" s="635">
        <f t="shared" si="10"/>
        <v>16888.23529411765</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2019-06-29T16:06:56Z</dcterms:modified>
</cp:coreProperties>
</file>