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F20"/>
  <c r="O18"/>
  <c r="B8"/>
  <c r="O19"/>
  <c r="B17"/>
  <c r="B20" s="1"/>
  <c r="L20"/>
  <c r="B1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G78" i="14"/>
  <c r="G9" i="55"/>
  <c r="G10" s="1"/>
  <c r="O78" i="14"/>
  <c r="O9" i="55"/>
  <c r="L10"/>
  <c r="R9" i="14"/>
  <c r="E10" i="55"/>
  <c r="O29" i="48"/>
  <c r="O25"/>
  <c r="G22" i="14"/>
  <c r="P22"/>
  <c r="F20" i="55"/>
  <c r="L90" i="14"/>
  <c r="E20" i="55"/>
  <c r="O20"/>
  <c r="H101" i="18"/>
  <c r="J8" s="1"/>
  <c r="H90" i="14"/>
  <c r="Q52"/>
  <c r="K10" i="55"/>
  <c r="O32" i="48"/>
  <c r="D101" i="18"/>
  <c r="F90" i="14"/>
  <c r="F18" i="55"/>
  <c r="N90" i="14"/>
  <c r="N18" i="55"/>
  <c r="N20" s="1"/>
  <c r="E90" i="14"/>
  <c r="E18" i="55"/>
  <c r="L78" i="14"/>
  <c r="L8" i="55"/>
  <c r="C77" i="14"/>
  <c r="C9" i="55" s="1"/>
  <c r="F9"/>
  <c r="N78" i="14"/>
  <c r="N9" i="55"/>
  <c r="D10"/>
  <c r="K20"/>
  <c r="O10"/>
  <c r="H20"/>
  <c r="N10"/>
  <c r="O28" i="48"/>
  <c r="O22" i="14"/>
  <c r="M76"/>
  <c r="M8" i="55" s="1"/>
  <c r="M10" s="1"/>
  <c r="E101" i="18"/>
  <c r="E8" s="1"/>
  <c r="G20" i="55"/>
  <c r="Q22" i="14"/>
  <c r="M87"/>
  <c r="P32"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M78" i="14"/>
  <c r="P9" i="55"/>
  <c r="E10" i="18"/>
  <c r="F76" i="14"/>
  <c r="O17" i="18"/>
  <c r="O20" s="1"/>
  <c r="I10"/>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C90" i="14" l="1"/>
  <c r="C17" i="55"/>
  <c r="C20" s="1"/>
  <c r="G5" i="48"/>
  <c r="H10" i="14"/>
  <c r="H16" s="1"/>
  <c r="B90"/>
  <c r="B17" i="55"/>
  <c r="B20" s="1"/>
  <c r="H5" i="48"/>
  <c r="I10" i="14"/>
  <c r="I16" s="1"/>
  <c r="P8" i="55"/>
  <c r="P10" s="1"/>
  <c r="Q78" i="14"/>
  <c r="B9" i="6"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D11" i="14"/>
  <c r="C4" i="48"/>
  <c r="G30"/>
  <c r="G32"/>
  <c r="G26"/>
  <c r="G24"/>
  <c r="G22"/>
  <c r="G29"/>
  <c r="G25"/>
  <c r="G23"/>
  <c r="M5"/>
  <c r="N10" i="14"/>
  <c r="N16" s="1"/>
  <c r="F32" i="48"/>
  <c r="F28"/>
  <c r="F27"/>
  <c r="F29"/>
  <c r="F31"/>
  <c r="F30"/>
  <c r="F24"/>
  <c r="E30"/>
  <c r="E24"/>
  <c r="E32"/>
  <c r="E31"/>
  <c r="E29"/>
  <c r="E28"/>
  <c r="M32"/>
  <c r="M30"/>
  <c r="M24"/>
  <c r="M25"/>
  <c r="M29"/>
  <c r="M26"/>
  <c r="M22"/>
  <c r="D30"/>
  <c r="D28"/>
  <c r="D24"/>
  <c r="D29"/>
  <c r="D32"/>
  <c r="D31"/>
  <c r="K30"/>
  <c r="K32"/>
  <c r="K31"/>
  <c r="K29"/>
  <c r="K27"/>
  <c r="K26"/>
  <c r="K28"/>
  <c r="K25"/>
  <c r="K24"/>
  <c r="K22"/>
  <c r="B10"/>
  <c r="C19" i="14"/>
  <c r="I5" i="48"/>
  <c r="J10" i="14"/>
  <c r="J16" s="1"/>
  <c r="J27" s="1"/>
  <c r="P4" i="48"/>
  <c r="Q11" i="14"/>
  <c r="H12" i="22"/>
  <c r="I18" i="14"/>
  <c r="H13" i="48"/>
  <c r="H31" s="1"/>
  <c r="H30"/>
  <c r="H32"/>
  <c r="H25"/>
  <c r="H22"/>
  <c r="H24"/>
  <c r="H26"/>
  <c r="H28"/>
  <c r="H29"/>
  <c r="H23"/>
  <c r="B4"/>
  <c r="C11" i="14"/>
  <c r="N32" i="48"/>
  <c r="N28"/>
  <c r="N27"/>
  <c r="N31"/>
  <c r="N29"/>
  <c r="N24"/>
  <c r="N30"/>
  <c r="C24" i="14"/>
  <c r="C26" s="1"/>
  <c r="B7" i="48"/>
  <c r="K5"/>
  <c r="L10" i="14"/>
  <c r="L16" s="1"/>
  <c r="L27" s="1"/>
  <c r="L30" i="48"/>
  <c r="L27"/>
  <c r="L22"/>
  <c r="L28"/>
  <c r="L24"/>
  <c r="L32"/>
  <c r="L29"/>
  <c r="L31"/>
  <c r="P5"/>
  <c r="P23" s="1"/>
  <c r="Q10" i="14"/>
  <c r="J32" i="48"/>
  <c r="J30"/>
  <c r="J29"/>
  <c r="J27"/>
  <c r="J24"/>
  <c r="J28"/>
  <c r="J31"/>
  <c r="O4"/>
  <c r="P11" i="14"/>
  <c r="I31" i="48"/>
  <c r="I32"/>
  <c r="I30"/>
  <c r="I24"/>
  <c r="I25"/>
  <c r="I22"/>
  <c r="I28"/>
  <c r="I29"/>
  <c r="I26"/>
  <c r="I27"/>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F4" i="48" l="1"/>
  <c r="F22" s="1"/>
  <c r="G11" i="14"/>
  <c r="P22" i="16"/>
  <c r="Q43" i="14" s="1"/>
  <c r="P8" i="48"/>
  <c r="P26" s="1"/>
  <c r="Q13" i="14"/>
  <c r="Q16" s="1"/>
  <c r="Q27" s="1"/>
  <c r="O22" i="48"/>
  <c r="M23"/>
  <c r="P22"/>
  <c r="P33" s="1"/>
  <c r="P10" i="14"/>
  <c r="O5" i="48"/>
  <c r="O23" s="1"/>
  <c r="M13"/>
  <c r="M31" s="1"/>
  <c r="N18" i="14"/>
  <c r="I20"/>
  <c r="I22" s="1"/>
  <c r="I27" s="1"/>
  <c r="H9" i="48"/>
  <c r="K15"/>
  <c r="K23"/>
  <c r="K33" s="1"/>
  <c r="G12" i="22"/>
  <c r="H18" i="14"/>
  <c r="R18" s="1"/>
  <c r="G13" i="48"/>
  <c r="I23"/>
  <c r="I33" s="1"/>
  <c r="I15"/>
  <c r="J63" i="14"/>
  <c r="D16" i="15"/>
  <c r="E10" i="14" s="1"/>
  <c r="L46"/>
  <c r="L61" s="1"/>
  <c r="L63"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J4" i="48"/>
  <c r="J22" s="1"/>
  <c r="K11" i="14"/>
  <c r="G31" i="48"/>
  <c r="Q13"/>
  <c r="H20" i="14"/>
  <c r="H22" s="1"/>
  <c r="H27" s="1"/>
  <c r="G9" i="48"/>
  <c r="O15"/>
  <c r="O11" i="14"/>
  <c r="N4" i="48"/>
  <c r="N22" s="1"/>
  <c r="E12" i="13"/>
  <c r="F41" i="14" s="1"/>
  <c r="E4" i="48"/>
  <c r="F11" i="14"/>
  <c r="R11" s="1"/>
  <c r="B9" i="48"/>
  <c r="C20" i="14"/>
  <c r="E9" i="48"/>
  <c r="E27" s="1"/>
  <c r="F20" i="14"/>
  <c r="F22" s="1"/>
  <c r="H27" i="48"/>
  <c r="H33" s="1"/>
  <c r="H15"/>
  <c r="E20" i="14"/>
  <c r="E22" s="1"/>
  <c r="D9" i="48"/>
  <c r="D27" s="1"/>
  <c r="P13" i="14"/>
  <c r="P16" s="1"/>
  <c r="P27" s="1"/>
  <c r="O8" i="48"/>
  <c r="O26" s="1"/>
  <c r="O33" s="1"/>
  <c r="C15"/>
  <c r="Q46" i="14"/>
  <c r="Q61" s="1"/>
  <c r="Q63" s="1"/>
  <c r="P15"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P63"/>
  <c r="E22" i="48"/>
  <c r="Q4"/>
  <c r="M18" i="22"/>
  <c r="N50" i="14" s="1"/>
  <c r="N20"/>
  <c r="N22" s="1"/>
  <c r="N27" s="1"/>
  <c r="N63" s="1"/>
  <c r="M9" i="48"/>
  <c r="B15"/>
  <c r="G28"/>
  <c r="Q10"/>
  <c r="C22" i="14"/>
  <c r="Q9" i="48"/>
  <c r="H52" i="14"/>
  <c r="H61" s="1"/>
  <c r="H63" s="1"/>
  <c r="D15" i="48"/>
  <c r="G27"/>
  <c r="G33" s="1"/>
  <c r="G15"/>
  <c r="J5"/>
  <c r="K10" i="14"/>
  <c r="E20" i="15"/>
  <c r="F40" i="14" s="1"/>
  <c r="E5" i="48"/>
  <c r="F10" i="14"/>
  <c r="L15" i="48"/>
  <c r="Q7"/>
  <c r="R24" i="14"/>
  <c r="R26" s="1"/>
  <c r="J18" i="16"/>
  <c r="N18"/>
  <c r="E18"/>
  <c r="F18"/>
  <c r="F22" s="1"/>
  <c r="G43" i="14" s="1"/>
  <c r="M27" i="48" l="1"/>
  <c r="M33" s="1"/>
  <c r="M15"/>
  <c r="R20" i="14"/>
  <c r="R22" s="1"/>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<sst xmlns="http://schemas.openxmlformats.org/spreadsheetml/2006/main" count="2520" uniqueCount="980">
  <si>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</si>
  <si>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</si>
  <si>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</si>
  <si>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</si>
  <si>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</si>
  <si>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</si>
  <si>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</si>
  <si>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</si>
  <si>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</si>
  <si>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</si>
  <si>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</si>
  <si>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</si>
  <si>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</si>
  <si>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</si>
  <si>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</si>
  <si>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</si>
  <si>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</si>
  <si>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</si>
  <si>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</si>
  <si>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</si>
  <si>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</si>
  <si>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</si>
  <si>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</si>
  <si>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</si>
  <si>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</si>
  <si>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</si>
  <si>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</si>
  <si>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</si>
  <si>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</si>
  <si>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</si>
  <si>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</si>
  <si>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</si>
  <si>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</si>
  <si>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</si>
  <si>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</si>
  <si>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</si>
  <si>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</si>
  <si>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</si>
  <si>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</si>
  <si>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</si>
  <si>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</si>
  <si>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</si>
  <si>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</si>
  <si>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</si>
  <si>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</si>
  <si>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</si>
  <si>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</si>
  <si>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</si>
  <si>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</si>
  <si>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</si>
  <si>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</si>
  <si>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</si>
  <si>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</si>
  <si>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</si>
  <si>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</si>
  <si>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</si>
  <si>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</si>
  <si>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</si>
  <si>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</si>
  <si>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</si>
  <si>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</si>
  <si>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</si>
  <si>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</si>
  <si>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</si>
  <si>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</si>
  <si>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</si>
  <si>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</si>
  <si>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</si>
  <si>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</si>
  <si>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</si>
  <si>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</si>
  <si>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</si>
  <si>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</si>
  <si>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</si>
  <si>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</si>
  <si>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</si>
  <si>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</si>
  <si>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</si>
  <si>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</si>
  <si>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</si>
  <si>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</si>
  <si>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</si>
  <si>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</si>
  <si>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</si>
  <si>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</si>
  <si>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</si>
  <si>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</si>
  <si>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</si>
  <si>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</si>
  <si>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</si>
  <si>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</si>
  <si>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</si>
  <si>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</si>
  <si>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</si>
  <si>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</si>
  <si>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</si>
  <si>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</si>
  <si>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</si>
  <si>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</si>
  <si>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</si>
  <si>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</si>
  <si>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</si>
  <si>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</si>
  <si>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</si>
  <si>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</si>
  <si>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</si>
  <si>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</si>
  <si>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</si>
  <si>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</si>
  <si>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</si>
  <si>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</si>
  <si>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</si>
  <si>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</si>
  <si>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</si>
  <si>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</si>
  <si>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</si>
  <si>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</si>
  <si>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</si>
  <si>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</si>
  <si>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</si>
  <si>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</si>
  <si>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</si>
  <si>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</si>
  <si>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</si>
  <si>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</si>
  <si>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</si>
  <si>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</si>
  <si>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</si>
  <si>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</si>
  <si>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</si>
  <si>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</si>
  <si>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</si>
  <si>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</si>
  <si>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</si>
  <si>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</si>
  <si>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</si>
  <si>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</si>
  <si>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</si>
  <si>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</si>
  <si>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</si>
  <si>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</si>
  <si>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</si>
  <si>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</si>
  <si>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</si>
  <si>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</si>
  <si>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</si>
  <si>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</si>
  <si>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</si>
  <si>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</si>
  <si>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</si>
  <si>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</si>
  <si>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</si>
  <si>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</si>
  <si>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</si>
  <si>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</si>
  <si>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</si>
  <si>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</si>
  <si>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</si>
  <si>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</si>
  <si>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</si>
  <si>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</si>
  <si>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</si>
  <si>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</si>
  <si>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</si>
  <si>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</si>
  <si>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</si>
  <si>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</si>
  <si>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</si>
  <si>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</si>
  <si>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</si>
  <si>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</si>
  <si>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</si>
  <si>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</si>
  <si>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</si>
  <si>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</si>
  <si>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</si>
  <si>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</si>
  <si>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</si>
  <si>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</si>
  <si>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</si>
  <si>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</si>
  <si>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</si>
  <si>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</si>
  <si>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</si>
  <si>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</si>
  <si>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</si>
  <si>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</si>
  <si>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</si>
  <si>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</si>
  <si>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</si>
  <si>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</si>
  <si>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</si>
  <si>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</si>
  <si>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</si>
  <si>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</si>
  <si>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</si>
  <si>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</si>
  <si>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</si>
  <si>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</si>
  <si>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</si>
  <si>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</si>
  <si>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</si>
  <si>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</si>
  <si>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</si>
  <si>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</si>
  <si>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</si>
  <si>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</si>
  <si>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</si>
  <si>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</si>
  <si>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</si>
  <si>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</si>
  <si>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</si>
  <si>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</si>
  <si>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</si>
  <si>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</si>
  <si>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</si>
  <si>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</si>
  <si>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</si>
  <si>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</si>
  <si>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</si>
  <si>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</si>
  <si>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</si>
  <si>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</si>
  <si>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</si>
  <si>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</si>
  <si>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</si>
  <si>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</si>
  <si>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</si>
  <si>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</si>
  <si>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</si>
  <si>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</si>
  <si>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</si>
  <si>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</si>
  <si>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</si>
  <si>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</si>
  <si>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</si>
  <si>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</si>
  <si>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</si>
  <si>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</si>
  <si>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</si>
  <si>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</si>
  <si>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</si>
  <si>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</si>
  <si>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</si>
  <si>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</si>
  <si>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</si>
  <si>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</si>
  <si>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</si>
  <si>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</si>
  <si>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</si>
  <si>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</si>
  <si>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</si>
  <si>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</si>
  <si>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</si>
  <si>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</si>
  <si>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</si>
  <si>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</si>
  <si>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</si>
  <si>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</si>
  <si>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</si>
  <si>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</si>
  <si>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</si>
  <si>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</si>
  <si>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</si>
  <si>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</si>
  <si>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</si>
  <si>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</si>
  <si>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</si>
  <si>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</si>
  <si>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</si>
  <si>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</si>
  <si>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</si>
  <si>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</si>
  <si>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</si>
  <si>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</si>
  <si>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</si>
  <si>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</si>
  <si>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</si>
  <si>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</si>
  <si>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</si>
  <si>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</si>
  <si>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</si>
  <si>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</si>
  <si>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</si>
  <si>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</si>
  <si>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</si>
  <si>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</si>
  <si>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</si>
  <si>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</si>
  <si>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</si>
  <si>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</si>
  <si>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</si>
  <si>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</si>
  <si>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</si>
  <si>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</si>
  <si>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</si>
  <si>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</si>
  <si>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</si>
  <si>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</si>
  <si>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</si>
  <si>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</si>
  <si>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</si>
  <si>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</si>
  <si>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</si>
  <si>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</si>
  <si>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</si>
  <si>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</si>
  <si>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</si>
  <si>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</si>
  <si>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</si>
  <si>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</si>
  <si>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</si>
  <si>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</si>
  <si>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</si>
  <si>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</si>
  <si>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</si>
  <si>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</si>
  <si>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</si>
  <si>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</si>
  <si>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</si>
  <si>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</si>
  <si>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</si>
  <si>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</si>
  <si>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</si>
  <si>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</si>
  <si>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</si>
  <si>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</si>
  <si>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</si>
  <si>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</si>
  <si>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</si>
  <si>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</si>
  <si>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</si>
  <si>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</si>
  <si>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</si>
  <si>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</si>
  <si>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</si>
  <si>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</si>
  <si>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</si>
  <si>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</si>
  <si>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</si>
  <si>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</si>
  <si>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</si>
  <si>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</si>
  <si>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</si>
  <si>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</si>
  <si>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</si>
  <si>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</si>
  <si>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</si>
  <si>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</si>
  <si>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</si>
  <si>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</si>
  <si>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</si>
  <si>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</si>
  <si>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</si>
  <si>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</si>
  <si>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</si>
  <si>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</si>
  <si>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</si>
  <si>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</si>
  <si>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</si>
  <si>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</si>
  <si>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</si>
  <si>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</si>
  <si>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</si>
  <si>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</si>
  <si>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</si>
  <si>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</si>
  <si>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</si>
  <si>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</si>
  <si>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</si>
  <si>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</si>
  <si>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</si>
  <si>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</si>
  <si>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</si>
  <si>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</si>
  <si>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</si>
  <si>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</si>
  <si>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</si>
  <si>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</si>
  <si>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</si>
  <si>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</si>
  <si>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</si>
  <si>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</si>
  <si>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</si>
  <si>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</si>
  <si>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</si>
  <si>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</si>
  <si>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</si>
  <si>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</si>
  <si>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</si>
  <si>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</si>
  <si>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</si>
  <si>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</si>
  <si>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</si>
  <si>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</si>
  <si>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</si>
  <si>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</si>
  <si>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</si>
  <si>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</si>
  <si>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</si>
  <si>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</si>
  <si>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</si>
  <si>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</si>
  <si>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</si>
  <si>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</si>
  <si>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</si>
  <si>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</si>
  <si>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</si>
  <si>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</si>
  <si>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</si>
  <si>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</si>
  <si>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</si>
  <si>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</si>
  <si>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</si>
  <si>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</si>
  <si>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</si>
  <si>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</si>
  <si>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</si>
  <si>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</si>
  <si>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</si>
  <si>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</si>
  <si>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</si>
  <si>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</si>
  <si>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</si>
  <si>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</si>
  <si>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</si>
  <si>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</si>
  <si>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</si>
  <si>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</si>
  <si>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</si>
  <si>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</si>
  <si>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</si>
  <si>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</si>
  <si>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</si>
  <si>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</si>
  <si>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</si>
  <si>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</si>
  <si>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</si>
  <si>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</si>
  <si>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</si>
  <si>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</si>
  <si>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</si>
  <si>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</si>
  <si>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</si>
  <si>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</si>
  <si>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</si>
  <si>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</si>
  <si>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</si>
  <si>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</si>
  <si>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</si>
  <si>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</si>
  <si>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</si>
  <si>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</si>
  <si>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</si>
  <si>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</si>
  <si>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</si>
  <si>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</si>
  <si>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</si>
  <si>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</si>
  <si>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</si>
  <si>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</si>
  <si>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</si>
  <si>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</si>
  <si>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</si>
  <si>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</si>
  <si>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</si>
  <si>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</si>
  <si>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</si>
  <si>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</si>
  <si>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</si>
  <si>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</si>
  <si>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</si>
  <si>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</si>
  <si>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</si>
  <si>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</si>
  <si>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</si>
  <si>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</si>
  <si>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</si>
  <si>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</si>
  <si>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</si>
  <si>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</si>
  <si>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</si>
  <si>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</si>
  <si>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</si>
  <si>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</si>
  <si>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</si>
  <si>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</si>
  <si>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</si>
  <si>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</si>
  <si>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</si>
  <si>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</si>
  <si>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</si>
  <si>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</si>
  <si>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</si>
  <si>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</si>
  <si>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</si>
  <si>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</si>
  <si>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</si>
  <si>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</si>
  <si>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</si>
  <si>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</si>
  <si>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</si>
  <si>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</si>
  <si>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</si>
  <si>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</si>
  <si>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</si>
  <si>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</si>
  <si>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</si>
  <si>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</si>
  <si>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</si>
  <si>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</si>
  <si>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</si>
  <si>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</si>
  <si>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</si>
  <si>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</si>
  <si>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</si>
  <si>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</si>
  <si>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</si>
  <si>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</si>
  <si>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</si>
  <si>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</si>
  <si>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</si>
  <si>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</si>
  <si>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</si>
  <si>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</si>
  <si>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</si>
  <si>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</si>
  <si>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</si>
  <si>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</si>
  <si>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</si>
  <si>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</si>
  <si>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</si>
  <si>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</si>
  <si>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</si>
  <si>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</si>
  <si>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</si>
  <si>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</si>
  <si>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</si>
  <si>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</si>
  <si>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</si>
  <si>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</si>
  <si>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</si>
  <si>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</si>
  <si>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</si>
  <si>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</si>
  <si>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</si>
  <si>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</si>
  <si>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</si>
  <si>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</si>
  <si>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</si>
  <si>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</si>
  <si>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</si>
  <si>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</si>
  <si>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</si>
  <si>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</si>
  <si>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</si>
  <si>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</si>
  <si>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</si>
  <si>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</si>
  <si>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</si>
  <si>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</si>
  <si>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</si>
  <si>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</si>
  <si>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</si>
  <si>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</si>
  <si>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</si>
  <si>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</si>
  <si>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</si>
  <si>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</si>
  <si>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</si>
  <si>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</si>
  <si>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</si>
  <si>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</si>
  <si>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</si>
  <si>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</si>
  <si>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</si>
  <si>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</si>
  <si>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</si>
  <si>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</si>
  <si>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</si>
  <si>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</si>
  <si>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</si>
  <si>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</si>
  <si>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</si>
  <si>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</si>
  <si>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</si>
  <si>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</si>
  <si>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</si>
  <si>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</si>
  <si>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</si>
  <si>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</si>
  <si>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</si>
  <si>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</si>
  <si>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</si>
  <si>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</si>
  <si>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</si>
  <si>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</si>
  <si>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</si>
  <si>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</si>
  <si>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</si>
  <si>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</si>
  <si>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</si>
  <si>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</si>
  <si>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</si>
  <si>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</si>
  <si>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</si>
  <si>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</si>
  <si>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</si>
  <si>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</si>
  <si>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</si>
  <si>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</si>
  <si>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</si>
  <si>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</si>
  <si>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</si>
  <si>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</si>
  <si>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</si>
  <si>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</si>
  <si>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</si>
  <si>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</si>
  <si>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</si>
  <si>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</si>
  <si>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</si>
  <si>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</si>
  <si>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</si>
  <si>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</si>
  <si>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</si>
  <si>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</si>
  <si>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</si>
  <si>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</si>
  <si>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</si>
  <si>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</si>
  <si>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</si>
  <si>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</si>
  <si>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</si>
  <si>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</si>
  <si>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</si>
  <si>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</si>
  <si>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</si>
  <si>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</si>
  <si>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</si>
  <si>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</si>
  <si>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</si>
  <si>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</si>
  <si>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</si>
  <si>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</si>
  <si>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</si>
  <si>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</si>
  <si>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</si>
  <si>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</si>
  <si>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</si>
  <si>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</si>
  <si>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</si>
  <si>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</si>
  <si>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</si>
  <si>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</si>
  <si>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</si>
  <si>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</si>
  <si>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</si>
  <si>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</si>
  <si>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</si>
  <si>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</si>
  <si>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</si>
  <si>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</si>
  <si>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</si>
  <si>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</si>
  <si>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</si>
  <si>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</si>
  <si>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</si>
  <si>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</si>
  <si>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</si>
  <si>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</si>
  <si>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</si>
  <si>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</si>
  <si>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</si>
  <si>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</si>
  <si>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</si>
  <si>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</si>
  <si>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</si>
  <si>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</si>
  <si>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</si>
  <si>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</si>
  <si>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</si>
  <si>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</si>
  <si>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</si>
  <si>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</si>
  <si>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</si>
  <si>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</si>
  <si>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</si>
  <si>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</si>
  <si>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</si>
  <si>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</si>
  <si>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</si>
  <si>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</si>
  <si>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</si>
  <si>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</si>
  <si>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</si>
  <si>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</si>
  <si>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</si>
  <si>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</si>
  <si>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</si>
  <si>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</si>
  <si>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</si>
  <si>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</si>
  <si>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</si>
  <si>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</si>
  <si>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</si>
  <si>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</si>
  <si>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</si>
  <si>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</si>
  <si>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</si>
  <si>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</si>
  <si>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</si>
  <si>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</si>
  <si>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</si>
  <si>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</si>
  <si>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</si>
  <si>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</si>
  <si>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</si>
  <si>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</si>
  <si>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</si>
  <si>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</si>
  <si>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</si>
  <si>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</si>
  <si>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</si>
  <si>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</si>
  <si>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</si>
  <si>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</si>
  <si>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</si>
  <si>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</si>
  <si>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</si>
  <si>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</si>
  <si>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</si>
  <si>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</si>
  <si>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</si>
  <si>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</si>
  <si>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</si>
  <si>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</si>
  <si>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</si>
  <si>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</si>
  <si>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</si>
  <si>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</si>
  <si>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</si>
  <si>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</si>
  <si>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</si>
  <si>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</si>
  <si>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</si>
  <si>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</si>
  <si>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</si>
  <si>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</si>
  <si>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</si>
  <si>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</si>
  <si>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</si>
  <si>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</si>
  <si>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</si>
  <si>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</si>
  <si>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</si>
  <si>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</si>
  <si>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</si>
  <si>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</si>
  <si>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</si>
  <si>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</si>
  <si>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</si>
  <si>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</si>
  <si>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</si>
  <si>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</si>
  <si>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</si>
  <si>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</si>
  <si>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</si>
  <si>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</si>
  <si>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</si>
  <si>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</si>
  <si>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</si>
  <si>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</si>
  <si>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</si>
  <si>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</si>
  <si>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</si>
  <si>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</si>
  <si>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</si>
  <si>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</si>
  <si>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</si>
  <si>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</si>
  <si>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</si>
  <si>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</si>
  <si>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</si>
  <si>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</si>
  <si>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</si>
  <si>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</si>
  <si>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</si>
  <si>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</si>
  <si>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</si>
  <si>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</si>
  <si>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</si>
  <si>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</si>
  <si>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</si>
  <si>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</si>
  <si>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</si>
  <si>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</si>
  <si>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</si>
  <si>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</si>
  <si>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</si>
  <si>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</si>
  <si>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</si>
  <si>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</si>
  <si>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</si>
  <si>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</si>
  <si>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</si>
  <si>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</si>
  <si>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</si>
  <si>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</si>
  <si>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</si>
  <si>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</si>
  <si>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</si>
  <si>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</si>
  <si>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</si>
  <si>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</si>
  <si>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</si>
  <si>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</si>
  <si>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</si>
  <si>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</si>
  <si>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</si>
  <si>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</si>
  <si>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</si>
  <si>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</si>
  <si>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</si>
  <si>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</si>
  <si>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</si>
  <si>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</si>
  <si>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</si>
  <si>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</si>
  <si>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</si>
  <si>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</si>
  <si>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</si>
  <si>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</si>
  <si>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</si>
  <si>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</si>
  <si>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</si>
  <si>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</si>
  <si>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</si>
  <si>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</si>
  <si>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</si>
  <si>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</si>
  <si>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</si>
  <si>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</si>
  <si>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</si>
  <si>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</si>
  <si>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</si>
  <si>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</si>
  <si>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</si>
  <si>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</si>
  <si>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</si>
  <si>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</si>
  <si>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</si>
  <si>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</si>
  <si>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</si>
  <si>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</si>
  <si>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</si>
  <si>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</si>
  <si>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</si>
  <si>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</si>
  <si>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</si>
  <si>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</si>
  <si>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</si>
  <si>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</si>
  <si>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</si>
  <si>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</si>
  <si>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</si>
  <si>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</si>
  <si>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</si>
  <si>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</si>
  <si>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</si>
  <si>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</si>
  <si>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</si>
  <si>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</si>
  <si>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</si>
  <si>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</si>
  <si>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</si>
  <si>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</si>
  <si>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</si>
  <si>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</si>
  <si>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</si>
  <si>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</si>
  <si>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</si>
  <si>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</si>
  <si>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</si>
  <si>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</si>
  <si>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</si>
  <si>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</si>
  <si>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</si>
  <si>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</si>
  <si>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</si>
  <si>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</si>
  <si>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</si>
  <si>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</si>
  <si>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</si>
  <si>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</si>
  <si>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</si>
  <si>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</si>
  <si>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</si>
  <si>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</si>
  <si>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</si>
  <si>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</si>
  <si>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</si>
  <si>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</si>
  <si>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</si>
  <si>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</si>
  <si>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</si>
  <si>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</si>
  <si>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</si>
  <si>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</si>
  <si>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</si>
  <si>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</si>
  <si>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</si>
  <si>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</si>
  <si>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</si>
  <si>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</si>
  <si>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</si>
  <si>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</si>
  <si>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</si>
  <si>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</si>
  <si>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</si>
  <si>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</si>
  <si>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</si>
  <si>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</si>
  <si>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</si>
  <si>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</si>
  <si>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</si>
  <si>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</si>
  <si>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</si>
  <si>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</si>
  <si>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</si>
  <si>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</si>
  <si>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</si>
  <si>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</si>
  <si>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</si>
  <si>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</si>
  <si>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</si>
  <si>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</si>
  <si>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</si>
  <si>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</si>
  <si>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</si>
  <si>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</si>
  <si>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</si>
  <si>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</si>
  <si>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</si>
  <si>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</si>
  <si>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</si>
  <si>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</si>
  <si>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</si>
  <si>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</si>
  <si>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</si>
  <si>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</si>
  <si>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</si>
  <si>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</si>
  <si>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</si>
  <si>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44021</t>
  </si>
  <si>
    <t>GENT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</si>
  <si>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</si>
  <si>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</si>
  <si>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</si>
  <si>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</si>
  <si>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</si>
  <si>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</si>
  <si>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</si>
  <si>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Jean_Pierre Van Wingen</t>
  </si>
  <si>
    <t>Keuzekouter 20 , 9031 Drongen</t>
  </si>
  <si>
    <t>WKK-0220 Jean-Pierre Van Wingen</t>
  </si>
  <si>
    <t>interne verbrandingsmotor</t>
  </si>
  <si>
    <t>WKK interne verbrandinsgmotor (vloeibaar)</t>
  </si>
  <si>
    <t>IMEWO</t>
  </si>
  <si>
    <t>VLS-Group Ghent NV</t>
  </si>
  <si>
    <t>Belgicastraat 3 , 9042 Sint-Kruis-Winkel</t>
  </si>
  <si>
    <t>WKK-0227 VLS-Group Ghent</t>
  </si>
  <si>
    <t>Belgicastraat (Haven 2270) 3 , 9042 Sint-Kruis-Winkel</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</si>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</sst>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44021</v>
      </c>
      <c r="B6" s="396"/>
      <c r="C6" s="397"/>
    </row>
    <row r="7" spans="1:7" s="394" customFormat="1" ht="15.75" customHeight="1">
      <c r="A7" s="398" t="str">
        <f>txtMunicipality</f>
        <v>GENT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0.20657419244891945</v>
      </c>
      <c r="C17" s="509">
        <f ca="1">'EF ele_warmte'!B22</f>
        <v>7.8209463957606584E-2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0.20657419244891945</v>
      </c>
      <c r="C29" s="510">
        <f ca="1">'EF ele_warmte'!B22</f>
        <v>7.8209463957606584E-2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44021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117091</v>
      </c>
      <c r="C9" s="336">
        <v>123757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3207</v>
      </c>
    </row>
    <row r="15" spans="1:6">
      <c r="A15" s="1277" t="s">
        <v>184</v>
      </c>
      <c r="B15" s="333">
        <v>38</v>
      </c>
    </row>
    <row r="16" spans="1:6">
      <c r="A16" s="1277" t="s">
        <v>6</v>
      </c>
      <c r="B16" s="333">
        <v>1403</v>
      </c>
    </row>
    <row r="17" spans="1:6">
      <c r="A17" s="1277" t="s">
        <v>7</v>
      </c>
      <c r="B17" s="333">
        <v>864</v>
      </c>
    </row>
    <row r="18" spans="1:6">
      <c r="A18" s="1277" t="s">
        <v>8</v>
      </c>
      <c r="B18" s="333">
        <v>1436</v>
      </c>
    </row>
    <row r="19" spans="1:6">
      <c r="A19" s="1277" t="s">
        <v>9</v>
      </c>
      <c r="B19" s="333">
        <v>1271</v>
      </c>
    </row>
    <row r="20" spans="1:6">
      <c r="A20" s="1277" t="s">
        <v>10</v>
      </c>
      <c r="B20" s="333">
        <v>1052</v>
      </c>
    </row>
    <row r="21" spans="1:6">
      <c r="A21" s="1277" t="s">
        <v>11</v>
      </c>
      <c r="B21" s="333">
        <v>2125</v>
      </c>
    </row>
    <row r="22" spans="1:6">
      <c r="A22" s="1277" t="s">
        <v>12</v>
      </c>
      <c r="B22" s="333">
        <v>4427</v>
      </c>
    </row>
    <row r="23" spans="1:6">
      <c r="A23" s="1277" t="s">
        <v>13</v>
      </c>
      <c r="B23" s="333">
        <v>92</v>
      </c>
    </row>
    <row r="24" spans="1:6">
      <c r="A24" s="1277" t="s">
        <v>14</v>
      </c>
      <c r="B24" s="333">
        <v>8</v>
      </c>
    </row>
    <row r="25" spans="1:6">
      <c r="A25" s="1277" t="s">
        <v>15</v>
      </c>
      <c r="B25" s="333">
        <v>617</v>
      </c>
    </row>
    <row r="26" spans="1:6">
      <c r="A26" s="1277" t="s">
        <v>16</v>
      </c>
      <c r="B26" s="333">
        <v>332</v>
      </c>
    </row>
    <row r="27" spans="1:6">
      <c r="A27" s="1277" t="s">
        <v>17</v>
      </c>
      <c r="B27" s="333">
        <v>9</v>
      </c>
    </row>
    <row r="28" spans="1:6">
      <c r="A28" s="1277" t="s">
        <v>18</v>
      </c>
      <c r="B28" s="333">
        <v>4038</v>
      </c>
    </row>
    <row r="29" spans="1:6">
      <c r="A29" s="1277" t="s">
        <v>957</v>
      </c>
      <c r="B29" s="333">
        <v>511</v>
      </c>
    </row>
    <row r="30" spans="1:6">
      <c r="A30" s="1273" t="s">
        <v>958</v>
      </c>
      <c r="B30" s="1273">
        <v>92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9</v>
      </c>
      <c r="F35" s="333">
        <v>116560.748303606</v>
      </c>
    </row>
    <row r="36" spans="1:6">
      <c r="A36" s="1277" t="s">
        <v>25</v>
      </c>
      <c r="B36" s="1277" t="s">
        <v>27</v>
      </c>
      <c r="C36" s="333">
        <v>10</v>
      </c>
      <c r="D36" s="333">
        <v>1217643.2769148301</v>
      </c>
      <c r="E36" s="333">
        <v>31</v>
      </c>
      <c r="F36" s="333">
        <v>9737696.7678835206</v>
      </c>
    </row>
    <row r="37" spans="1:6">
      <c r="A37" s="1277" t="s">
        <v>25</v>
      </c>
      <c r="B37" s="1277" t="s">
        <v>28</v>
      </c>
      <c r="C37" s="333">
        <v>0</v>
      </c>
      <c r="D37" s="333">
        <v>0</v>
      </c>
      <c r="E37" s="333">
        <v>3</v>
      </c>
      <c r="F37" s="333">
        <v>89699.894752915003</v>
      </c>
    </row>
    <row r="38" spans="1:6">
      <c r="A38" s="1277" t="s">
        <v>25</v>
      </c>
      <c r="B38" s="1277" t="s">
        <v>29</v>
      </c>
      <c r="C38" s="333">
        <v>2</v>
      </c>
      <c r="D38" s="333">
        <v>49360.257725540003</v>
      </c>
      <c r="E38" s="333">
        <v>18</v>
      </c>
      <c r="F38" s="333">
        <v>1006544.37382038</v>
      </c>
    </row>
    <row r="39" spans="1:6">
      <c r="A39" s="1277" t="s">
        <v>30</v>
      </c>
      <c r="B39" s="1277" t="s">
        <v>31</v>
      </c>
      <c r="C39" s="333">
        <v>83978</v>
      </c>
      <c r="D39" s="333">
        <v>1178447085.3974066</v>
      </c>
      <c r="E39" s="333">
        <v>114161</v>
      </c>
      <c r="F39" s="333">
        <v>388835521.0346902</v>
      </c>
    </row>
    <row r="40" spans="1:6">
      <c r="A40" s="1277" t="s">
        <v>30</v>
      </c>
      <c r="B40" s="1277" t="s">
        <v>29</v>
      </c>
      <c r="C40" s="333">
        <v>2</v>
      </c>
      <c r="D40" s="333">
        <v>201086.126085411</v>
      </c>
      <c r="E40" s="333">
        <v>2</v>
      </c>
      <c r="F40" s="333">
        <v>13017.727848787201</v>
      </c>
    </row>
    <row r="41" spans="1:6">
      <c r="A41" s="1277" t="s">
        <v>32</v>
      </c>
      <c r="B41" s="1277" t="s">
        <v>33</v>
      </c>
      <c r="C41" s="333">
        <v>692</v>
      </c>
      <c r="D41" s="333">
        <v>27914685.0896575</v>
      </c>
      <c r="E41" s="333">
        <v>1462</v>
      </c>
      <c r="F41" s="333">
        <v>41524900.985818498</v>
      </c>
    </row>
    <row r="42" spans="1:6">
      <c r="A42" s="1277" t="s">
        <v>32</v>
      </c>
      <c r="B42" s="1277" t="s">
        <v>34</v>
      </c>
      <c r="C42" s="333">
        <v>7</v>
      </c>
      <c r="D42" s="333">
        <v>7430332.0676394803</v>
      </c>
      <c r="E42" s="333">
        <v>17</v>
      </c>
      <c r="F42" s="333">
        <v>19096918.130606402</v>
      </c>
    </row>
    <row r="43" spans="1:6">
      <c r="A43" s="1277" t="s">
        <v>32</v>
      </c>
      <c r="B43" s="1277" t="s">
        <v>35</v>
      </c>
      <c r="C43" s="333">
        <v>0</v>
      </c>
      <c r="D43" s="333">
        <v>0</v>
      </c>
      <c r="E43" s="333">
        <v>0</v>
      </c>
      <c r="F43" s="333">
        <v>0</v>
      </c>
    </row>
    <row r="44" spans="1:6">
      <c r="A44" s="1277" t="s">
        <v>32</v>
      </c>
      <c r="B44" s="1277" t="s">
        <v>36</v>
      </c>
      <c r="C44" s="333">
        <v>62</v>
      </c>
      <c r="D44" s="333">
        <v>47303379.227868699</v>
      </c>
      <c r="E44" s="333">
        <v>95</v>
      </c>
      <c r="F44" s="333">
        <v>47960187.779075801</v>
      </c>
    </row>
    <row r="45" spans="1:6">
      <c r="A45" s="1277" t="s">
        <v>32</v>
      </c>
      <c r="B45" s="1277" t="s">
        <v>37</v>
      </c>
      <c r="C45" s="333">
        <v>3</v>
      </c>
      <c r="D45" s="333">
        <v>170429.39476806001</v>
      </c>
      <c r="E45" s="333">
        <v>22</v>
      </c>
      <c r="F45" s="333">
        <v>19944999.8752928</v>
      </c>
    </row>
    <row r="46" spans="1:6">
      <c r="A46" s="1277" t="s">
        <v>32</v>
      </c>
      <c r="B46" s="1277" t="s">
        <v>38</v>
      </c>
      <c r="C46" s="333">
        <v>0</v>
      </c>
      <c r="D46" s="333">
        <v>0</v>
      </c>
      <c r="E46" s="333">
        <v>0</v>
      </c>
      <c r="F46" s="333">
        <v>0</v>
      </c>
    </row>
    <row r="47" spans="1:6">
      <c r="A47" s="1277" t="s">
        <v>32</v>
      </c>
      <c r="B47" s="1277" t="s">
        <v>39</v>
      </c>
      <c r="C47" s="333">
        <v>84</v>
      </c>
      <c r="D47" s="333">
        <v>2886261.3487648899</v>
      </c>
      <c r="E47" s="333">
        <v>126</v>
      </c>
      <c r="F47" s="333">
        <v>14446051.3159684</v>
      </c>
    </row>
    <row r="48" spans="1:6">
      <c r="A48" s="1277" t="s">
        <v>32</v>
      </c>
      <c r="B48" s="1277" t="s">
        <v>29</v>
      </c>
      <c r="C48" s="333">
        <v>253</v>
      </c>
      <c r="D48" s="333">
        <v>188261862.45546499</v>
      </c>
      <c r="E48" s="333">
        <v>333</v>
      </c>
      <c r="F48" s="333">
        <v>191527723.42153299</v>
      </c>
    </row>
    <row r="49" spans="1:6">
      <c r="A49" s="1277" t="s">
        <v>32</v>
      </c>
      <c r="B49" s="1277" t="s">
        <v>40</v>
      </c>
      <c r="C49" s="333">
        <v>23</v>
      </c>
      <c r="D49" s="333">
        <v>982893.51175362198</v>
      </c>
      <c r="E49" s="333">
        <v>28</v>
      </c>
      <c r="F49" s="333">
        <v>497552.00584450603</v>
      </c>
    </row>
    <row r="50" spans="1:6">
      <c r="A50" s="1277" t="s">
        <v>32</v>
      </c>
      <c r="B50" s="1277" t="s">
        <v>41</v>
      </c>
      <c r="C50" s="333">
        <v>155</v>
      </c>
      <c r="D50" s="333">
        <v>25906593.418896601</v>
      </c>
      <c r="E50" s="333">
        <v>228</v>
      </c>
      <c r="F50" s="333">
        <v>31093667.364531402</v>
      </c>
    </row>
    <row r="51" spans="1:6">
      <c r="A51" s="1277" t="s">
        <v>42</v>
      </c>
      <c r="B51" s="1277" t="s">
        <v>43</v>
      </c>
      <c r="C51" s="333">
        <v>63</v>
      </c>
      <c r="D51" s="333">
        <v>3626485.52107094</v>
      </c>
      <c r="E51" s="333">
        <v>241</v>
      </c>
      <c r="F51" s="333">
        <v>2712095.7699851901</v>
      </c>
    </row>
    <row r="52" spans="1:6">
      <c r="A52" s="1277" t="s">
        <v>42</v>
      </c>
      <c r="B52" s="1277" t="s">
        <v>29</v>
      </c>
      <c r="C52" s="333">
        <v>33</v>
      </c>
      <c r="D52" s="333">
        <v>1605079.19362495</v>
      </c>
      <c r="E52" s="333">
        <v>49</v>
      </c>
      <c r="F52" s="333">
        <v>421523.41447596002</v>
      </c>
    </row>
    <row r="53" spans="1:6">
      <c r="A53" s="1277" t="s">
        <v>44</v>
      </c>
      <c r="B53" s="1277" t="s">
        <v>45</v>
      </c>
      <c r="C53" s="333">
        <v>3876</v>
      </c>
      <c r="D53" s="333">
        <v>77298509.956346303</v>
      </c>
      <c r="E53" s="333">
        <v>6023</v>
      </c>
      <c r="F53" s="333">
        <v>29930098.823400099</v>
      </c>
    </row>
    <row r="54" spans="1:6">
      <c r="A54" s="1277" t="s">
        <v>46</v>
      </c>
      <c r="B54" s="1277" t="s">
        <v>47</v>
      </c>
      <c r="C54" s="333">
        <v>0</v>
      </c>
      <c r="D54" s="333">
        <v>0</v>
      </c>
      <c r="E54" s="333">
        <v>12</v>
      </c>
      <c r="F54" s="333">
        <v>17125183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823</v>
      </c>
      <c r="D57" s="333">
        <v>45160021.862963103</v>
      </c>
      <c r="E57" s="333">
        <v>1244</v>
      </c>
      <c r="F57" s="333">
        <v>41166940.403316602</v>
      </c>
    </row>
    <row r="58" spans="1:6">
      <c r="A58" s="1277" t="s">
        <v>49</v>
      </c>
      <c r="B58" s="1277" t="s">
        <v>51</v>
      </c>
      <c r="C58" s="333">
        <v>515</v>
      </c>
      <c r="D58" s="333">
        <v>82695834.230557606</v>
      </c>
      <c r="E58" s="333">
        <v>762</v>
      </c>
      <c r="F58" s="333">
        <v>65867272.502354003</v>
      </c>
    </row>
    <row r="59" spans="1:6">
      <c r="A59" s="1277" t="s">
        <v>49</v>
      </c>
      <c r="B59" s="1277" t="s">
        <v>52</v>
      </c>
      <c r="C59" s="333">
        <v>1952</v>
      </c>
      <c r="D59" s="333">
        <v>82759478.244120702</v>
      </c>
      <c r="E59" s="333">
        <v>3444</v>
      </c>
      <c r="F59" s="333">
        <v>164930274.131632</v>
      </c>
    </row>
    <row r="60" spans="1:6">
      <c r="A60" s="1277" t="s">
        <v>49</v>
      </c>
      <c r="B60" s="1277" t="s">
        <v>53</v>
      </c>
      <c r="C60" s="333">
        <v>1490</v>
      </c>
      <c r="D60" s="333">
        <v>140223535.345431</v>
      </c>
      <c r="E60" s="333">
        <v>2114</v>
      </c>
      <c r="F60" s="333">
        <v>72219962.238734394</v>
      </c>
    </row>
    <row r="61" spans="1:6">
      <c r="A61" s="1277" t="s">
        <v>49</v>
      </c>
      <c r="B61" s="1277" t="s">
        <v>54</v>
      </c>
      <c r="C61" s="333">
        <v>4008</v>
      </c>
      <c r="D61" s="333">
        <v>279061265.733266</v>
      </c>
      <c r="E61" s="333">
        <v>7757</v>
      </c>
      <c r="F61" s="333">
        <v>239985956.443297</v>
      </c>
    </row>
    <row r="62" spans="1:6">
      <c r="A62" s="1277" t="s">
        <v>49</v>
      </c>
      <c r="B62" s="1277" t="s">
        <v>55</v>
      </c>
      <c r="C62" s="333">
        <v>238</v>
      </c>
      <c r="D62" s="333">
        <v>84299057.826777607</v>
      </c>
      <c r="E62" s="333">
        <v>259</v>
      </c>
      <c r="F62" s="333">
        <v>66860877.571297899</v>
      </c>
    </row>
    <row r="63" spans="1:6">
      <c r="A63" s="1277" t="s">
        <v>49</v>
      </c>
      <c r="B63" s="1277" t="s">
        <v>29</v>
      </c>
      <c r="C63" s="333">
        <v>794</v>
      </c>
      <c r="D63" s="333">
        <v>163842862.13451701</v>
      </c>
      <c r="E63" s="333">
        <v>898</v>
      </c>
      <c r="F63" s="333">
        <v>83830563.975376606</v>
      </c>
    </row>
    <row r="64" spans="1:6">
      <c r="A64" s="1277" t="s">
        <v>56</v>
      </c>
      <c r="B64" s="1277" t="s">
        <v>57</v>
      </c>
      <c r="C64" s="333">
        <v>0</v>
      </c>
      <c r="D64" s="333">
        <v>0</v>
      </c>
      <c r="E64" s="333">
        <v>0</v>
      </c>
      <c r="F64" s="333">
        <v>0</v>
      </c>
    </row>
    <row r="65" spans="1:6">
      <c r="A65" s="1277" t="s">
        <v>56</v>
      </c>
      <c r="B65" s="1277" t="s">
        <v>29</v>
      </c>
      <c r="C65" s="333">
        <v>21</v>
      </c>
      <c r="D65" s="333">
        <v>620389.718920441</v>
      </c>
      <c r="E65" s="333">
        <v>19</v>
      </c>
      <c r="F65" s="333">
        <v>666457.41446557106</v>
      </c>
    </row>
    <row r="66" spans="1:6">
      <c r="A66" s="1277" t="s">
        <v>56</v>
      </c>
      <c r="B66" s="1277" t="s">
        <v>58</v>
      </c>
      <c r="C66" s="333">
        <v>0</v>
      </c>
      <c r="D66" s="333">
        <v>0</v>
      </c>
      <c r="E66" s="333">
        <v>6</v>
      </c>
      <c r="F66" s="333">
        <v>82991.784858054103</v>
      </c>
    </row>
    <row r="67" spans="1:6">
      <c r="A67" s="1284" t="s">
        <v>56</v>
      </c>
      <c r="B67" s="1284" t="s">
        <v>59</v>
      </c>
      <c r="C67" s="333">
        <v>0</v>
      </c>
      <c r="D67" s="333">
        <v>0</v>
      </c>
      <c r="E67" s="333">
        <v>0</v>
      </c>
      <c r="F67" s="333">
        <v>0</v>
      </c>
    </row>
    <row r="68" spans="1:6">
      <c r="A68" s="1273" t="s">
        <v>56</v>
      </c>
      <c r="B68" s="1273" t="s">
        <v>60</v>
      </c>
      <c r="C68" s="333">
        <v>32</v>
      </c>
      <c r="D68" s="333">
        <v>2851440.2147172899</v>
      </c>
      <c r="E68" s="333">
        <v>122</v>
      </c>
      <c r="F68" s="333">
        <v>14444750.7249885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601533342</v>
      </c>
      <c r="E73" s="333">
        <v>578079962.54652369</v>
      </c>
      <c r="F73" s="333">
        <v>622962888</v>
      </c>
    </row>
    <row r="74" spans="1:6">
      <c r="A74" s="1277" t="s">
        <v>64</v>
      </c>
      <c r="B74" s="1277" t="s">
        <v>774</v>
      </c>
      <c r="C74" s="1288" t="s">
        <v>775</v>
      </c>
      <c r="D74" s="333">
        <v>87291982.601166666</v>
      </c>
      <c r="E74" s="333">
        <v>83805662.525545672</v>
      </c>
      <c r="F74" s="333">
        <v>94737817.929085851</v>
      </c>
    </row>
    <row r="75" spans="1:6">
      <c r="A75" s="1277" t="s">
        <v>65</v>
      </c>
      <c r="B75" s="1277" t="s">
        <v>772</v>
      </c>
      <c r="C75" s="1288" t="s">
        <v>776</v>
      </c>
      <c r="D75" s="333">
        <v>371880662</v>
      </c>
      <c r="E75" s="333">
        <v>354211076.14638919</v>
      </c>
      <c r="F75" s="333">
        <v>399482226</v>
      </c>
    </row>
    <row r="76" spans="1:6">
      <c r="A76" s="1277" t="s">
        <v>65</v>
      </c>
      <c r="B76" s="1277" t="s">
        <v>774</v>
      </c>
      <c r="C76" s="1288" t="s">
        <v>777</v>
      </c>
      <c r="D76" s="333">
        <v>28505272.601166666</v>
      </c>
      <c r="E76" s="333">
        <v>24505526.076054547</v>
      </c>
      <c r="F76" s="333">
        <v>33741017.929085843</v>
      </c>
    </row>
    <row r="77" spans="1:6">
      <c r="A77" s="1277" t="s">
        <v>66</v>
      </c>
      <c r="B77" s="1277" t="s">
        <v>772</v>
      </c>
      <c r="C77" s="1288" t="s">
        <v>778</v>
      </c>
      <c r="D77" s="333">
        <v>948024333</v>
      </c>
      <c r="E77" s="333">
        <v>1033815157.3914365</v>
      </c>
      <c r="F77" s="333">
        <v>969164338</v>
      </c>
    </row>
    <row r="78" spans="1:6">
      <c r="A78" s="1273" t="s">
        <v>66</v>
      </c>
      <c r="B78" s="1273" t="s">
        <v>774</v>
      </c>
      <c r="C78" s="1273" t="s">
        <v>779</v>
      </c>
      <c r="D78" s="1273">
        <v>152072838</v>
      </c>
      <c r="E78" s="1273">
        <v>165350484.5809049</v>
      </c>
      <c r="F78" s="336">
        <v>157527225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11301634.797666669</v>
      </c>
      <c r="C83" s="333">
        <v>10325487.105371019</v>
      </c>
      <c r="D83" s="333">
        <v>10176746.141828308</v>
      </c>
    </row>
    <row r="84" spans="1:6">
      <c r="A84" s="1273" t="s">
        <v>337</v>
      </c>
      <c r="B84" s="336">
        <v>2629528.5954402657</v>
      </c>
      <c r="C84" s="336">
        <v>2624738.0339463553</v>
      </c>
      <c r="D84" s="336">
        <v>2544036.6204024982</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69626.263982426244</v>
      </c>
    </row>
    <row r="91" spans="1:6">
      <c r="A91" s="1277" t="s">
        <v>68</v>
      </c>
      <c r="B91" s="333">
        <v>8734.5785561333832</v>
      </c>
    </row>
    <row r="92" spans="1:6">
      <c r="A92" s="1273" t="s">
        <v>69</v>
      </c>
      <c r="B92" s="336">
        <v>18302.52382580116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62627</v>
      </c>
    </row>
    <row r="98" spans="1:6">
      <c r="A98" s="1277" t="s">
        <v>72</v>
      </c>
      <c r="B98" s="333">
        <v>127</v>
      </c>
    </row>
    <row r="99" spans="1:6">
      <c r="A99" s="1277" t="s">
        <v>73</v>
      </c>
      <c r="B99" s="333">
        <v>385</v>
      </c>
    </row>
    <row r="100" spans="1:6">
      <c r="A100" s="1277" t="s">
        <v>74</v>
      </c>
      <c r="B100" s="333">
        <v>8623</v>
      </c>
    </row>
    <row r="101" spans="1:6">
      <c r="A101" s="1277" t="s">
        <v>75</v>
      </c>
      <c r="B101" s="333">
        <v>396</v>
      </c>
    </row>
    <row r="102" spans="1:6">
      <c r="A102" s="1277" t="s">
        <v>76</v>
      </c>
      <c r="B102" s="333">
        <v>4616</v>
      </c>
    </row>
    <row r="103" spans="1:6">
      <c r="A103" s="1277" t="s">
        <v>77</v>
      </c>
      <c r="B103" s="333">
        <v>1823</v>
      </c>
    </row>
    <row r="104" spans="1:6">
      <c r="A104" s="1277" t="s">
        <v>78</v>
      </c>
      <c r="B104" s="333">
        <v>21695</v>
      </c>
    </row>
    <row r="105" spans="1:6">
      <c r="A105" s="1273" t="s">
        <v>79</v>
      </c>
      <c r="B105" s="1273">
        <v>311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1</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27</v>
      </c>
      <c r="C123" s="333">
        <v>106</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379</v>
      </c>
    </row>
    <row r="130" spans="1:6">
      <c r="A130" s="1277" t="s">
        <v>295</v>
      </c>
      <c r="B130" s="333">
        <v>13</v>
      </c>
    </row>
    <row r="131" spans="1:6">
      <c r="A131" s="1277" t="s">
        <v>296</v>
      </c>
      <c r="B131" s="333">
        <v>11</v>
      </c>
    </row>
    <row r="132" spans="1:6">
      <c r="A132" s="1273" t="s">
        <v>297</v>
      </c>
      <c r="B132" s="336">
        <v>16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1569809.2955882316</v>
      </c>
      <c r="C3" s="43" t="s">
        <v>170</v>
      </c>
      <c r="D3" s="43"/>
      <c r="E3" s="156"/>
      <c r="F3" s="43"/>
      <c r="G3" s="43"/>
      <c r="H3" s="43"/>
      <c r="I3" s="43"/>
      <c r="J3" s="43"/>
      <c r="K3" s="96"/>
    </row>
    <row r="4" spans="1:11">
      <c r="A4" s="364" t="s">
        <v>171</v>
      </c>
      <c r="B4" s="49">
        <f>IF(ISERROR('SEAP template'!B78),0,'SEAP template'!B78)</f>
        <v>105987.36636436079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777.44117647058818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0.20657419244891945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874.62132352941182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11183.0625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7.8209463957606584E-2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17125.183000000001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17125.183000000001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0.20657419244891945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3537.6208487649637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388848.53876253898</v>
      </c>
      <c r="C5" s="17">
        <f>IF(ISERROR('Eigen informatie GS &amp; warmtenet'!B57),0,'Eigen informatie GS &amp; warmtenet'!B57)</f>
        <v>0</v>
      </c>
      <c r="D5" s="30">
        <f>(SUM(HH_hh_gas_kWh,HH_rest_gas_kWh)/1000)*0.902</f>
        <v>1063140.65071419</v>
      </c>
      <c r="E5" s="17">
        <f>B46*B57</f>
        <v>25761.140780143262</v>
      </c>
      <c r="F5" s="17">
        <f>B51*B62</f>
        <v>56487.656848553175</v>
      </c>
      <c r="G5" s="18"/>
      <c r="H5" s="17"/>
      <c r="I5" s="17"/>
      <c r="J5" s="17">
        <f>B50*B61+C50*C61</f>
        <v>0</v>
      </c>
      <c r="K5" s="17"/>
      <c r="L5" s="17"/>
      <c r="M5" s="17"/>
      <c r="N5" s="17">
        <f>B48*B59+C48*C59</f>
        <v>76665.407478461391</v>
      </c>
      <c r="O5" s="17">
        <f>B69*B70*B71</f>
        <v>759.78000000000009</v>
      </c>
      <c r="P5" s="17">
        <f>B77*B78*B79/1000-B77*B78*B79/1000/B80</f>
        <v>819.86666666666667</v>
      </c>
    </row>
    <row r="6" spans="1:16">
      <c r="A6" s="16" t="s">
        <v>632</v>
      </c>
      <c r="B6" s="779">
        <f>kWh_PV_kleiner_dan_10kW</f>
        <v>8734.5785561333832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397583.11731867236</v>
      </c>
      <c r="C8" s="21">
        <f>C5</f>
        <v>0</v>
      </c>
      <c r="D8" s="21">
        <f>D5</f>
        <v>1063140.65071419</v>
      </c>
      <c r="E8" s="21">
        <f>E5</f>
        <v>25761.140780143262</v>
      </c>
      <c r="F8" s="21">
        <f>F5</f>
        <v>56487.656848553175</v>
      </c>
      <c r="G8" s="21"/>
      <c r="H8" s="21"/>
      <c r="I8" s="21"/>
      <c r="J8" s="21">
        <f>J5</f>
        <v>0</v>
      </c>
      <c r="K8" s="21"/>
      <c r="L8" s="21">
        <f>L5</f>
        <v>0</v>
      </c>
      <c r="M8" s="21">
        <f>M5</f>
        <v>0</v>
      </c>
      <c r="N8" s="21">
        <f>N5</f>
        <v>76665.407478461391</v>
      </c>
      <c r="O8" s="21">
        <f>O5</f>
        <v>759.78000000000009</v>
      </c>
      <c r="P8" s="21">
        <f>P5</f>
        <v>819.86666666666667</v>
      </c>
    </row>
    <row r="9" spans="1:16">
      <c r="B9" s="19"/>
      <c r="C9" s="19"/>
      <c r="D9" s="260"/>
      <c r="E9" s="19"/>
      <c r="F9" s="19"/>
      <c r="G9" s="19"/>
      <c r="H9" s="19"/>
      <c r="I9" s="19"/>
      <c r="J9" s="19"/>
      <c r="K9" s="19"/>
      <c r="L9" s="19"/>
      <c r="M9" s="19"/>
      <c r="N9" s="19"/>
      <c r="O9" s="19"/>
      <c r="P9" s="19"/>
    </row>
    <row r="10" spans="1:16">
      <c r="A10" s="24" t="s">
        <v>214</v>
      </c>
      <c r="B10" s="25">
        <f ca="1">'EF ele_warmte'!B12</f>
        <v>0.20657419244891945</v>
      </c>
      <c r="C10" s="25">
        <f ca="1">'EF ele_warmte'!B22</f>
        <v>7.8209463957606584E-2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82130.411391428745</v>
      </c>
      <c r="C12" s="23">
        <f ca="1">C10*C8</f>
        <v>0</v>
      </c>
      <c r="D12" s="23">
        <f>D8*D10</f>
        <v>214754.41144426638</v>
      </c>
      <c r="E12" s="23">
        <f>E10*E8</f>
        <v>5847.7789570925206</v>
      </c>
      <c r="F12" s="23">
        <f>F10*F8</f>
        <v>15082.204378563698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62627</v>
      </c>
      <c r="C18" s="167" t="s">
        <v>111</v>
      </c>
      <c r="D18" s="229"/>
      <c r="E18" s="15"/>
    </row>
    <row r="19" spans="1:7">
      <c r="A19" s="172" t="s">
        <v>72</v>
      </c>
      <c r="B19" s="37">
        <f>aantalw2001_ander</f>
        <v>127</v>
      </c>
      <c r="C19" s="167" t="s">
        <v>111</v>
      </c>
      <c r="D19" s="230"/>
      <c r="E19" s="15"/>
    </row>
    <row r="20" spans="1:7">
      <c r="A20" s="172" t="s">
        <v>73</v>
      </c>
      <c r="B20" s="37">
        <f>aantalw2001_propaan</f>
        <v>385</v>
      </c>
      <c r="C20" s="168">
        <f>IF(ISERROR(B20/SUM($B$20,$B$21,$B$22)*100),0,B20/SUM($B$20,$B$21,$B$22)*100)</f>
        <v>4.0940025521054872</v>
      </c>
      <c r="D20" s="230"/>
      <c r="E20" s="15"/>
    </row>
    <row r="21" spans="1:7">
      <c r="A21" s="172" t="s">
        <v>74</v>
      </c>
      <c r="B21" s="37">
        <f>aantalw2001_elektriciteit</f>
        <v>8623</v>
      </c>
      <c r="C21" s="168">
        <f>IF(ISERROR(B21/SUM($B$20,$B$21,$B$22)*100),0,B21/SUM($B$20,$B$21,$B$22)*100)</f>
        <v>91.695023394300307</v>
      </c>
      <c r="D21" s="230"/>
      <c r="E21" s="15"/>
    </row>
    <row r="22" spans="1:7">
      <c r="A22" s="172" t="s">
        <v>75</v>
      </c>
      <c r="B22" s="37">
        <f>aantalw2001_hout</f>
        <v>396</v>
      </c>
      <c r="C22" s="168">
        <f>IF(ISERROR(B22/SUM($B$20,$B$21,$B$22)*100),0,B22/SUM($B$20,$B$21,$B$22)*100)</f>
        <v>4.2109740535942155</v>
      </c>
      <c r="D22" s="230"/>
      <c r="E22" s="15"/>
    </row>
    <row r="23" spans="1:7">
      <c r="A23" s="172" t="s">
        <v>76</v>
      </c>
      <c r="B23" s="37">
        <f>aantalw2001_niet_gespec</f>
        <v>4616</v>
      </c>
      <c r="C23" s="167" t="s">
        <v>111</v>
      </c>
      <c r="D23" s="229"/>
      <c r="E23" s="15"/>
    </row>
    <row r="24" spans="1:7">
      <c r="A24" s="172" t="s">
        <v>77</v>
      </c>
      <c r="B24" s="37">
        <f>aantalw2001_steenkool</f>
        <v>1823</v>
      </c>
      <c r="C24" s="167" t="s">
        <v>111</v>
      </c>
      <c r="D24" s="230"/>
      <c r="E24" s="15"/>
    </row>
    <row r="25" spans="1:7">
      <c r="A25" s="172" t="s">
        <v>78</v>
      </c>
      <c r="B25" s="37">
        <f>aantalw2001_stookolie</f>
        <v>21695</v>
      </c>
      <c r="C25" s="167" t="s">
        <v>111</v>
      </c>
      <c r="D25" s="229"/>
      <c r="E25" s="52"/>
    </row>
    <row r="26" spans="1:7">
      <c r="A26" s="172" t="s">
        <v>79</v>
      </c>
      <c r="B26" s="37">
        <f>aantalw2001_WP</f>
        <v>311</v>
      </c>
      <c r="C26" s="167" t="s">
        <v>111</v>
      </c>
      <c r="D26" s="229"/>
      <c r="E26" s="15"/>
    </row>
    <row r="27" spans="1:7" s="15" customFormat="1">
      <c r="A27" s="172"/>
      <c r="B27" s="29"/>
      <c r="C27" s="36"/>
      <c r="D27" s="229"/>
    </row>
    <row r="28" spans="1:7" s="15" customFormat="1">
      <c r="A28" s="231" t="s">
        <v>712</v>
      </c>
      <c r="B28" s="37">
        <f>aantalHuishoudens2011</f>
        <v>117091</v>
      </c>
      <c r="C28" s="36"/>
      <c r="D28" s="229"/>
    </row>
    <row r="29" spans="1:7" s="15" customFormat="1">
      <c r="A29" s="231" t="s">
        <v>713</v>
      </c>
      <c r="B29" s="37">
        <f>SUM(HH_hh_gas_aantal,HH_rest_gas_aantal)</f>
        <v>83980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83980</v>
      </c>
      <c r="C32" s="168">
        <f>IF(ISERROR(B32/SUM($B$32,$B$34,$B$35,$B$36,$B$38,$B$39)*100),0,B32/SUM($B$32,$B$34,$B$35,$B$36,$B$38,$B$39)*100)</f>
        <v>71.748342560317127</v>
      </c>
      <c r="D32" s="234"/>
      <c r="G32" s="15"/>
    </row>
    <row r="33" spans="1:7">
      <c r="A33" s="172" t="s">
        <v>72</v>
      </c>
      <c r="B33" s="34" t="s">
        <v>111</v>
      </c>
      <c r="C33" s="168"/>
      <c r="D33" s="234"/>
      <c r="G33" s="15"/>
    </row>
    <row r="34" spans="1:7">
      <c r="A34" s="172" t="s">
        <v>73</v>
      </c>
      <c r="B34" s="33">
        <f>IF((($B$28-$B$32-$B$39-$B$77-$B$38)*C20/100)&lt;0,0,($B$28-$B$32-$B$39-$B$77-$B$38)*C20/100)</f>
        <v>1252.3840387069333</v>
      </c>
      <c r="C34" s="168">
        <f>IF(ISERROR(B34/SUM($B$32,$B$34,$B$35,$B$36,$B$38,$B$39)*100),0,B34/SUM($B$32,$B$34,$B$35,$B$36,$B$38,$B$39)*100)</f>
        <v>1.069974744298863</v>
      </c>
      <c r="D34" s="234"/>
      <c r="G34" s="15"/>
    </row>
    <row r="35" spans="1:7">
      <c r="A35" s="172" t="s">
        <v>74</v>
      </c>
      <c r="B35" s="33">
        <f>IF((($B$28-$B$32-$B$39-$B$77-$B$38)*C21/100)&lt;0,0,($B$28-$B$32-$B$39-$B$77-$B$38)*C21/100)</f>
        <v>28050.149521480227</v>
      </c>
      <c r="C35" s="168">
        <f>IF(ISERROR(B35/SUM($B$32,$B$34,$B$35,$B$36,$B$38,$B$39)*100),0,B35/SUM($B$32,$B$34,$B$35,$B$36,$B$38,$B$39)*100)</f>
        <v>23.964655117114535</v>
      </c>
      <c r="D35" s="234"/>
      <c r="G35" s="15"/>
    </row>
    <row r="36" spans="1:7">
      <c r="A36" s="172" t="s">
        <v>75</v>
      </c>
      <c r="B36" s="33">
        <f>IF((($B$28-$B$32-$B$39-$B$77-$B$38)*C22/100)&lt;0,0,($B$28-$B$32-$B$39-$B$77-$B$38)*C22/100)</f>
        <v>1288.1664398128457</v>
      </c>
      <c r="C36" s="168">
        <f>IF(ISERROR(B36/SUM($B$32,$B$34,$B$35,$B$36,$B$38,$B$39)*100),0,B36/SUM($B$32,$B$34,$B$35,$B$36,$B$38,$B$39)*100)</f>
        <v>1.1005454512788306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2477.2999999999993</v>
      </c>
      <c r="C39" s="168">
        <f>IF(ISERROR(B39/SUM($B$32,$B$34,$B$35,$B$36,$B$38,$B$39)*100),0,B39/SUM($B$32,$B$34,$B$35,$B$36,$B$38,$B$39)*100)</f>
        <v>2.1164821269906353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83980</v>
      </c>
      <c r="C44" s="34" t="s">
        <v>111</v>
      </c>
      <c r="D44" s="175"/>
    </row>
    <row r="45" spans="1:7">
      <c r="A45" s="172" t="s">
        <v>72</v>
      </c>
      <c r="B45" s="33" t="str">
        <f t="shared" si="0"/>
        <v>-</v>
      </c>
      <c r="C45" s="34" t="s">
        <v>111</v>
      </c>
      <c r="D45" s="175"/>
    </row>
    <row r="46" spans="1:7">
      <c r="A46" s="172" t="s">
        <v>73</v>
      </c>
      <c r="B46" s="33">
        <f t="shared" si="0"/>
        <v>1252.3840387069333</v>
      </c>
      <c r="C46" s="34" t="s">
        <v>111</v>
      </c>
      <c r="D46" s="175"/>
    </row>
    <row r="47" spans="1:7">
      <c r="A47" s="172" t="s">
        <v>74</v>
      </c>
      <c r="B47" s="33">
        <f t="shared" si="0"/>
        <v>28050.149521480227</v>
      </c>
      <c r="C47" s="34" t="s">
        <v>111</v>
      </c>
      <c r="D47" s="175"/>
    </row>
    <row r="48" spans="1:7">
      <c r="A48" s="172" t="s">
        <v>75</v>
      </c>
      <c r="B48" s="33">
        <f t="shared" si="0"/>
        <v>1288.1664398128457</v>
      </c>
      <c r="C48" s="33">
        <f>B48*10</f>
        <v>12881.664398128458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2477.2999999999993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486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734861.84726600861</v>
      </c>
      <c r="C5" s="17">
        <f>IF(ISERROR('Eigen informatie GS &amp; warmtenet'!B58),0,'Eigen informatie GS &amp; warmtenet'!B58)</f>
        <v>0</v>
      </c>
      <c r="D5" s="30">
        <f>SUM(D6:D12)</f>
        <v>791993.93395062489</v>
      </c>
      <c r="E5" s="17">
        <f>SUM(E6:E12)</f>
        <v>15448.480227612739</v>
      </c>
      <c r="F5" s="17">
        <f>SUM(F6:F12)</f>
        <v>166459.37851977578</v>
      </c>
      <c r="G5" s="18"/>
      <c r="H5" s="17"/>
      <c r="I5" s="17"/>
      <c r="J5" s="17">
        <f>SUM(J6:J12)</f>
        <v>0</v>
      </c>
      <c r="K5" s="17"/>
      <c r="L5" s="17"/>
      <c r="M5" s="17"/>
      <c r="N5" s="17">
        <f>SUM(N6:N12)</f>
        <v>14564.220884834609</v>
      </c>
      <c r="O5" s="17">
        <f>B38*B39*B40</f>
        <v>20.323333333333334</v>
      </c>
      <c r="P5" s="17">
        <f>B46*B47*B48/1000-B46*B47*B48/1000/B49</f>
        <v>209.73333333333335</v>
      </c>
      <c r="R5" s="32"/>
    </row>
    <row r="6" spans="1:18">
      <c r="A6" s="32" t="s">
        <v>54</v>
      </c>
      <c r="B6" s="37">
        <f>B26</f>
        <v>239985.95644329701</v>
      </c>
      <c r="C6" s="33"/>
      <c r="D6" s="37">
        <f>IF(ISERROR(TER_kantoor_gas_kWh/1000),0,TER_kantoor_gas_kWh/1000)*0.902</f>
        <v>251713.26169140596</v>
      </c>
      <c r="E6" s="33">
        <f>$C$26*'E Balans VL '!I12/100/3.6*1000000</f>
        <v>8400.4525194640592</v>
      </c>
      <c r="F6" s="33">
        <f>$C$26*('E Balans VL '!L12+'E Balans VL '!N12)/100/3.6*1000000</f>
        <v>36387.023444799299</v>
      </c>
      <c r="G6" s="34"/>
      <c r="H6" s="33"/>
      <c r="I6" s="33"/>
      <c r="J6" s="33">
        <f>$C$26*('E Balans VL '!D12+'E Balans VL '!E12)/100/3.6*1000000</f>
        <v>0</v>
      </c>
      <c r="K6" s="33"/>
      <c r="L6" s="33"/>
      <c r="M6" s="33"/>
      <c r="N6" s="33">
        <f>$C$26*'E Balans VL '!Y12/100/3.6*1000000</f>
        <v>1855.0163297695365</v>
      </c>
      <c r="O6" s="33"/>
      <c r="P6" s="33"/>
      <c r="R6" s="32"/>
    </row>
    <row r="7" spans="1:18">
      <c r="A7" s="32" t="s">
        <v>53</v>
      </c>
      <c r="B7" s="37">
        <f t="shared" ref="B7:B12" si="0">B27</f>
        <v>72219.962238734399</v>
      </c>
      <c r="C7" s="33"/>
      <c r="D7" s="37">
        <f>IF(ISERROR(TER_horeca_gas_kWh/1000),0,TER_horeca_gas_kWh/1000)*0.902</f>
        <v>126481.62888157877</v>
      </c>
      <c r="E7" s="33">
        <f>$C$27*'E Balans VL '!I9/100/3.6*1000000</f>
        <v>4074.1661618917574</v>
      </c>
      <c r="F7" s="33">
        <f>$C$27*('E Balans VL '!L9+'E Balans VL '!N9)/100/3.6*1000000</f>
        <v>12581.11709239009</v>
      </c>
      <c r="G7" s="34"/>
      <c r="H7" s="33"/>
      <c r="I7" s="33"/>
      <c r="J7" s="33">
        <f>$C$27*('E Balans VL '!D9+'E Balans VL '!E9)/100/3.6*1000000</f>
        <v>0</v>
      </c>
      <c r="K7" s="33"/>
      <c r="L7" s="33"/>
      <c r="M7" s="33"/>
      <c r="N7" s="33">
        <f>$C$27*'E Balans VL '!Y9/100/3.6*1000000</f>
        <v>0</v>
      </c>
      <c r="O7" s="33"/>
      <c r="P7" s="33"/>
      <c r="R7" s="32"/>
    </row>
    <row r="8" spans="1:18">
      <c r="A8" s="6" t="s">
        <v>52</v>
      </c>
      <c r="B8" s="37">
        <f t="shared" si="0"/>
        <v>164930.274131632</v>
      </c>
      <c r="C8" s="33"/>
      <c r="D8" s="37">
        <f>IF(ISERROR(TER_handel_gas_kWh/1000),0,TER_handel_gas_kWh/1000)*0.902</f>
        <v>74649.049376196883</v>
      </c>
      <c r="E8" s="33">
        <f>$C$28*'E Balans VL '!I13/100/3.6*1000000</f>
        <v>846.73527071897513</v>
      </c>
      <c r="F8" s="33">
        <f>$C$28*('E Balans VL '!L13+'E Balans VL '!N13)/100/3.6*1000000</f>
        <v>25429.699836754113</v>
      </c>
      <c r="G8" s="34"/>
      <c r="H8" s="33"/>
      <c r="I8" s="33"/>
      <c r="J8" s="33">
        <f>$C$28*('E Balans VL '!D13+'E Balans VL '!E13)/100/3.6*1000000</f>
        <v>0</v>
      </c>
      <c r="K8" s="33"/>
      <c r="L8" s="33"/>
      <c r="M8" s="33"/>
      <c r="N8" s="33">
        <f>$C$28*'E Balans VL '!Y13/100/3.6*1000000</f>
        <v>77.139902456350399</v>
      </c>
      <c r="O8" s="33"/>
      <c r="P8" s="33"/>
      <c r="R8" s="32"/>
    </row>
    <row r="9" spans="1:18">
      <c r="A9" s="32" t="s">
        <v>51</v>
      </c>
      <c r="B9" s="37">
        <f t="shared" si="0"/>
        <v>65867.272502353997</v>
      </c>
      <c r="C9" s="33"/>
      <c r="D9" s="37">
        <f>IF(ISERROR(TER_gezond_gas_kWh/1000),0,TER_gezond_gas_kWh/1000)*0.902</f>
        <v>74591.642475962959</v>
      </c>
      <c r="E9" s="33">
        <f>$C$29*'E Balans VL '!I10/100/3.6*1000000</f>
        <v>27.301515362323055</v>
      </c>
      <c r="F9" s="33">
        <f>$C$29*('E Balans VL '!L10+'E Balans VL '!N10)/100/3.6*1000000</f>
        <v>16222.164554631168</v>
      </c>
      <c r="G9" s="34"/>
      <c r="H9" s="33"/>
      <c r="I9" s="33"/>
      <c r="J9" s="33">
        <f>$C$29*('E Balans VL '!D10+'E Balans VL '!E10)/100/3.6*1000000</f>
        <v>0</v>
      </c>
      <c r="K9" s="33"/>
      <c r="L9" s="33"/>
      <c r="M9" s="33"/>
      <c r="N9" s="33">
        <f>$C$29*'E Balans VL '!Y10/100/3.6*1000000</f>
        <v>569.25626416095315</v>
      </c>
      <c r="O9" s="33"/>
      <c r="P9" s="33"/>
      <c r="R9" s="32"/>
    </row>
    <row r="10" spans="1:18">
      <c r="A10" s="32" t="s">
        <v>50</v>
      </c>
      <c r="B10" s="37">
        <f t="shared" si="0"/>
        <v>41166.940403316599</v>
      </c>
      <c r="C10" s="33"/>
      <c r="D10" s="37">
        <f>IF(ISERROR(TER_ander_gas_kWh/1000),0,TER_ander_gas_kWh/1000)*0.902</f>
        <v>40734.339720392723</v>
      </c>
      <c r="E10" s="33">
        <f>$C$30*'E Balans VL '!I14/100/3.6*1000000</f>
        <v>250.95468439808357</v>
      </c>
      <c r="F10" s="33">
        <f>$C$30*('E Balans VL '!L14+'E Balans VL '!N14)/100/3.6*1000000</f>
        <v>10913.919824034179</v>
      </c>
      <c r="G10" s="34"/>
      <c r="H10" s="33"/>
      <c r="I10" s="33"/>
      <c r="J10" s="33">
        <f>$C$30*('E Balans VL '!D14+'E Balans VL '!E14)/100/3.6*1000000</f>
        <v>0</v>
      </c>
      <c r="K10" s="33"/>
      <c r="L10" s="33"/>
      <c r="M10" s="33"/>
      <c r="N10" s="33">
        <f>$C$30*'E Balans VL '!Y14/100/3.6*1000000</f>
        <v>9488.0902108571481</v>
      </c>
      <c r="O10" s="33"/>
      <c r="P10" s="33"/>
      <c r="R10" s="32"/>
    </row>
    <row r="11" spans="1:18">
      <c r="A11" s="32" t="s">
        <v>55</v>
      </c>
      <c r="B11" s="37">
        <f t="shared" si="0"/>
        <v>66860.877571297897</v>
      </c>
      <c r="C11" s="33"/>
      <c r="D11" s="37">
        <f>IF(ISERROR(TER_onderwijs_gas_kWh/1000),0,TER_onderwijs_gas_kWh/1000)*0.902</f>
        <v>76037.750159753399</v>
      </c>
      <c r="E11" s="33">
        <f>$C$31*'E Balans VL '!I11/100/3.6*1000000</f>
        <v>50.95147019200369</v>
      </c>
      <c r="F11" s="33">
        <f>$C$31*('E Balans VL '!L11+'E Balans VL '!N11)/100/3.6*1000000</f>
        <v>48384.195139138494</v>
      </c>
      <c r="G11" s="34"/>
      <c r="H11" s="33"/>
      <c r="I11" s="33"/>
      <c r="J11" s="33">
        <f>$C$31*('E Balans VL '!D11+'E Balans VL '!E11)/100/3.6*1000000</f>
        <v>0</v>
      </c>
      <c r="K11" s="33"/>
      <c r="L11" s="33"/>
      <c r="M11" s="33"/>
      <c r="N11" s="33">
        <f>$C$31*'E Balans VL '!Y11/100/3.6*1000000</f>
        <v>197.05498566117731</v>
      </c>
      <c r="O11" s="33"/>
      <c r="P11" s="33"/>
      <c r="R11" s="32"/>
    </row>
    <row r="12" spans="1:18">
      <c r="A12" s="32" t="s">
        <v>260</v>
      </c>
      <c r="B12" s="37">
        <f t="shared" si="0"/>
        <v>83830.563975376601</v>
      </c>
      <c r="C12" s="33"/>
      <c r="D12" s="37">
        <f>IF(ISERROR(TER_rest_gas_kWh/1000),0,TER_rest_gas_kWh/1000)*0.902</f>
        <v>147786.26164533437</v>
      </c>
      <c r="E12" s="33">
        <f>$C$32*'E Balans VL '!I8/100/3.6*1000000</f>
        <v>1797.9186055855366</v>
      </c>
      <c r="F12" s="33">
        <f>$C$32*('E Balans VL '!L8+'E Balans VL '!N8)/100/3.6*1000000</f>
        <v>16541.258628028441</v>
      </c>
      <c r="G12" s="34"/>
      <c r="H12" s="33"/>
      <c r="I12" s="33"/>
      <c r="J12" s="33">
        <f>$C$32*('E Balans VL '!D8+'E Balans VL '!E8)/100/3.6*1000000</f>
        <v>0</v>
      </c>
      <c r="K12" s="33"/>
      <c r="L12" s="33"/>
      <c r="M12" s="33"/>
      <c r="N12" s="33">
        <f>$C$32*'E Balans VL '!Y8/100/3.6*1000000</f>
        <v>2377.6631919294423</v>
      </c>
      <c r="O12" s="33"/>
      <c r="P12" s="33"/>
      <c r="R12" s="32"/>
    </row>
    <row r="13" spans="1:18">
      <c r="A13" s="16" t="s">
        <v>496</v>
      </c>
      <c r="B13" s="248">
        <f ca="1">'lokale energieproductie'!N91+'lokale energieproductie'!N60</f>
        <v>1899</v>
      </c>
      <c r="C13" s="248">
        <f ca="1">'lokale energieproductie'!O91+'lokale energieproductie'!O60</f>
        <v>45.5625</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-101.25</v>
      </c>
      <c r="M13" s="249"/>
      <c r="N13" s="311">
        <f ca="1">('lokale energieproductie'!Q60+'lokale energieproductie'!R60+'lokale energieproductie'!V60+'lokale energieproductie'!Q91+'lokale energieproductie'!R91+'lokale energieproductie'!V91)*(-1)</f>
        <v>-5310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736760.84726600861</v>
      </c>
      <c r="C16" s="21">
        <f ca="1">C5+C13+C14</f>
        <v>45.5625</v>
      </c>
      <c r="D16" s="21">
        <f t="shared" ref="D16:N16" ca="1" si="1">MAX((D5+D13+D14),0)</f>
        <v>791993.93395062489</v>
      </c>
      <c r="E16" s="21">
        <f t="shared" si="1"/>
        <v>15448.480227612739</v>
      </c>
      <c r="F16" s="21">
        <f t="shared" ca="1" si="1"/>
        <v>166459.37851977578</v>
      </c>
      <c r="G16" s="21">
        <f t="shared" si="1"/>
        <v>0</v>
      </c>
      <c r="H16" s="21">
        <f t="shared" si="1"/>
        <v>0</v>
      </c>
      <c r="I16" s="21">
        <f t="shared" si="1"/>
        <v>0</v>
      </c>
      <c r="J16" s="21">
        <f t="shared" si="1"/>
        <v>0</v>
      </c>
      <c r="K16" s="21">
        <f t="shared" si="1"/>
        <v>0</v>
      </c>
      <c r="L16" s="21">
        <f t="shared" ca="1" si="1"/>
        <v>0</v>
      </c>
      <c r="M16" s="21">
        <f t="shared" si="1"/>
        <v>0</v>
      </c>
      <c r="N16" s="21">
        <f t="shared" ca="1" si="1"/>
        <v>9254.220884834609</v>
      </c>
      <c r="O16" s="21">
        <f>O5</f>
        <v>20.323333333333334</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0.20657419244891945</v>
      </c>
      <c r="C18" s="25">
        <f ca="1">'EF ele_warmte'!B22</f>
        <v>7.8209463957606584E-2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152195.77705195741</v>
      </c>
      <c r="C20" s="23">
        <f t="shared" ref="C20:P20" ca="1" si="2">C16*C18</f>
        <v>3.56341870156845</v>
      </c>
      <c r="D20" s="23">
        <f t="shared" ca="1" si="2"/>
        <v>159982.77465802623</v>
      </c>
      <c r="E20" s="23">
        <f t="shared" si="2"/>
        <v>3506.805011668092</v>
      </c>
      <c r="F20" s="23">
        <f t="shared" ca="1" si="2"/>
        <v>44444.654064780138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239985.95644329701</v>
      </c>
      <c r="C26" s="39">
        <f>IF(ISERROR(B26*3.6/1000000/'E Balans VL '!Z12*100),0,B26*3.6/1000000/'E Balans VL '!Z12*100)</f>
        <v>5.0501064665978479</v>
      </c>
      <c r="D26" s="238" t="s">
        <v>719</v>
      </c>
      <c r="F26" s="6"/>
    </row>
    <row r="27" spans="1:18">
      <c r="A27" s="232" t="s">
        <v>53</v>
      </c>
      <c r="B27" s="33">
        <f>IF(ISERROR(TER_horeca_ele_kWh/1000),0,TER_horeca_ele_kWh/1000)</f>
        <v>72219.962238734399</v>
      </c>
      <c r="C27" s="39">
        <f>IF(ISERROR(B27*3.6/1000000/'E Balans VL '!Z9*100),0,B27*3.6/1000000/'E Balans VL '!Z9*100)</f>
        <v>6.1146612665390681</v>
      </c>
      <c r="D27" s="238" t="s">
        <v>719</v>
      </c>
      <c r="F27" s="6"/>
    </row>
    <row r="28" spans="1:18">
      <c r="A28" s="172" t="s">
        <v>52</v>
      </c>
      <c r="B28" s="33">
        <f>IF(ISERROR(TER_handel_ele_kWh/1000),0,TER_handel_ele_kWh/1000)</f>
        <v>164930.274131632</v>
      </c>
      <c r="C28" s="39">
        <f>IF(ISERROR(B28*3.6/1000000/'E Balans VL '!Z13*100),0,B28*3.6/1000000/'E Balans VL '!Z13*100)</f>
        <v>4.566071832933317</v>
      </c>
      <c r="D28" s="238" t="s">
        <v>719</v>
      </c>
      <c r="F28" s="6"/>
    </row>
    <row r="29" spans="1:18">
      <c r="A29" s="232" t="s">
        <v>51</v>
      </c>
      <c r="B29" s="33">
        <f>IF(ISERROR(TER_gezond_ele_kWh/1000),0,TER_gezond_ele_kWh/1000)</f>
        <v>65867.272502353997</v>
      </c>
      <c r="C29" s="39">
        <f>IF(ISERROR(B29*3.6/1000000/'E Balans VL '!Z10*100),0,B29*3.6/1000000/'E Balans VL '!Z10*100)</f>
        <v>8.5620152014537378</v>
      </c>
      <c r="D29" s="238" t="s">
        <v>719</v>
      </c>
      <c r="F29" s="6"/>
    </row>
    <row r="30" spans="1:18">
      <c r="A30" s="232" t="s">
        <v>50</v>
      </c>
      <c r="B30" s="33">
        <f>IF(ISERROR(TER_ander_ele_kWh/1000),0,TER_ander_ele_kWh/1000)</f>
        <v>41166.940403316599</v>
      </c>
      <c r="C30" s="39">
        <f>IF(ISERROR(B30*3.6/1000000/'E Balans VL '!Z14*100),0,B30*3.6/1000000/'E Balans VL '!Z14*100)</f>
        <v>3.1908154109404121</v>
      </c>
      <c r="D30" s="238" t="s">
        <v>719</v>
      </c>
      <c r="F30" s="6"/>
    </row>
    <row r="31" spans="1:18">
      <c r="A31" s="232" t="s">
        <v>55</v>
      </c>
      <c r="B31" s="33">
        <f>IF(ISERROR(TER_onderwijs_ele_kWh/1000),0,TER_onderwijs_ele_kWh/1000)</f>
        <v>66860.877571297897</v>
      </c>
      <c r="C31" s="39">
        <f>IF(ISERROR(B31*3.6/1000000/'E Balans VL '!Z11*100),0,B31*3.6/1000000/'E Balans VL '!Z11*100)</f>
        <v>12.791625164633386</v>
      </c>
      <c r="D31" s="238" t="s">
        <v>719</v>
      </c>
    </row>
    <row r="32" spans="1:18">
      <c r="A32" s="232" t="s">
        <v>260</v>
      </c>
      <c r="B32" s="33">
        <f>IF(ISERROR(TER_rest_ele_kWh/1000),0,TER_rest_ele_kWh/1000)</f>
        <v>83830.563975376601</v>
      </c>
      <c r="C32" s="39">
        <f>IF(ISERROR(B32*3.6/1000000/'E Balans VL '!Z8*100),0,B32*3.6/1000000/'E Balans VL '!Z8*100)</f>
        <v>0.69124737477173226</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366092.00087867078</v>
      </c>
      <c r="C5" s="17">
        <f>IF(ISERROR('Eigen informatie GS &amp; warmtenet'!B59),0,'Eigen informatie GS &amp; warmtenet'!B59)</f>
        <v>0</v>
      </c>
      <c r="D5" s="30">
        <f>SUM(D6:D15)</f>
        <v>271372.50573636207</v>
      </c>
      <c r="E5" s="17">
        <f>SUM(E6:E15)</f>
        <v>4051.700014160002</v>
      </c>
      <c r="F5" s="17">
        <f>SUM(F6:F15)</f>
        <v>86290.532519084838</v>
      </c>
      <c r="G5" s="18"/>
      <c r="H5" s="17"/>
      <c r="I5" s="17"/>
      <c r="J5" s="17">
        <f>SUM(J6:J15)</f>
        <v>2524.2542591017045</v>
      </c>
      <c r="K5" s="17"/>
      <c r="L5" s="17"/>
      <c r="M5" s="17"/>
      <c r="N5" s="17">
        <f>SUM(N6:N15)</f>
        <v>7251.8225335247507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47960.187779075801</v>
      </c>
      <c r="C8" s="33"/>
      <c r="D8" s="37">
        <f>IF( ISERROR(IND_metaal_Gas_kWH/1000),0,IND_metaal_Gas_kWH/1000)*0.902</f>
        <v>42667.648063537563</v>
      </c>
      <c r="E8" s="33">
        <f>C30*'E Balans VL '!I18/100/3.6*1000000</f>
        <v>337.0056575881315</v>
      </c>
      <c r="F8" s="33">
        <f>C30*'E Balans VL '!L18/100/3.6*1000000+C30*'E Balans VL '!N18/100/3.6*1000000</f>
        <v>5265.7480234254863</v>
      </c>
      <c r="G8" s="34"/>
      <c r="H8" s="33"/>
      <c r="I8" s="33"/>
      <c r="J8" s="40">
        <f>C30*'E Balans VL '!D18/100/3.6*1000000+C30*'E Balans VL '!E18/100/3.6*1000000</f>
        <v>989.52204687647588</v>
      </c>
      <c r="K8" s="33"/>
      <c r="L8" s="33"/>
      <c r="M8" s="33"/>
      <c r="N8" s="33">
        <f>C30*'E Balans VL '!Y18/100/3.6*1000000</f>
        <v>179.758237884995</v>
      </c>
      <c r="O8" s="33"/>
      <c r="P8" s="33"/>
      <c r="R8" s="32"/>
    </row>
    <row r="9" spans="1:18">
      <c r="A9" s="6" t="s">
        <v>33</v>
      </c>
      <c r="B9" s="37">
        <f t="shared" si="0"/>
        <v>41524.900985818495</v>
      </c>
      <c r="C9" s="33"/>
      <c r="D9" s="37">
        <f>IF( ISERROR(IND_andere_gas_kWh/1000),0,IND_andere_gas_kWh/1000)*0.902</f>
        <v>25179.045950871066</v>
      </c>
      <c r="E9" s="33">
        <f>C31*'E Balans VL '!I19/100/3.6*1000000</f>
        <v>697.46158168470606</v>
      </c>
      <c r="F9" s="33">
        <f>C31*'E Balans VL '!L19/100/3.6*1000000+C31*'E Balans VL '!N19/100/3.6*1000000</f>
        <v>32461.802508947672</v>
      </c>
      <c r="G9" s="34"/>
      <c r="H9" s="33"/>
      <c r="I9" s="33"/>
      <c r="J9" s="40">
        <f>C31*'E Balans VL '!D19/100/3.6*1000000+C31*'E Balans VL '!E19/100/3.6*1000000</f>
        <v>3.7451795126363225</v>
      </c>
      <c r="K9" s="33"/>
      <c r="L9" s="33"/>
      <c r="M9" s="33"/>
      <c r="N9" s="33">
        <f>C31*'E Balans VL '!Y19/100/3.6*1000000</f>
        <v>3077.6613714343016</v>
      </c>
      <c r="O9" s="33"/>
      <c r="P9" s="33"/>
      <c r="R9" s="32"/>
    </row>
    <row r="10" spans="1:18">
      <c r="A10" s="6" t="s">
        <v>41</v>
      </c>
      <c r="B10" s="37">
        <f t="shared" si="0"/>
        <v>31093.6673645314</v>
      </c>
      <c r="C10" s="33"/>
      <c r="D10" s="37">
        <f>IF( ISERROR(IND_voed_gas_kWh/1000),0,IND_voed_gas_kWh/1000)*0.902</f>
        <v>23367.747263844736</v>
      </c>
      <c r="E10" s="33">
        <f>C32*'E Balans VL '!I20/100/3.6*1000000</f>
        <v>283.68570006113242</v>
      </c>
      <c r="F10" s="33">
        <f>C32*'E Balans VL '!L20/100/3.6*1000000+C32*'E Balans VL '!N20/100/3.6*1000000</f>
        <v>5016.381098898295</v>
      </c>
      <c r="G10" s="34"/>
      <c r="H10" s="33"/>
      <c r="I10" s="33"/>
      <c r="J10" s="40">
        <f>C32*'E Balans VL '!D20/100/3.6*1000000+C32*'E Balans VL '!E20/100/3.6*1000000</f>
        <v>128.0641082022502</v>
      </c>
      <c r="K10" s="33"/>
      <c r="L10" s="33"/>
      <c r="M10" s="33"/>
      <c r="N10" s="33">
        <f>C32*'E Balans VL '!Y20/100/3.6*1000000</f>
        <v>454.87583549825246</v>
      </c>
      <c r="O10" s="33"/>
      <c r="P10" s="33"/>
      <c r="R10" s="32"/>
    </row>
    <row r="11" spans="1:18">
      <c r="A11" s="6" t="s">
        <v>40</v>
      </c>
      <c r="B11" s="37">
        <f t="shared" si="0"/>
        <v>497.55200584450603</v>
      </c>
      <c r="C11" s="33"/>
      <c r="D11" s="37">
        <f>IF( ISERROR(IND_textiel_gas_kWh/1000),0,IND_textiel_gas_kWh/1000)*0.902</f>
        <v>886.56994760176701</v>
      </c>
      <c r="E11" s="33">
        <f>C33*'E Balans VL '!I21/100/3.6*1000000</f>
        <v>1.1348238333801979</v>
      </c>
      <c r="F11" s="33">
        <f>C33*'E Balans VL '!L21/100/3.6*1000000+C33*'E Balans VL '!N21/100/3.6*1000000</f>
        <v>10.635635602332714</v>
      </c>
      <c r="G11" s="34"/>
      <c r="H11" s="33"/>
      <c r="I11" s="33"/>
      <c r="J11" s="40">
        <f>C33*'E Balans VL '!D21/100/3.6*1000000+C33*'E Balans VL '!E21/100/3.6*1000000</f>
        <v>0</v>
      </c>
      <c r="K11" s="33"/>
      <c r="L11" s="33"/>
      <c r="M11" s="33"/>
      <c r="N11" s="33">
        <f>C33*'E Balans VL '!Y21/100/3.6*1000000</f>
        <v>3.5295668049457896</v>
      </c>
      <c r="O11" s="33"/>
      <c r="P11" s="33"/>
      <c r="R11" s="32"/>
    </row>
    <row r="12" spans="1:18">
      <c r="A12" s="6" t="s">
        <v>37</v>
      </c>
      <c r="B12" s="37">
        <f t="shared" si="0"/>
        <v>19944.9998752928</v>
      </c>
      <c r="C12" s="33"/>
      <c r="D12" s="37">
        <f>IF( ISERROR(IND_min_gas_kWh/1000),0,IND_min_gas_kWh/1000)*0.902</f>
        <v>153.72731408079014</v>
      </c>
      <c r="E12" s="33">
        <f>C34*'E Balans VL '!I22/100/3.6*1000000</f>
        <v>494.70083906551815</v>
      </c>
      <c r="F12" s="33">
        <f>C34*'E Balans VL '!L22/100/3.6*1000000+C34*'E Balans VL '!N22/100/3.6*1000000</f>
        <v>2119.347210049079</v>
      </c>
      <c r="G12" s="34"/>
      <c r="H12" s="33"/>
      <c r="I12" s="33"/>
      <c r="J12" s="40">
        <f>C34*'E Balans VL '!D22/100/3.6*1000000+C34*'E Balans VL '!E22/100/3.6*1000000</f>
        <v>113.29930226371177</v>
      </c>
      <c r="K12" s="33"/>
      <c r="L12" s="33"/>
      <c r="M12" s="33"/>
      <c r="N12" s="33">
        <f>C34*'E Balans VL '!Y22/100/3.6*1000000</f>
        <v>0</v>
      </c>
      <c r="O12" s="33"/>
      <c r="P12" s="33"/>
      <c r="R12" s="32"/>
    </row>
    <row r="13" spans="1:18">
      <c r="A13" s="6" t="s">
        <v>39</v>
      </c>
      <c r="B13" s="37">
        <f t="shared" si="0"/>
        <v>14446.0513159684</v>
      </c>
      <c r="C13" s="33"/>
      <c r="D13" s="37">
        <f>IF( ISERROR(IND_papier_gas_kWh/1000),0,IND_papier_gas_kWh/1000)*0.902</f>
        <v>2603.4077365859307</v>
      </c>
      <c r="E13" s="33">
        <f>C35*'E Balans VL '!I23/100/3.6*1000000</f>
        <v>444.46729815614373</v>
      </c>
      <c r="F13" s="33">
        <f>C35*'E Balans VL '!L23/100/3.6*1000000+C35*'E Balans VL '!N23/100/3.6*1000000</f>
        <v>3067.4015540452701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19096.918130606402</v>
      </c>
      <c r="C14" s="33"/>
      <c r="D14" s="37">
        <f>IF( ISERROR(IND_chemie_gas_kWh/1000),0,IND_chemie_gas_kWh/1000)*0.902</f>
        <v>6702.1595250108112</v>
      </c>
      <c r="E14" s="33">
        <f>C36*'E Balans VL '!I24/100/3.6*1000000</f>
        <v>64.751705783938277</v>
      </c>
      <c r="F14" s="33">
        <f>C36*'E Balans VL '!L24/100/3.6*1000000+C36*'E Balans VL '!N24/100/3.6*1000000</f>
        <v>61.286637198724307</v>
      </c>
      <c r="G14" s="34"/>
      <c r="H14" s="33"/>
      <c r="I14" s="33"/>
      <c r="J14" s="40">
        <f>C36*'E Balans VL '!D24/100/3.6*1000000+C36*'E Balans VL '!E24/100/3.6*1000000</f>
        <v>0</v>
      </c>
      <c r="K14" s="33"/>
      <c r="L14" s="33"/>
      <c r="M14" s="33"/>
      <c r="N14" s="33">
        <f>C36*'E Balans VL '!Y24/100/3.6*1000000</f>
        <v>89.292013821818571</v>
      </c>
      <c r="O14" s="33"/>
      <c r="P14" s="33"/>
      <c r="R14" s="32"/>
    </row>
    <row r="15" spans="1:18">
      <c r="A15" s="6" t="s">
        <v>270</v>
      </c>
      <c r="B15" s="37">
        <f t="shared" si="0"/>
        <v>191527.72342153298</v>
      </c>
      <c r="C15" s="33"/>
      <c r="D15" s="37">
        <f>IF( ISERROR(IND_rest_gas_kWh/1000),0,IND_rest_gas_kWh/1000)*0.902</f>
        <v>169812.19993482943</v>
      </c>
      <c r="E15" s="33">
        <f>C37*'E Balans VL '!I15/100/3.6*1000000</f>
        <v>1728.4924079870518</v>
      </c>
      <c r="F15" s="33">
        <f>C37*'E Balans VL '!L15/100/3.6*1000000+C37*'E Balans VL '!N15/100/3.6*1000000</f>
        <v>38287.929850917979</v>
      </c>
      <c r="G15" s="34"/>
      <c r="H15" s="33"/>
      <c r="I15" s="33"/>
      <c r="J15" s="40">
        <f>C37*'E Balans VL '!D15/100/3.6*1000000+C37*'E Balans VL '!E15/100/3.6*1000000</f>
        <v>1289.6236222466305</v>
      </c>
      <c r="K15" s="33"/>
      <c r="L15" s="33"/>
      <c r="M15" s="33"/>
      <c r="N15" s="33">
        <f>C37*'E Balans VL '!Y15/100/3.6*1000000</f>
        <v>3446.7055080804371</v>
      </c>
      <c r="O15" s="33"/>
      <c r="P15" s="33"/>
      <c r="R15" s="32"/>
    </row>
    <row r="16" spans="1:18">
      <c r="A16" s="16" t="s">
        <v>496</v>
      </c>
      <c r="B16" s="248">
        <f>'lokale energieproductie'!N90+'lokale energieproductie'!N59</f>
        <v>9900</v>
      </c>
      <c r="C16" s="248">
        <f>'lokale energieproductie'!O90+'lokale energieproductie'!O59</f>
        <v>11137.5</v>
      </c>
      <c r="D16" s="311">
        <f>('lokale energieproductie'!P59+'lokale energieproductie'!P90)*(-1)</f>
        <v>0</v>
      </c>
      <c r="E16" s="249"/>
      <c r="F16" s="311">
        <f>('lokale energieproductie'!S59+'lokale energieproductie'!S90)*(-1)</f>
        <v>-6187.5</v>
      </c>
      <c r="G16" s="250"/>
      <c r="H16" s="249"/>
      <c r="I16" s="249"/>
      <c r="J16" s="249"/>
      <c r="K16" s="249"/>
      <c r="L16" s="311">
        <f>('lokale energieproductie'!T59+'lokale energieproductie'!U59+'lokale energieproductie'!T90+'lokale energieproductie'!U90)*(-1)</f>
        <v>-18562.5</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375992.00087867078</v>
      </c>
      <c r="C18" s="21">
        <f>C5+C16</f>
        <v>11137.5</v>
      </c>
      <c r="D18" s="21">
        <f>MAX((D5+D16),0)</f>
        <v>271372.50573636207</v>
      </c>
      <c r="E18" s="21">
        <f>MAX((E5+E16),0)</f>
        <v>4051.700014160002</v>
      </c>
      <c r="F18" s="21">
        <f>MAX((F5+F16),0)</f>
        <v>80103.032519084838</v>
      </c>
      <c r="G18" s="21"/>
      <c r="H18" s="21"/>
      <c r="I18" s="21"/>
      <c r="J18" s="21">
        <f>MAX((J5+J16),0)</f>
        <v>2524.2542591017045</v>
      </c>
      <c r="K18" s="21"/>
      <c r="L18" s="21">
        <f>MAX((L5+L16),0)</f>
        <v>0</v>
      </c>
      <c r="M18" s="21"/>
      <c r="N18" s="21">
        <f>MAX((N5+N16),0)</f>
        <v>7251.8225335247507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0.20657419244891945</v>
      </c>
      <c r="C20" s="25">
        <f ca="1">'EF ele_warmte'!B22</f>
        <v>7.8209463957606584E-2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77670.243948764823</v>
      </c>
      <c r="C22" s="23">
        <f ca="1">C18*C20</f>
        <v>871.05790482784334</v>
      </c>
      <c r="D22" s="23">
        <f>D18*D20</f>
        <v>54817.24615874514</v>
      </c>
      <c r="E22" s="23">
        <f>E18*E20</f>
        <v>919.7359032143205</v>
      </c>
      <c r="F22" s="23">
        <f>F18*F20</f>
        <v>21387.509682595653</v>
      </c>
      <c r="G22" s="23"/>
      <c r="H22" s="23"/>
      <c r="I22" s="23"/>
      <c r="J22" s="23">
        <f>J18*J20</f>
        <v>893.58600772200339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47960.187779075801</v>
      </c>
      <c r="C30" s="39">
        <f>IF(ISERROR(B30*3.6/1000000/'E Balans VL '!Z18*100),0,B30*3.6/1000000/'E Balans VL '!Z18*100)</f>
        <v>3.1927389873979277</v>
      </c>
      <c r="D30" s="238" t="s">
        <v>719</v>
      </c>
    </row>
    <row r="31" spans="1:18">
      <c r="A31" s="6" t="s">
        <v>33</v>
      </c>
      <c r="B31" s="37">
        <f>IF( ISERROR(IND_ander_ele_kWh/1000),0,IND_ander_ele_kWh/1000)</f>
        <v>41524.900985818495</v>
      </c>
      <c r="C31" s="39">
        <f>IF(ISERROR(B31*3.6/1000000/'E Balans VL '!Z19*100),0,B31*3.6/1000000/'E Balans VL '!Z19*100)</f>
        <v>1.8406342997257013</v>
      </c>
      <c r="D31" s="238" t="s">
        <v>719</v>
      </c>
    </row>
    <row r="32" spans="1:18">
      <c r="A32" s="172" t="s">
        <v>41</v>
      </c>
      <c r="B32" s="37">
        <f>IF( ISERROR(IND_voed_ele_kWh/1000),0,IND_voed_ele_kWh/1000)</f>
        <v>31093.6673645314</v>
      </c>
      <c r="C32" s="39">
        <f>IF(ISERROR(B32*3.6/1000000/'E Balans VL '!Z20*100),0,B32*3.6/1000000/'E Balans VL '!Z20*100)</f>
        <v>1.0386176861627749</v>
      </c>
      <c r="D32" s="238" t="s">
        <v>719</v>
      </c>
    </row>
    <row r="33" spans="1:5">
      <c r="A33" s="172" t="s">
        <v>40</v>
      </c>
      <c r="B33" s="37">
        <f>IF( ISERROR(IND_textiel_ele_kWh/1000),0,IND_textiel_ele_kWh/1000)</f>
        <v>497.55200584450603</v>
      </c>
      <c r="C33" s="39">
        <f>IF(ISERROR(B33*3.6/1000000/'E Balans VL '!Z21*100),0,B33*3.6/1000000/'E Balans VL '!Z21*100)</f>
        <v>6.5503868944246021E-2</v>
      </c>
      <c r="D33" s="238" t="s">
        <v>719</v>
      </c>
    </row>
    <row r="34" spans="1:5">
      <c r="A34" s="172" t="s">
        <v>37</v>
      </c>
      <c r="B34" s="37">
        <f>IF( ISERROR(IND_min_ele_kWh/1000),0,IND_min_ele_kWh/1000)</f>
        <v>19944.9998752928</v>
      </c>
      <c r="C34" s="39">
        <f>IF(ISERROR(B34*3.6/1000000/'E Balans VL '!Z22*100),0,B34*3.6/1000000/'E Balans VL '!Z22*100)</f>
        <v>3.8790833923742727</v>
      </c>
      <c r="D34" s="238" t="s">
        <v>719</v>
      </c>
    </row>
    <row r="35" spans="1:5">
      <c r="A35" s="172" t="s">
        <v>39</v>
      </c>
      <c r="B35" s="37">
        <f>IF( ISERROR(IND_papier_ele_kWh/1000),0,IND_papier_ele_kWh/1000)</f>
        <v>14446.0513159684</v>
      </c>
      <c r="C35" s="39">
        <f>IF(ISERROR(B35*3.6/1000000/'E Balans VL '!Z22*100),0,B35*3.6/1000000/'E Balans VL '!Z22*100)</f>
        <v>2.8095983001021128</v>
      </c>
      <c r="D35" s="238" t="s">
        <v>719</v>
      </c>
    </row>
    <row r="36" spans="1:5">
      <c r="A36" s="172" t="s">
        <v>34</v>
      </c>
      <c r="B36" s="37">
        <f>IF( ISERROR(IND_chemie_ele_kWh/1000),0,IND_chemie_ele_kWh/1000)</f>
        <v>19096.918130606402</v>
      </c>
      <c r="C36" s="39">
        <f>IF(ISERROR(B36*3.6/1000000/'E Balans VL '!Z24*100),0,B36*3.6/1000000/'E Balans VL '!Z24*100)</f>
        <v>0.44844707331526446</v>
      </c>
      <c r="D36" s="238" t="s">
        <v>719</v>
      </c>
    </row>
    <row r="37" spans="1:5">
      <c r="A37" s="172" t="s">
        <v>270</v>
      </c>
      <c r="B37" s="37">
        <f>IF( ISERROR(IND_rest_ele_kWh/1000),0,IND_rest_ele_kWh/1000)</f>
        <v>191527.72342153298</v>
      </c>
      <c r="C37" s="39">
        <f>IF(ISERROR(B37*3.6/1000000/'E Balans VL '!Z15*100),0,B37*3.6/1000000/'E Balans VL '!Z15*100)</f>
        <v>1.4246542369043387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3133.6191844611503</v>
      </c>
      <c r="C5" s="17">
        <f>'Eigen informatie GS &amp; warmtenet'!B60</f>
        <v>0</v>
      </c>
      <c r="D5" s="30">
        <f>IF(ISERROR(SUM(LB_lb_gas_kWh,LB_rest_gas_kWh)/1000),0,SUM(LB_lb_gas_kWh,LB_rest_gas_kWh)/1000)*0.902</f>
        <v>4718.8713726556916</v>
      </c>
      <c r="E5" s="17">
        <f>B17*'E Balans VL '!I25/3.6*1000000/100</f>
        <v>32.815938500565572</v>
      </c>
      <c r="F5" s="17">
        <f>B17*('E Balans VL '!L25/3.6*1000000+'E Balans VL '!N25/3.6*1000000)/100</f>
        <v>13414.271154389256</v>
      </c>
      <c r="G5" s="18"/>
      <c r="H5" s="17"/>
      <c r="I5" s="17"/>
      <c r="J5" s="17">
        <f>('E Balans VL '!D25+'E Balans VL '!E25)/3.6*1000000*landbouw!B17/100</f>
        <v>279.86028028028755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3133.6191844611503</v>
      </c>
      <c r="C8" s="21">
        <f>C5+C6</f>
        <v>0</v>
      </c>
      <c r="D8" s="21">
        <f>MAX((D5+D6),0)</f>
        <v>4718.8713726556916</v>
      </c>
      <c r="E8" s="21">
        <f>MAX((E5+E6),0)</f>
        <v>32.815938500565572</v>
      </c>
      <c r="F8" s="21">
        <f>MAX((F5+F6),0)</f>
        <v>13414.271154389256</v>
      </c>
      <c r="G8" s="21"/>
      <c r="H8" s="21"/>
      <c r="I8" s="21"/>
      <c r="J8" s="21">
        <f>MAX((J5+J6),0)</f>
        <v>279.86028028028755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0.20657419244891945</v>
      </c>
      <c r="C10" s="31">
        <f ca="1">'EF ele_warmte'!B22</f>
        <v>7.8209463957606584E-2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647.32485247250372</v>
      </c>
      <c r="C12" s="23">
        <f ca="1">C8*C10</f>
        <v>0</v>
      </c>
      <c r="D12" s="23">
        <f>D8*D10</f>
        <v>953.21201727644973</v>
      </c>
      <c r="E12" s="23">
        <f>E8*E10</f>
        <v>7.4492180396283851</v>
      </c>
      <c r="F12" s="23">
        <f>F8*F10</f>
        <v>3581.6103982219315</v>
      </c>
      <c r="G12" s="23"/>
      <c r="H12" s="23"/>
      <c r="I12" s="23"/>
      <c r="J12" s="23">
        <f>J8*J10</f>
        <v>99.070539219221786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0.48232448251729393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454.07325955169938</v>
      </c>
      <c r="C26" s="248">
        <f>B26*'GWP N2O_CH4'!B5</f>
        <v>9535.5384505856873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105.11884230361819</v>
      </c>
      <c r="C27" s="248">
        <f>B27*'GWP N2O_CH4'!B5</f>
        <v>2207.4956883759819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5.7832132907131069</v>
      </c>
      <c r="C28" s="248">
        <f>B28*'GWP N2O_CH4'!B4</f>
        <v>1792.796120121063</v>
      </c>
      <c r="D28" s="50"/>
    </row>
    <row r="29" spans="1:4">
      <c r="A29" s="41" t="s">
        <v>277</v>
      </c>
      <c r="B29" s="248">
        <f>B34*'ha_N2O bodem landbouw'!B4</f>
        <v>28.853579007148934</v>
      </c>
      <c r="C29" s="248">
        <f>B29*'GWP N2O_CH4'!B4</f>
        <v>8944.6094922161701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4.7684328850877561E-3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5.5226945130831484E-5</v>
      </c>
      <c r="C5" s="446" t="s">
        <v>211</v>
      </c>
      <c r="D5" s="431">
        <f>SUM(D6:D11)</f>
        <v>2.7890145455328761E-4</v>
      </c>
      <c r="E5" s="431">
        <f>SUM(E6:E11)</f>
        <v>3.1460488799315615E-2</v>
      </c>
      <c r="F5" s="444" t="s">
        <v>211</v>
      </c>
      <c r="G5" s="431">
        <f>SUM(G6:G11)</f>
        <v>6.2212085720359589</v>
      </c>
      <c r="H5" s="431">
        <f>SUM(H6:H11)</f>
        <v>0.95058328379153345</v>
      </c>
      <c r="I5" s="446" t="s">
        <v>211</v>
      </c>
      <c r="J5" s="446" t="s">
        <v>211</v>
      </c>
      <c r="K5" s="446" t="s">
        <v>211</v>
      </c>
      <c r="L5" s="446" t="s">
        <v>211</v>
      </c>
      <c r="M5" s="431">
        <f>SUM(M6:M11)</f>
        <v>0.3126248721281159</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1.728957325004164E-5</v>
      </c>
      <c r="C6" s="432"/>
      <c r="D6" s="432">
        <f>vkm_2011_GW_PW*SUMIFS(TableVerdeelsleutelVkm[CNG],TableVerdeelsleutelVkm[Voertuigtype],"Lichte voertuigen")*SUMIFS(TableECFTransport[EnergieConsumptieFactor (PJ per km)],TableECFTransport[Index],CONCATENATE($A6,"_CNG_CNG"))</f>
        <v>7.4533340543153883E-5</v>
      </c>
      <c r="E6" s="434">
        <f>vkm_2011_GW_PW*SUMIFS(TableVerdeelsleutelVkm[LPG],TableVerdeelsleutelVkm[Voertuigtype],"Lichte voertuigen")*SUMIFS(TableECFTransport[EnergieConsumptieFactor (PJ per km)],TableECFTransport[Index],CONCATENATE($A6,"_LPG_LPG"))</f>
        <v>7.7547367565360221E-3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0.95385390996901898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0.25112996776112068</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5.2808170436228416E-2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0.81632967821294322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2.7990813425048875E-4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3.5263912562220154E-2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1.0688780649374172E-5</v>
      </c>
      <c r="C8" s="432"/>
      <c r="D8" s="434">
        <f>vkm_2011_NGW_PW*SUMIFS(TableVerdeelsleutelVkm[CNG],TableVerdeelsleutelVkm[Voertuigtype],"Lichte voertuigen")*SUMIFS(TableECFTransport[EnergieConsumptieFactor (PJ per km)],TableECFTransport[Index],CONCATENATE($A8,"_CNG_CNG"))</f>
        <v>8.2665217429042743E-5</v>
      </c>
      <c r="E8" s="434">
        <f>vkm_2011_NGW_PW*SUMIFS(TableVerdeelsleutelVkm[LPG],TableVerdeelsleutelVkm[Voertuigtype],"Lichte voertuigen")*SUMIFS(TableECFTransport[EnergieConsumptieFactor (PJ per km)],TableECFTransport[Index],CONCATENATE($A8,"_LPG_LPG"))</f>
        <v>7.8531762158491857E-3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0.91619318412328199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0.26587513979619037</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5.1864084721627159E-2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0.37041211596660412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1.1033603822052177E-4</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1.6000337990018987E-2</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2.7248591231415677E-5</v>
      </c>
      <c r="C10" s="432"/>
      <c r="D10" s="434">
        <f>vkm_2011_SW_PW*SUMIFS(TableVerdeelsleutelVkm[CNG],TableVerdeelsleutelVkm[Voertuigtype],"Lichte voertuigen")*SUMIFS(TableECFTransport[EnergieConsumptieFactor (PJ per km)],TableECFTransport[Index],CONCATENATE($A10,"_CNG_CNG"))</f>
        <v>1.2170289658109099E-4</v>
      </c>
      <c r="E10" s="434">
        <f>vkm_2011_SW_PW*SUMIFS(TableVerdeelsleutelVkm[LPG],TableVerdeelsleutelVkm[Voertuigtype],"Lichte voertuigen")*SUMIFS(TableECFTransport[EnergieConsumptieFactor (PJ per km)],TableECFTransport[Index],CONCATENATE($A10,"_LPG_LPG"))</f>
        <v>1.5852575826930407E-2</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1.7926314750793471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0.43268606940004301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9.742822894007766E-2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1.3717882086847641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5.0186266170830723E-4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5.9260137477943495E-2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15.340818091897633</v>
      </c>
      <c r="C14" s="21"/>
      <c r="D14" s="21">
        <f t="shared" ref="D14:M14" si="0">((D5)*10^9/3600)+D12</f>
        <v>77.472626264802102</v>
      </c>
      <c r="E14" s="21">
        <f t="shared" si="0"/>
        <v>8739.02466647656</v>
      </c>
      <c r="F14" s="21"/>
      <c r="G14" s="21">
        <f t="shared" si="0"/>
        <v>1728113.4922322109</v>
      </c>
      <c r="H14" s="21">
        <f t="shared" si="0"/>
        <v>264050.91216431482</v>
      </c>
      <c r="I14" s="21"/>
      <c r="J14" s="21"/>
      <c r="K14" s="21"/>
      <c r="L14" s="21"/>
      <c r="M14" s="21">
        <f t="shared" si="0"/>
        <v>86840.242257809965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0.20657419244891945</v>
      </c>
      <c r="C16" s="56">
        <f ca="1">'EF ele_warmte'!B22</f>
        <v>7.8209463957606584E-2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3.1690171088395269</v>
      </c>
      <c r="C18" s="23"/>
      <c r="D18" s="23">
        <f t="shared" ref="D18:M18" si="1">D14*D16</f>
        <v>15.649470505490026</v>
      </c>
      <c r="E18" s="23">
        <f t="shared" si="1"/>
        <v>1983.7585992901793</v>
      </c>
      <c r="F18" s="23"/>
      <c r="G18" s="23">
        <f t="shared" si="1"/>
        <v>461406.30242600036</v>
      </c>
      <c r="H18" s="23">
        <f t="shared" si="1"/>
        <v>65748.677128914394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3.3368717876136975E-2</v>
      </c>
      <c r="C50" s="322">
        <f t="shared" ref="C50:P50" si="2">SUM(C51:C52)</f>
        <v>0</v>
      </c>
      <c r="D50" s="322">
        <f t="shared" si="2"/>
        <v>0</v>
      </c>
      <c r="E50" s="322">
        <f t="shared" si="2"/>
        <v>0</v>
      </c>
      <c r="F50" s="322">
        <f t="shared" si="2"/>
        <v>0</v>
      </c>
      <c r="G50" s="322">
        <f t="shared" si="2"/>
        <v>0.14839481445184277</v>
      </c>
      <c r="H50" s="322">
        <f t="shared" si="2"/>
        <v>0</v>
      </c>
      <c r="I50" s="322">
        <f t="shared" si="2"/>
        <v>0</v>
      </c>
      <c r="J50" s="322">
        <f t="shared" si="2"/>
        <v>0</v>
      </c>
      <c r="K50" s="322">
        <f t="shared" si="2"/>
        <v>0</v>
      </c>
      <c r="L50" s="322">
        <f t="shared" si="2"/>
        <v>0</v>
      </c>
      <c r="M50" s="322">
        <f t="shared" si="2"/>
        <v>6.325426242288038E-3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0.14839481445184277</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6.325426242288038E-3</v>
      </c>
      <c r="N51" s="324"/>
      <c r="O51" s="324"/>
      <c r="P51" s="327"/>
    </row>
    <row r="52" spans="1:18">
      <c r="A52" s="4" t="s">
        <v>330</v>
      </c>
      <c r="B52" s="328">
        <f>vkm_2011_tram*SUMIFS(TableECFTransport[EnergieConsumptieFactor (PJ per km)],TableECFTransport[Index],"Tram_gemiddeld_Electric_Electric")</f>
        <v>3.3368717876136975E-2</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9269.0882989269376</v>
      </c>
      <c r="C54" s="21">
        <f t="shared" ref="C54:P54" si="3">(C50)*10^9/3600</f>
        <v>0</v>
      </c>
      <c r="D54" s="21">
        <f t="shared" si="3"/>
        <v>0</v>
      </c>
      <c r="E54" s="21">
        <f t="shared" si="3"/>
        <v>0</v>
      </c>
      <c r="F54" s="21">
        <f t="shared" si="3"/>
        <v>0</v>
      </c>
      <c r="G54" s="21">
        <f t="shared" si="3"/>
        <v>41220.781792178554</v>
      </c>
      <c r="H54" s="21">
        <f t="shared" si="3"/>
        <v>0</v>
      </c>
      <c r="I54" s="21">
        <f t="shared" si="3"/>
        <v>0</v>
      </c>
      <c r="J54" s="21">
        <f t="shared" si="3"/>
        <v>0</v>
      </c>
      <c r="K54" s="21">
        <f t="shared" si="3"/>
        <v>0</v>
      </c>
      <c r="L54" s="21">
        <f t="shared" si="3"/>
        <v>0</v>
      </c>
      <c r="M54" s="21">
        <f t="shared" si="3"/>
        <v>1757.0628450800107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0.20657419244891945</v>
      </c>
      <c r="C56" s="56">
        <f ca="1">'EF ele_warmte'!B22</f>
        <v>7.8209463957606584E-2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1914.7544300885606</v>
      </c>
      <c r="C58" s="23">
        <f t="shared" ref="C58:P58" ca="1" si="4">C54*C56</f>
        <v>0</v>
      </c>
      <c r="D58" s="23">
        <f t="shared" si="4"/>
        <v>0</v>
      </c>
      <c r="E58" s="23">
        <f t="shared" si="4"/>
        <v>0</v>
      </c>
      <c r="F58" s="23">
        <f t="shared" si="4"/>
        <v>0</v>
      </c>
      <c r="G58" s="23">
        <f t="shared" si="4"/>
        <v>11005.948738511674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753886.03026600857</v>
      </c>
      <c r="D10" s="687">
        <f ca="1">tertiair!C16</f>
        <v>45.5625</v>
      </c>
      <c r="E10" s="687">
        <f ca="1">tertiair!D16</f>
        <v>791993.93395062489</v>
      </c>
      <c r="F10" s="687">
        <f>tertiair!E16</f>
        <v>15448.480227612739</v>
      </c>
      <c r="G10" s="687">
        <f ca="1">tertiair!F16</f>
        <v>166459.37851977578</v>
      </c>
      <c r="H10" s="687">
        <f>tertiair!G16</f>
        <v>0</v>
      </c>
      <c r="I10" s="687">
        <f>tertiair!H16</f>
        <v>0</v>
      </c>
      <c r="J10" s="687">
        <f>tertiair!I16</f>
        <v>0</v>
      </c>
      <c r="K10" s="687">
        <f>tertiair!J16</f>
        <v>0</v>
      </c>
      <c r="L10" s="687">
        <f>tertiair!K16</f>
        <v>0</v>
      </c>
      <c r="M10" s="687">
        <f ca="1">tertiair!L16</f>
        <v>0</v>
      </c>
      <c r="N10" s="687">
        <f>tertiair!M16</f>
        <v>0</v>
      </c>
      <c r="O10" s="687">
        <f ca="1">tertiair!N16</f>
        <v>9254.220884834609</v>
      </c>
      <c r="P10" s="687">
        <f>tertiair!O16</f>
        <v>20.323333333333334</v>
      </c>
      <c r="Q10" s="688">
        <f>tertiair!P16</f>
        <v>209.73333333333335</v>
      </c>
      <c r="R10" s="690">
        <f ca="1">SUM(C10:Q10)</f>
        <v>1737317.6630155232</v>
      </c>
      <c r="S10" s="67"/>
    </row>
    <row r="11" spans="1:19" s="456" customFormat="1">
      <c r="A11" s="802" t="s">
        <v>225</v>
      </c>
      <c r="B11" s="807"/>
      <c r="C11" s="687">
        <f>huishoudens!B8</f>
        <v>397583.11731867236</v>
      </c>
      <c r="D11" s="687">
        <f>huishoudens!C8</f>
        <v>0</v>
      </c>
      <c r="E11" s="687">
        <f>huishoudens!D8</f>
        <v>1063140.65071419</v>
      </c>
      <c r="F11" s="687">
        <f>huishoudens!E8</f>
        <v>25761.140780143262</v>
      </c>
      <c r="G11" s="687">
        <f>huishoudens!F8</f>
        <v>56487.656848553175</v>
      </c>
      <c r="H11" s="687">
        <f>huishoudens!G8</f>
        <v>0</v>
      </c>
      <c r="I11" s="687">
        <f>huishoudens!H8</f>
        <v>0</v>
      </c>
      <c r="J11" s="687">
        <f>huishoudens!I8</f>
        <v>0</v>
      </c>
      <c r="K11" s="687">
        <f>huishoudens!J8</f>
        <v>0</v>
      </c>
      <c r="L11" s="687">
        <f>huishoudens!K8</f>
        <v>0</v>
      </c>
      <c r="M11" s="687">
        <f>huishoudens!L8</f>
        <v>0</v>
      </c>
      <c r="N11" s="687">
        <f>huishoudens!M8</f>
        <v>0</v>
      </c>
      <c r="O11" s="687">
        <f>huishoudens!N8</f>
        <v>76665.407478461391</v>
      </c>
      <c r="P11" s="687">
        <f>huishoudens!O8</f>
        <v>759.78000000000009</v>
      </c>
      <c r="Q11" s="688">
        <f>huishoudens!P8</f>
        <v>819.86666666666667</v>
      </c>
      <c r="R11" s="690">
        <f>SUM(C11:Q11)</f>
        <v>1621217.6198066866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375992.00087867078</v>
      </c>
      <c r="D13" s="687">
        <f>industrie!C18</f>
        <v>11137.5</v>
      </c>
      <c r="E13" s="687">
        <f>industrie!D18</f>
        <v>271372.50573636207</v>
      </c>
      <c r="F13" s="687">
        <f>industrie!E18</f>
        <v>4051.700014160002</v>
      </c>
      <c r="G13" s="687">
        <f>industrie!F18</f>
        <v>80103.032519084838</v>
      </c>
      <c r="H13" s="687">
        <f>industrie!G18</f>
        <v>0</v>
      </c>
      <c r="I13" s="687">
        <f>industrie!H18</f>
        <v>0</v>
      </c>
      <c r="J13" s="687">
        <f>industrie!I18</f>
        <v>0</v>
      </c>
      <c r="K13" s="687">
        <f>industrie!J18</f>
        <v>2524.2542591017045</v>
      </c>
      <c r="L13" s="687">
        <f>industrie!K18</f>
        <v>0</v>
      </c>
      <c r="M13" s="687">
        <f>industrie!L18</f>
        <v>0</v>
      </c>
      <c r="N13" s="687">
        <f>industrie!M18</f>
        <v>0</v>
      </c>
      <c r="O13" s="687">
        <f>industrie!N18</f>
        <v>7251.8225335247507</v>
      </c>
      <c r="P13" s="687">
        <f>industrie!O18</f>
        <v>0</v>
      </c>
      <c r="Q13" s="688">
        <f>industrie!P18</f>
        <v>0</v>
      </c>
      <c r="R13" s="690">
        <f>SUM(C13:Q13)</f>
        <v>752432.8159409042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1527461.1484633517</v>
      </c>
      <c r="D16" s="720">
        <f t="shared" ref="D16:R16" ca="1" si="0">SUM(D9:D15)</f>
        <v>11183.0625</v>
      </c>
      <c r="E16" s="720">
        <f t="shared" ca="1" si="0"/>
        <v>2126507.0904011768</v>
      </c>
      <c r="F16" s="720">
        <f t="shared" si="0"/>
        <v>45261.321021916003</v>
      </c>
      <c r="G16" s="720">
        <f t="shared" ca="1" si="0"/>
        <v>303050.06788741378</v>
      </c>
      <c r="H16" s="720">
        <f t="shared" si="0"/>
        <v>0</v>
      </c>
      <c r="I16" s="720">
        <f t="shared" si="0"/>
        <v>0</v>
      </c>
      <c r="J16" s="720">
        <f t="shared" si="0"/>
        <v>0</v>
      </c>
      <c r="K16" s="720">
        <f t="shared" si="0"/>
        <v>2524.2542591017045</v>
      </c>
      <c r="L16" s="720">
        <f t="shared" si="0"/>
        <v>0</v>
      </c>
      <c r="M16" s="720">
        <f t="shared" ca="1" si="0"/>
        <v>0</v>
      </c>
      <c r="N16" s="720">
        <f t="shared" si="0"/>
        <v>0</v>
      </c>
      <c r="O16" s="720">
        <f t="shared" ca="1" si="0"/>
        <v>93171.450896820752</v>
      </c>
      <c r="P16" s="720">
        <f t="shared" si="0"/>
        <v>780.10333333333347</v>
      </c>
      <c r="Q16" s="720">
        <f t="shared" si="0"/>
        <v>1029.5999999999999</v>
      </c>
      <c r="R16" s="720">
        <f t="shared" ca="1" si="0"/>
        <v>4110968.0987631138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9269.0882989269376</v>
      </c>
      <c r="D19" s="687">
        <f>transport!C54</f>
        <v>0</v>
      </c>
      <c r="E19" s="687">
        <f>transport!D54</f>
        <v>0</v>
      </c>
      <c r="F19" s="687">
        <f>transport!E54</f>
        <v>0</v>
      </c>
      <c r="G19" s="687">
        <f>transport!F54</f>
        <v>0</v>
      </c>
      <c r="H19" s="687">
        <f>transport!G54</f>
        <v>41220.781792178554</v>
      </c>
      <c r="I19" s="687">
        <f>transport!H54</f>
        <v>0</v>
      </c>
      <c r="J19" s="687">
        <f>transport!I54</f>
        <v>0</v>
      </c>
      <c r="K19" s="687">
        <f>transport!J54</f>
        <v>0</v>
      </c>
      <c r="L19" s="687">
        <f>transport!K54</f>
        <v>0</v>
      </c>
      <c r="M19" s="687">
        <f>transport!L54</f>
        <v>0</v>
      </c>
      <c r="N19" s="687">
        <f>transport!M54</f>
        <v>1757.0628450800107</v>
      </c>
      <c r="O19" s="687">
        <f>transport!N54</f>
        <v>0</v>
      </c>
      <c r="P19" s="687">
        <f>transport!O54</f>
        <v>0</v>
      </c>
      <c r="Q19" s="688">
        <f>transport!P54</f>
        <v>0</v>
      </c>
      <c r="R19" s="690">
        <f>SUM(C19:Q19)</f>
        <v>52246.932936185505</v>
      </c>
      <c r="S19" s="67"/>
    </row>
    <row r="20" spans="1:19" s="456" customFormat="1">
      <c r="A20" s="802" t="s">
        <v>307</v>
      </c>
      <c r="B20" s="807"/>
      <c r="C20" s="687">
        <f>transport!B14</f>
        <v>15.340818091897633</v>
      </c>
      <c r="D20" s="687">
        <f>transport!C14</f>
        <v>0</v>
      </c>
      <c r="E20" s="687">
        <f>transport!D14</f>
        <v>77.472626264802102</v>
      </c>
      <c r="F20" s="687">
        <f>transport!E14</f>
        <v>8739.02466647656</v>
      </c>
      <c r="G20" s="687">
        <f>transport!F14</f>
        <v>0</v>
      </c>
      <c r="H20" s="687">
        <f>transport!G14</f>
        <v>1728113.4922322109</v>
      </c>
      <c r="I20" s="687">
        <f>transport!H14</f>
        <v>264050.91216431482</v>
      </c>
      <c r="J20" s="687">
        <f>transport!I14</f>
        <v>0</v>
      </c>
      <c r="K20" s="687">
        <f>transport!J14</f>
        <v>0</v>
      </c>
      <c r="L20" s="687">
        <f>transport!K14</f>
        <v>0</v>
      </c>
      <c r="M20" s="687">
        <f>transport!L14</f>
        <v>0</v>
      </c>
      <c r="N20" s="687">
        <f>transport!M14</f>
        <v>86840.242257809965</v>
      </c>
      <c r="O20" s="687">
        <f>transport!N14</f>
        <v>0</v>
      </c>
      <c r="P20" s="687">
        <f>transport!O14</f>
        <v>0</v>
      </c>
      <c r="Q20" s="688">
        <f>transport!P14</f>
        <v>0</v>
      </c>
      <c r="R20" s="690">
        <f>SUM(C20:Q20)</f>
        <v>2087836.484765169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9284.4291170188353</v>
      </c>
      <c r="D22" s="805">
        <f t="shared" ref="D22:R22" si="1">SUM(D18:D21)</f>
        <v>0</v>
      </c>
      <c r="E22" s="805">
        <f t="shared" si="1"/>
        <v>77.472626264802102</v>
      </c>
      <c r="F22" s="805">
        <f t="shared" si="1"/>
        <v>8739.02466647656</v>
      </c>
      <c r="G22" s="805">
        <f t="shared" si="1"/>
        <v>0</v>
      </c>
      <c r="H22" s="805">
        <f t="shared" si="1"/>
        <v>1769334.2740243895</v>
      </c>
      <c r="I22" s="805">
        <f t="shared" si="1"/>
        <v>264050.91216431482</v>
      </c>
      <c r="J22" s="805">
        <f t="shared" si="1"/>
        <v>0</v>
      </c>
      <c r="K22" s="805">
        <f t="shared" si="1"/>
        <v>0</v>
      </c>
      <c r="L22" s="805">
        <f t="shared" si="1"/>
        <v>0</v>
      </c>
      <c r="M22" s="805">
        <f t="shared" si="1"/>
        <v>0</v>
      </c>
      <c r="N22" s="805">
        <f t="shared" si="1"/>
        <v>88597.305102889979</v>
      </c>
      <c r="O22" s="805">
        <f t="shared" si="1"/>
        <v>0</v>
      </c>
      <c r="P22" s="805">
        <f t="shared" si="1"/>
        <v>0</v>
      </c>
      <c r="Q22" s="805">
        <f t="shared" si="1"/>
        <v>0</v>
      </c>
      <c r="R22" s="805">
        <f t="shared" si="1"/>
        <v>2140083.4177013543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3133.6191844611503</v>
      </c>
      <c r="D24" s="687">
        <f>+landbouw!C8</f>
        <v>0</v>
      </c>
      <c r="E24" s="687">
        <f>+landbouw!D8</f>
        <v>4718.8713726556916</v>
      </c>
      <c r="F24" s="687">
        <f>+landbouw!E8</f>
        <v>32.815938500565572</v>
      </c>
      <c r="G24" s="687">
        <f>+landbouw!F8</f>
        <v>13414.271154389256</v>
      </c>
      <c r="H24" s="687">
        <f>+landbouw!G8</f>
        <v>0</v>
      </c>
      <c r="I24" s="687">
        <f>+landbouw!H8</f>
        <v>0</v>
      </c>
      <c r="J24" s="687">
        <f>+landbouw!I8</f>
        <v>0</v>
      </c>
      <c r="K24" s="687">
        <f>+landbouw!J8</f>
        <v>279.86028028028755</v>
      </c>
      <c r="L24" s="687">
        <f>+landbouw!K8</f>
        <v>0</v>
      </c>
      <c r="M24" s="687">
        <f>+landbouw!L8</f>
        <v>0</v>
      </c>
      <c r="N24" s="687">
        <f>+landbouw!M8</f>
        <v>0</v>
      </c>
      <c r="O24" s="687">
        <f>+landbouw!N8</f>
        <v>0</v>
      </c>
      <c r="P24" s="687">
        <f>+landbouw!O8</f>
        <v>0</v>
      </c>
      <c r="Q24" s="688">
        <f>+landbouw!P8</f>
        <v>0</v>
      </c>
      <c r="R24" s="690">
        <f>SUM(C24:Q24)</f>
        <v>21579.437930286953</v>
      </c>
      <c r="S24" s="67"/>
    </row>
    <row r="25" spans="1:19" s="456" customFormat="1" ht="15" thickBot="1">
      <c r="A25" s="824" t="s">
        <v>925</v>
      </c>
      <c r="B25" s="988"/>
      <c r="C25" s="989">
        <f>IF(Onbekend_ele_kWh="---",0,Onbekend_ele_kWh)/1000+IF(REST_rest_ele_kWh="---",0,REST_rest_ele_kWh)/1000</f>
        <v>29930.098823400098</v>
      </c>
      <c r="D25" s="989"/>
      <c r="E25" s="989">
        <f>IF(onbekend_gas_kWh="---",0,onbekend_gas_kWh)/1000+IF(REST_rest_gas_kWh="---",0,REST_rest_gas_kWh)/1000</f>
        <v>77298.509956346301</v>
      </c>
      <c r="F25" s="989"/>
      <c r="G25" s="989"/>
      <c r="H25" s="989"/>
      <c r="I25" s="989"/>
      <c r="J25" s="989"/>
      <c r="K25" s="989"/>
      <c r="L25" s="989"/>
      <c r="M25" s="989"/>
      <c r="N25" s="989"/>
      <c r="O25" s="989"/>
      <c r="P25" s="989"/>
      <c r="Q25" s="990"/>
      <c r="R25" s="690">
        <f>SUM(C25:Q25)</f>
        <v>107228.6087797464</v>
      </c>
      <c r="S25" s="67"/>
    </row>
    <row r="26" spans="1:19" s="456" customFormat="1" ht="15.75" thickBot="1">
      <c r="A26" s="693" t="s">
        <v>926</v>
      </c>
      <c r="B26" s="810"/>
      <c r="C26" s="805">
        <f>SUM(C24:C25)</f>
        <v>33063.718007861251</v>
      </c>
      <c r="D26" s="805">
        <f t="shared" ref="D26:R26" si="2">SUM(D24:D25)</f>
        <v>0</v>
      </c>
      <c r="E26" s="805">
        <f t="shared" si="2"/>
        <v>82017.38132900199</v>
      </c>
      <c r="F26" s="805">
        <f t="shared" si="2"/>
        <v>32.815938500565572</v>
      </c>
      <c r="G26" s="805">
        <f t="shared" si="2"/>
        <v>13414.271154389256</v>
      </c>
      <c r="H26" s="805">
        <f t="shared" si="2"/>
        <v>0</v>
      </c>
      <c r="I26" s="805">
        <f t="shared" si="2"/>
        <v>0</v>
      </c>
      <c r="J26" s="805">
        <f t="shared" si="2"/>
        <v>0</v>
      </c>
      <c r="K26" s="805">
        <f t="shared" si="2"/>
        <v>279.86028028028755</v>
      </c>
      <c r="L26" s="805">
        <f t="shared" si="2"/>
        <v>0</v>
      </c>
      <c r="M26" s="805">
        <f t="shared" si="2"/>
        <v>0</v>
      </c>
      <c r="N26" s="805">
        <f t="shared" si="2"/>
        <v>0</v>
      </c>
      <c r="O26" s="805">
        <f t="shared" si="2"/>
        <v>0</v>
      </c>
      <c r="P26" s="805">
        <f t="shared" si="2"/>
        <v>0</v>
      </c>
      <c r="Q26" s="805">
        <f t="shared" si="2"/>
        <v>0</v>
      </c>
      <c r="R26" s="805">
        <f t="shared" si="2"/>
        <v>128808.04671003335</v>
      </c>
      <c r="S26" s="67"/>
    </row>
    <row r="27" spans="1:19" s="456" customFormat="1" ht="17.25" thickTop="1" thickBot="1">
      <c r="A27" s="694" t="s">
        <v>116</v>
      </c>
      <c r="B27" s="797"/>
      <c r="C27" s="695">
        <f ca="1">C22+C16+C26</f>
        <v>1569809.2955882316</v>
      </c>
      <c r="D27" s="695">
        <f t="shared" ref="D27:R27" ca="1" si="3">D22+D16+D26</f>
        <v>11183.0625</v>
      </c>
      <c r="E27" s="695">
        <f t="shared" ca="1" si="3"/>
        <v>2208601.9443564434</v>
      </c>
      <c r="F27" s="695">
        <f t="shared" si="3"/>
        <v>54033.161626893125</v>
      </c>
      <c r="G27" s="695">
        <f t="shared" ca="1" si="3"/>
        <v>316464.33904180303</v>
      </c>
      <c r="H27" s="695">
        <f t="shared" si="3"/>
        <v>1769334.2740243895</v>
      </c>
      <c r="I27" s="695">
        <f t="shared" si="3"/>
        <v>264050.91216431482</v>
      </c>
      <c r="J27" s="695">
        <f t="shared" si="3"/>
        <v>0</v>
      </c>
      <c r="K27" s="695">
        <f t="shared" si="3"/>
        <v>2804.114539381992</v>
      </c>
      <c r="L27" s="695">
        <f t="shared" si="3"/>
        <v>0</v>
      </c>
      <c r="M27" s="695">
        <f t="shared" ca="1" si="3"/>
        <v>0</v>
      </c>
      <c r="N27" s="695">
        <f t="shared" si="3"/>
        <v>88597.305102889979</v>
      </c>
      <c r="O27" s="695">
        <f t="shared" ca="1" si="3"/>
        <v>93171.450896820752</v>
      </c>
      <c r="P27" s="695">
        <f t="shared" si="3"/>
        <v>780.10333333333347</v>
      </c>
      <c r="Q27" s="695">
        <f t="shared" si="3"/>
        <v>1029.5999999999999</v>
      </c>
      <c r="R27" s="695">
        <f t="shared" ca="1" si="3"/>
        <v>6379859.5631745011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155733.39790072237</v>
      </c>
      <c r="D40" s="687">
        <f ca="1">tertiair!C20</f>
        <v>3.56341870156845</v>
      </c>
      <c r="E40" s="687">
        <f ca="1">tertiair!D20</f>
        <v>159982.77465802623</v>
      </c>
      <c r="F40" s="687">
        <f>tertiair!E20</f>
        <v>3506.805011668092</v>
      </c>
      <c r="G40" s="687">
        <f ca="1">tertiair!F20</f>
        <v>44444.654064780138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363671.19505389838</v>
      </c>
    </row>
    <row r="41" spans="1:18">
      <c r="A41" s="815" t="s">
        <v>225</v>
      </c>
      <c r="B41" s="822"/>
      <c r="C41" s="687">
        <f ca="1">huishoudens!B12</f>
        <v>82130.411391428745</v>
      </c>
      <c r="D41" s="687">
        <f ca="1">huishoudens!C12</f>
        <v>0</v>
      </c>
      <c r="E41" s="687">
        <f>huishoudens!D12</f>
        <v>214754.41144426638</v>
      </c>
      <c r="F41" s="687">
        <f>huishoudens!E12</f>
        <v>5847.7789570925206</v>
      </c>
      <c r="G41" s="687">
        <f>huishoudens!F12</f>
        <v>15082.204378563698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317814.80617135129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77670.243948764823</v>
      </c>
      <c r="D43" s="687">
        <f ca="1">industrie!C22</f>
        <v>871.05790482784334</v>
      </c>
      <c r="E43" s="687">
        <f>industrie!D22</f>
        <v>54817.24615874514</v>
      </c>
      <c r="F43" s="687">
        <f>industrie!E22</f>
        <v>919.7359032143205</v>
      </c>
      <c r="G43" s="687">
        <f>industrie!F22</f>
        <v>21387.509682595653</v>
      </c>
      <c r="H43" s="687">
        <f>industrie!G22</f>
        <v>0</v>
      </c>
      <c r="I43" s="687">
        <f>industrie!H22</f>
        <v>0</v>
      </c>
      <c r="J43" s="687">
        <f>industrie!I22</f>
        <v>0</v>
      </c>
      <c r="K43" s="687">
        <f>industrie!J22</f>
        <v>893.58600772200339</v>
      </c>
      <c r="L43" s="687">
        <f>industrie!K22</f>
        <v>0</v>
      </c>
      <c r="M43" s="687">
        <f>industrie!L22</f>
        <v>0</v>
      </c>
      <c r="N43" s="687">
        <f>industrie!M22</f>
        <v>0</v>
      </c>
      <c r="O43" s="687">
        <f>industrie!N22</f>
        <v>0</v>
      </c>
      <c r="P43" s="687">
        <f>industrie!O22</f>
        <v>0</v>
      </c>
      <c r="Q43" s="762">
        <f>industrie!P22</f>
        <v>0</v>
      </c>
      <c r="R43" s="842">
        <f t="shared" ca="1" si="4"/>
        <v>156559.37960586979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315534.05324091594</v>
      </c>
      <c r="D46" s="720">
        <f t="shared" ref="D46:Q46" ca="1" si="5">SUM(D39:D45)</f>
        <v>874.62132352941182</v>
      </c>
      <c r="E46" s="720">
        <f t="shared" ca="1" si="5"/>
        <v>429554.43226103776</v>
      </c>
      <c r="F46" s="720">
        <f t="shared" si="5"/>
        <v>10274.319871974934</v>
      </c>
      <c r="G46" s="720">
        <f t="shared" ca="1" si="5"/>
        <v>80914.368125939494</v>
      </c>
      <c r="H46" s="720">
        <f t="shared" si="5"/>
        <v>0</v>
      </c>
      <c r="I46" s="720">
        <f t="shared" si="5"/>
        <v>0</v>
      </c>
      <c r="J46" s="720">
        <f t="shared" si="5"/>
        <v>0</v>
      </c>
      <c r="K46" s="720">
        <f t="shared" si="5"/>
        <v>893.58600772200339</v>
      </c>
      <c r="L46" s="720">
        <f t="shared" si="5"/>
        <v>0</v>
      </c>
      <c r="M46" s="720">
        <f t="shared" ca="1" si="5"/>
        <v>0</v>
      </c>
      <c r="N46" s="720">
        <f t="shared" si="5"/>
        <v>0</v>
      </c>
      <c r="O46" s="720">
        <f t="shared" ca="1" si="5"/>
        <v>0</v>
      </c>
      <c r="P46" s="720">
        <f t="shared" si="5"/>
        <v>0</v>
      </c>
      <c r="Q46" s="720">
        <f t="shared" si="5"/>
        <v>0</v>
      </c>
      <c r="R46" s="720">
        <f ca="1">SUM(R39:R45)</f>
        <v>838045.38083111937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1914.7544300885606</v>
      </c>
      <c r="D49" s="687">
        <f ca="1">transport!C58</f>
        <v>0</v>
      </c>
      <c r="E49" s="687">
        <f>transport!D58</f>
        <v>0</v>
      </c>
      <c r="F49" s="687">
        <f>transport!E58</f>
        <v>0</v>
      </c>
      <c r="G49" s="687">
        <f>transport!F58</f>
        <v>0</v>
      </c>
      <c r="H49" s="687">
        <f>transport!G58</f>
        <v>11005.948738511674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12920.703168600234</v>
      </c>
    </row>
    <row r="50" spans="1:18">
      <c r="A50" s="818" t="s">
        <v>307</v>
      </c>
      <c r="B50" s="828"/>
      <c r="C50" s="995">
        <f ca="1">transport!B18</f>
        <v>3.1690171088395269</v>
      </c>
      <c r="D50" s="995">
        <f>transport!C18</f>
        <v>0</v>
      </c>
      <c r="E50" s="995">
        <f>transport!D18</f>
        <v>15.649470505490026</v>
      </c>
      <c r="F50" s="995">
        <f>transport!E18</f>
        <v>1983.7585992901793</v>
      </c>
      <c r="G50" s="995">
        <f>transport!F18</f>
        <v>0</v>
      </c>
      <c r="H50" s="995">
        <f>transport!G18</f>
        <v>461406.30242600036</v>
      </c>
      <c r="I50" s="995">
        <f>transport!H18</f>
        <v>65748.677128914394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529157.55664181919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1917.9234471974003</v>
      </c>
      <c r="D52" s="720">
        <f t="shared" ref="D52:Q52" ca="1" si="6">SUM(D48:D51)</f>
        <v>0</v>
      </c>
      <c r="E52" s="720">
        <f t="shared" si="6"/>
        <v>15.649470505490026</v>
      </c>
      <c r="F52" s="720">
        <f t="shared" si="6"/>
        <v>1983.7585992901793</v>
      </c>
      <c r="G52" s="720">
        <f t="shared" si="6"/>
        <v>0</v>
      </c>
      <c r="H52" s="720">
        <f t="shared" si="6"/>
        <v>472412.25116451201</v>
      </c>
      <c r="I52" s="720">
        <f t="shared" si="6"/>
        <v>65748.677128914394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542078.2598104194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647.32485247250372</v>
      </c>
      <c r="D54" s="995">
        <f ca="1">+landbouw!C12</f>
        <v>0</v>
      </c>
      <c r="E54" s="995">
        <f>+landbouw!D12</f>
        <v>953.21201727644973</v>
      </c>
      <c r="F54" s="995">
        <f>+landbouw!E12</f>
        <v>7.4492180396283851</v>
      </c>
      <c r="G54" s="995">
        <f>+landbouw!F12</f>
        <v>3581.6103982219315</v>
      </c>
      <c r="H54" s="995">
        <f>+landbouw!G12</f>
        <v>0</v>
      </c>
      <c r="I54" s="995">
        <f>+landbouw!H12</f>
        <v>0</v>
      </c>
      <c r="J54" s="995">
        <f>+landbouw!I12</f>
        <v>0</v>
      </c>
      <c r="K54" s="995">
        <f>+landbouw!J12</f>
        <v>99.070539219221786</v>
      </c>
      <c r="L54" s="995">
        <f>+landbouw!K12</f>
        <v>0</v>
      </c>
      <c r="M54" s="995">
        <f>+landbouw!L12</f>
        <v>0</v>
      </c>
      <c r="N54" s="995">
        <f>+landbouw!M12</f>
        <v>0</v>
      </c>
      <c r="O54" s="995">
        <f>+landbouw!N12</f>
        <v>0</v>
      </c>
      <c r="P54" s="995">
        <f>+landbouw!O12</f>
        <v>0</v>
      </c>
      <c r="Q54" s="996">
        <f>+landbouw!P12</f>
        <v>0</v>
      </c>
      <c r="R54" s="719">
        <f ca="1">SUM(C54:Q54)</f>
        <v>5288.6670252297354</v>
      </c>
    </row>
    <row r="55" spans="1:18" ht="15" thickBot="1">
      <c r="A55" s="818" t="s">
        <v>925</v>
      </c>
      <c r="B55" s="828"/>
      <c r="C55" s="995">
        <f ca="1">C25*'EF ele_warmte'!B12</f>
        <v>6182.7859943602298</v>
      </c>
      <c r="D55" s="995"/>
      <c r="E55" s="995">
        <f>E25*EF_CO2_aardgas</f>
        <v>15614.299011181954</v>
      </c>
      <c r="F55" s="995"/>
      <c r="G55" s="995"/>
      <c r="H55" s="995"/>
      <c r="I55" s="995"/>
      <c r="J55" s="995"/>
      <c r="K55" s="995"/>
      <c r="L55" s="995"/>
      <c r="M55" s="995"/>
      <c r="N55" s="995"/>
      <c r="O55" s="995"/>
      <c r="P55" s="995"/>
      <c r="Q55" s="996"/>
      <c r="R55" s="719">
        <f ca="1">SUM(C55:Q55)</f>
        <v>21797.085005542183</v>
      </c>
    </row>
    <row r="56" spans="1:18" ht="15.75" thickBot="1">
      <c r="A56" s="816" t="s">
        <v>926</v>
      </c>
      <c r="B56" s="829"/>
      <c r="C56" s="720">
        <f ca="1">SUM(C54:C55)</f>
        <v>6830.1108468327338</v>
      </c>
      <c r="D56" s="720">
        <f t="shared" ref="D56:Q56" ca="1" si="7">SUM(D54:D55)</f>
        <v>0</v>
      </c>
      <c r="E56" s="720">
        <f t="shared" si="7"/>
        <v>16567.511028458404</v>
      </c>
      <c r="F56" s="720">
        <f t="shared" si="7"/>
        <v>7.4492180396283851</v>
      </c>
      <c r="G56" s="720">
        <f t="shared" si="7"/>
        <v>3581.6103982219315</v>
      </c>
      <c r="H56" s="720">
        <f t="shared" si="7"/>
        <v>0</v>
      </c>
      <c r="I56" s="720">
        <f t="shared" si="7"/>
        <v>0</v>
      </c>
      <c r="J56" s="720">
        <f t="shared" si="7"/>
        <v>0</v>
      </c>
      <c r="K56" s="720">
        <f t="shared" si="7"/>
        <v>99.070539219221786</v>
      </c>
      <c r="L56" s="720">
        <f t="shared" si="7"/>
        <v>0</v>
      </c>
      <c r="M56" s="720">
        <f t="shared" si="7"/>
        <v>0</v>
      </c>
      <c r="N56" s="720">
        <f t="shared" si="7"/>
        <v>0</v>
      </c>
      <c r="O56" s="720">
        <f t="shared" si="7"/>
        <v>0</v>
      </c>
      <c r="P56" s="720">
        <f t="shared" si="7"/>
        <v>0</v>
      </c>
      <c r="Q56" s="721">
        <f t="shared" si="7"/>
        <v>0</v>
      </c>
      <c r="R56" s="722">
        <f ca="1">SUM(R54:R55)</f>
        <v>27085.752030771917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324282.0875349461</v>
      </c>
      <c r="D61" s="728">
        <f t="shared" ref="D61:Q61" ca="1" si="8">D46+D52+D56</f>
        <v>874.62132352941182</v>
      </c>
      <c r="E61" s="728">
        <f t="shared" ca="1" si="8"/>
        <v>446137.59276000166</v>
      </c>
      <c r="F61" s="728">
        <f t="shared" si="8"/>
        <v>12265.527689304741</v>
      </c>
      <c r="G61" s="728">
        <f t="shared" ca="1" si="8"/>
        <v>84495.97852416143</v>
      </c>
      <c r="H61" s="728">
        <f t="shared" si="8"/>
        <v>472412.25116451201</v>
      </c>
      <c r="I61" s="728">
        <f t="shared" si="8"/>
        <v>65748.677128914394</v>
      </c>
      <c r="J61" s="728">
        <f t="shared" si="8"/>
        <v>0</v>
      </c>
      <c r="K61" s="728">
        <f t="shared" si="8"/>
        <v>992.6565469412252</v>
      </c>
      <c r="L61" s="728">
        <f t="shared" si="8"/>
        <v>0</v>
      </c>
      <c r="M61" s="728">
        <f t="shared" ca="1" si="8"/>
        <v>0</v>
      </c>
      <c r="N61" s="728">
        <f t="shared" si="8"/>
        <v>0</v>
      </c>
      <c r="O61" s="728">
        <f t="shared" ca="1" si="8"/>
        <v>0</v>
      </c>
      <c r="P61" s="728">
        <f t="shared" si="8"/>
        <v>0</v>
      </c>
      <c r="Q61" s="728">
        <f t="shared" si="8"/>
        <v>0</v>
      </c>
      <c r="R61" s="728">
        <f ca="1">R46+R52+R56</f>
        <v>1407209.3926723108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0.20657419244891947</v>
      </c>
      <c r="D63" s="772">
        <f t="shared" ca="1" si="9"/>
        <v>7.8209463957606584E-2</v>
      </c>
      <c r="E63" s="997">
        <f t="shared" ca="1" si="9"/>
        <v>0.20200000000000004</v>
      </c>
      <c r="F63" s="772">
        <f t="shared" si="9"/>
        <v>0.22700000000000004</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69626.263982426244</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27037.102381934543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7465.5</v>
      </c>
      <c r="C76" s="738">
        <f>'lokale energieproductie'!B8*IFERROR(SUM(D76:H76)/SUM(D76:O76),0)</f>
        <v>2474.9999999999995</v>
      </c>
      <c r="D76" s="1007">
        <f>'lokale energieproductie'!C8</f>
        <v>0</v>
      </c>
      <c r="E76" s="1008">
        <f>'lokale energieproductie'!D8</f>
        <v>0</v>
      </c>
      <c r="F76" s="1008">
        <f>'lokale energieproductie'!E8</f>
        <v>2911.7647058823527</v>
      </c>
      <c r="G76" s="1008">
        <f>'lokale energieproductie'!F8</f>
        <v>0</v>
      </c>
      <c r="H76" s="1008">
        <f>'lokale energieproductie'!G8</f>
        <v>0</v>
      </c>
      <c r="I76" s="1008">
        <f>'lokale energieproductie'!I8</f>
        <v>8782.9411764705892</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777.44117647058818</v>
      </c>
      <c r="R76" s="845">
        <v>0</v>
      </c>
    </row>
    <row r="77" spans="1:18" ht="30.75" thickBot="1">
      <c r="A77" s="741" t="s">
        <v>353</v>
      </c>
      <c r="B77" s="738">
        <f>'lokale energieproductie'!B9*IFERROR(SUM(I77:O77)/SUM(D77:O77),0)</f>
        <v>1858.5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5310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105987.36636436079</v>
      </c>
      <c r="C78" s="743">
        <f>SUM(C72:C77)</f>
        <v>2474.9999999999995</v>
      </c>
      <c r="D78" s="744">
        <f t="shared" ref="D78:H78" si="10">SUM(D76:D77)</f>
        <v>0</v>
      </c>
      <c r="E78" s="744">
        <f t="shared" si="10"/>
        <v>0</v>
      </c>
      <c r="F78" s="744">
        <f t="shared" si="10"/>
        <v>2911.7647058823527</v>
      </c>
      <c r="G78" s="744">
        <f t="shared" si="10"/>
        <v>0</v>
      </c>
      <c r="H78" s="744">
        <f t="shared" si="10"/>
        <v>0</v>
      </c>
      <c r="I78" s="744">
        <f>SUM(I76:I77)</f>
        <v>8782.9411764705892</v>
      </c>
      <c r="J78" s="744">
        <f>SUM(J76:J77)</f>
        <v>5310</v>
      </c>
      <c r="K78" s="744">
        <f t="shared" ref="K78:L78" si="11">SUM(K76:K77)</f>
        <v>0</v>
      </c>
      <c r="L78" s="744">
        <f t="shared" si="11"/>
        <v>0</v>
      </c>
      <c r="M78" s="744">
        <f>SUM(M76:M77)</f>
        <v>0</v>
      </c>
      <c r="N78" s="744">
        <f>SUM(N76:N77)</f>
        <v>0</v>
      </c>
      <c r="O78" s="853">
        <f>SUM(O76:O77)</f>
        <v>0</v>
      </c>
      <c r="P78" s="745">
        <v>0</v>
      </c>
      <c r="Q78" s="745">
        <f>SUM(Q76:Q77)</f>
        <v>777.44117647058818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8398.6875</v>
      </c>
      <c r="C87" s="754">
        <f>'lokale energieproductie'!B17*IFERROR(SUM(D87:H87)/SUM(D87:O87),0)</f>
        <v>2784.3750000000005</v>
      </c>
      <c r="D87" s="765">
        <f>'lokale energieproductie'!C17</f>
        <v>0</v>
      </c>
      <c r="E87" s="765">
        <f>'lokale energieproductie'!D17</f>
        <v>0</v>
      </c>
      <c r="F87" s="765">
        <f>'lokale energieproductie'!E17</f>
        <v>3275.7352941176473</v>
      </c>
      <c r="G87" s="765">
        <f>'lokale energieproductie'!F17</f>
        <v>0</v>
      </c>
      <c r="H87" s="765">
        <f>'lokale energieproductie'!G17</f>
        <v>0</v>
      </c>
      <c r="I87" s="765">
        <f>'lokale energieproductie'!I17</f>
        <v>9880.8088235294108</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874.62132352941182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8398.6875</v>
      </c>
      <c r="C90" s="743">
        <f>SUM(C87:C89)</f>
        <v>2784.3750000000005</v>
      </c>
      <c r="D90" s="743">
        <f t="shared" ref="D90:H90" si="12">SUM(D87:D89)</f>
        <v>0</v>
      </c>
      <c r="E90" s="743">
        <f t="shared" si="12"/>
        <v>0</v>
      </c>
      <c r="F90" s="743">
        <f t="shared" si="12"/>
        <v>3275.7352941176473</v>
      </c>
      <c r="G90" s="743">
        <f t="shared" si="12"/>
        <v>0</v>
      </c>
      <c r="H90" s="743">
        <f t="shared" si="12"/>
        <v>0</v>
      </c>
      <c r="I90" s="743">
        <f>SUM(I87:I89)</f>
        <v>9880.8088235294108</v>
      </c>
      <c r="J90" s="743">
        <f>SUM(J87:J89)</f>
        <v>0</v>
      </c>
      <c r="K90" s="743">
        <f t="shared" ref="K90:L90" si="13">SUM(K87:K89)</f>
        <v>0</v>
      </c>
      <c r="L90" s="743">
        <f t="shared" si="13"/>
        <v>0</v>
      </c>
      <c r="M90" s="743">
        <f>SUM(M87:M89)</f>
        <v>0</v>
      </c>
      <c r="N90" s="743">
        <f>SUM(N87:N89)</f>
        <v>0</v>
      </c>
      <c r="O90" s="743">
        <f>SUM(O87:O89)</f>
        <v>0</v>
      </c>
      <c r="P90" s="743">
        <v>0</v>
      </c>
      <c r="Q90" s="743">
        <f>SUM(Q87:Q89)</f>
        <v>874.62132352941182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69626.263982426244</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27037.102381934543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9940.5</v>
      </c>
      <c r="C8" s="557">
        <f>B101</f>
        <v>0</v>
      </c>
      <c r="D8" s="985"/>
      <c r="E8" s="985">
        <f>E101</f>
        <v>2911.7647058823527</v>
      </c>
      <c r="F8" s="986"/>
      <c r="G8" s="558"/>
      <c r="H8" s="985">
        <f>I101</f>
        <v>0</v>
      </c>
      <c r="I8" s="985">
        <f>G101+F101</f>
        <v>8782.9411764705892</v>
      </c>
      <c r="J8" s="985">
        <f>H101+D101+C101</f>
        <v>0</v>
      </c>
      <c r="K8" s="985"/>
      <c r="L8" s="985"/>
      <c r="M8" s="985"/>
      <c r="N8" s="559"/>
      <c r="O8" s="560">
        <f>C8*$C$12+D8*$D$12+E8*$E$12+F8*$F$12+G8*$G$12+H8*$H$12+I8*$I$12+J8*$J$12</f>
        <v>777.44117647058818</v>
      </c>
      <c r="P8" s="1225"/>
      <c r="Q8" s="1226"/>
      <c r="S8" s="1018"/>
      <c r="T8" s="1213"/>
      <c r="U8" s="1213"/>
    </row>
    <row r="9" spans="1:21" s="545" customFormat="1" ht="17.45" customHeight="1" thickBot="1">
      <c r="A9" s="561" t="s">
        <v>248</v>
      </c>
      <c r="B9" s="1022">
        <f>N89+'Eigen informatie GS &amp; warmtenet'!B12</f>
        <v>1858.5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108462.36636436079</v>
      </c>
      <c r="C10" s="569">
        <f t="shared" ref="C10:L10" si="0">SUM(C8:C9)</f>
        <v>0</v>
      </c>
      <c r="D10" s="569">
        <f t="shared" si="0"/>
        <v>0</v>
      </c>
      <c r="E10" s="569">
        <f t="shared" si="0"/>
        <v>2911.7647058823527</v>
      </c>
      <c r="F10" s="569">
        <f t="shared" si="0"/>
        <v>0</v>
      </c>
      <c r="G10" s="569">
        <f t="shared" si="0"/>
        <v>0</v>
      </c>
      <c r="H10" s="569">
        <f t="shared" si="0"/>
        <v>0</v>
      </c>
      <c r="I10" s="569">
        <f t="shared" si="0"/>
        <v>8782.9411764705892</v>
      </c>
      <c r="J10" s="569">
        <f t="shared" si="0"/>
        <v>5310</v>
      </c>
      <c r="K10" s="569">
        <f t="shared" si="0"/>
        <v>0</v>
      </c>
      <c r="L10" s="569">
        <f t="shared" si="0"/>
        <v>0</v>
      </c>
      <c r="M10" s="980"/>
      <c r="N10" s="980"/>
      <c r="O10" s="570">
        <f>SUM(O4:O9)</f>
        <v>777.44117647058818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11183.0625</v>
      </c>
      <c r="C17" s="581">
        <f>B102</f>
        <v>0</v>
      </c>
      <c r="D17" s="582"/>
      <c r="E17" s="582">
        <f>E102</f>
        <v>3275.7352941176473</v>
      </c>
      <c r="F17" s="583"/>
      <c r="G17" s="584"/>
      <c r="H17" s="581">
        <f>I102</f>
        <v>0</v>
      </c>
      <c r="I17" s="582">
        <f>G102+F102</f>
        <v>9880.8088235294108</v>
      </c>
      <c r="J17" s="582">
        <f>H102+D102+C102</f>
        <v>0</v>
      </c>
      <c r="K17" s="582"/>
      <c r="L17" s="582"/>
      <c r="M17" s="582"/>
      <c r="N17" s="981"/>
      <c r="O17" s="585">
        <f>C17*$C$22+E17*$E$22+H17*$H$22+I17*$I$22+J17*$J$22+D17*$D$22+F17*$F$22+G17*$G$22+K17*$K$22+L17*$L$22</f>
        <v>874.62132352941182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11183.0625</v>
      </c>
      <c r="C20" s="568">
        <f>SUM(C17:C19)</f>
        <v>0</v>
      </c>
      <c r="D20" s="568">
        <f t="shared" ref="D20:L20" si="1">SUM(D17:D19)</f>
        <v>0</v>
      </c>
      <c r="E20" s="568">
        <f t="shared" si="1"/>
        <v>3275.7352941176473</v>
      </c>
      <c r="F20" s="568">
        <f t="shared" si="1"/>
        <v>0</v>
      </c>
      <c r="G20" s="568">
        <f t="shared" si="1"/>
        <v>0</v>
      </c>
      <c r="H20" s="568">
        <f t="shared" si="1"/>
        <v>0</v>
      </c>
      <c r="I20" s="568">
        <f t="shared" si="1"/>
        <v>9880.8088235294108</v>
      </c>
      <c r="J20" s="568">
        <f t="shared" si="1"/>
        <v>0</v>
      </c>
      <c r="K20" s="568">
        <f t="shared" si="1"/>
        <v>0</v>
      </c>
      <c r="L20" s="568">
        <f t="shared" si="1"/>
        <v>0</v>
      </c>
      <c r="M20" s="568"/>
      <c r="N20" s="568"/>
      <c r="O20" s="589">
        <f>SUM(O17:O19)</f>
        <v>874.62132352941182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44021</v>
      </c>
      <c r="C28" s="788">
        <v>9031</v>
      </c>
      <c r="D28" s="641" t="s">
        <v>963</v>
      </c>
      <c r="E28" s="640" t="s">
        <v>964</v>
      </c>
      <c r="F28" s="640" t="s">
        <v>965</v>
      </c>
      <c r="G28" s="640" t="s">
        <v>966</v>
      </c>
      <c r="H28" s="640" t="s">
        <v>967</v>
      </c>
      <c r="I28" s="640" t="s">
        <v>964</v>
      </c>
      <c r="J28" s="787">
        <v>40096</v>
      </c>
      <c r="K28" s="787">
        <v>40179</v>
      </c>
      <c r="L28" s="640" t="s">
        <v>968</v>
      </c>
      <c r="M28" s="640">
        <v>9</v>
      </c>
      <c r="N28" s="640">
        <v>40.5</v>
      </c>
      <c r="O28" s="640">
        <v>45.5625</v>
      </c>
      <c r="P28" s="640">
        <v>0</v>
      </c>
      <c r="Q28" s="640">
        <v>0</v>
      </c>
      <c r="R28" s="640">
        <v>0</v>
      </c>
      <c r="S28" s="640">
        <v>0</v>
      </c>
      <c r="T28" s="640">
        <v>0</v>
      </c>
      <c r="U28" s="640">
        <v>101.25</v>
      </c>
      <c r="V28" s="640">
        <v>0</v>
      </c>
      <c r="W28" s="640">
        <v>0</v>
      </c>
      <c r="X28" s="640">
        <v>1600</v>
      </c>
      <c r="Y28" s="640" t="s">
        <v>50</v>
      </c>
      <c r="Z28" s="642" t="s">
        <v>156</v>
      </c>
    </row>
    <row r="29" spans="1:26" s="594" customFormat="1" ht="38.25">
      <c r="A29" s="593"/>
      <c r="B29" s="788">
        <v>44021</v>
      </c>
      <c r="C29" s="788">
        <v>9042</v>
      </c>
      <c r="D29" s="641" t="s">
        <v>969</v>
      </c>
      <c r="E29" s="640" t="s">
        <v>970</v>
      </c>
      <c r="F29" s="640" t="s">
        <v>971</v>
      </c>
      <c r="G29" s="640" t="s">
        <v>966</v>
      </c>
      <c r="H29" s="640" t="s">
        <v>967</v>
      </c>
      <c r="I29" s="640" t="s">
        <v>972</v>
      </c>
      <c r="J29" s="787">
        <v>39812</v>
      </c>
      <c r="K29" s="787">
        <v>39812</v>
      </c>
      <c r="L29" s="640" t="s">
        <v>968</v>
      </c>
      <c r="M29" s="640">
        <v>2200</v>
      </c>
      <c r="N29" s="640">
        <v>9900</v>
      </c>
      <c r="O29" s="640">
        <v>11137.5</v>
      </c>
      <c r="P29" s="640">
        <v>0</v>
      </c>
      <c r="Q29" s="640">
        <v>0</v>
      </c>
      <c r="R29" s="640">
        <v>0</v>
      </c>
      <c r="S29" s="640">
        <v>6187.5</v>
      </c>
      <c r="T29" s="640">
        <v>18562.5</v>
      </c>
      <c r="U29" s="640">
        <v>0</v>
      </c>
      <c r="V29" s="640">
        <v>0</v>
      </c>
      <c r="W29" s="640">
        <v>0</v>
      </c>
      <c r="X29" s="640">
        <v>300</v>
      </c>
      <c r="Y29" s="640" t="s">
        <v>34</v>
      </c>
      <c r="Z29" s="642" t="s">
        <v>391</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2209</v>
      </c>
      <c r="N58" s="598">
        <f>SUM(N28:N57)</f>
        <v>9940.5</v>
      </c>
      <c r="O58" s="598">
        <f t="shared" ref="O58:W58" si="2">SUM(O28:O57)</f>
        <v>11183.0625</v>
      </c>
      <c r="P58" s="598">
        <f t="shared" si="2"/>
        <v>0</v>
      </c>
      <c r="Q58" s="598">
        <f t="shared" si="2"/>
        <v>0</v>
      </c>
      <c r="R58" s="598">
        <f t="shared" si="2"/>
        <v>0</v>
      </c>
      <c r="S58" s="598">
        <f t="shared" si="2"/>
        <v>6187.5</v>
      </c>
      <c r="T58" s="598">
        <f t="shared" si="2"/>
        <v>18562.5</v>
      </c>
      <c r="U58" s="598">
        <f t="shared" si="2"/>
        <v>101.25</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2200</v>
      </c>
      <c r="N59" s="598">
        <f t="shared" si="3"/>
        <v>9900</v>
      </c>
      <c r="O59" s="598">
        <f t="shared" si="3"/>
        <v>11137.5</v>
      </c>
      <c r="P59" s="598">
        <f t="shared" si="3"/>
        <v>0</v>
      </c>
      <c r="Q59" s="598">
        <f t="shared" si="3"/>
        <v>0</v>
      </c>
      <c r="R59" s="598">
        <f t="shared" si="3"/>
        <v>0</v>
      </c>
      <c r="S59" s="598">
        <f t="shared" si="3"/>
        <v>6187.5</v>
      </c>
      <c r="T59" s="598">
        <f t="shared" si="3"/>
        <v>18562.5</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9</v>
      </c>
      <c r="N60" s="598">
        <f ca="1">SUMIF($Z$28:AD57,"tertiair",N28:N57)</f>
        <v>40.5</v>
      </c>
      <c r="O60" s="598">
        <f ca="1">SUMIF($Z$28:AE57,"tertiair",O28:O57)</f>
        <v>45.5625</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101.25</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44021</v>
      </c>
      <c r="C64" s="788">
        <v>9000</v>
      </c>
      <c r="D64" s="643" t="s">
        <v>973</v>
      </c>
      <c r="E64" s="643" t="s">
        <v>974</v>
      </c>
      <c r="F64" s="643" t="s">
        <v>975</v>
      </c>
      <c r="G64" s="643" t="s">
        <v>976</v>
      </c>
      <c r="H64" s="643" t="s">
        <v>977</v>
      </c>
      <c r="I64" s="643" t="s">
        <v>978</v>
      </c>
      <c r="J64" s="787">
        <v>38292</v>
      </c>
      <c r="K64" s="787">
        <v>38687</v>
      </c>
      <c r="L64" s="643" t="s">
        <v>979</v>
      </c>
      <c r="M64" s="643">
        <v>413</v>
      </c>
      <c r="N64" s="643">
        <v>1858.5</v>
      </c>
      <c r="O64" s="643">
        <v>0</v>
      </c>
      <c r="P64" s="643">
        <v>0</v>
      </c>
      <c r="Q64" s="643">
        <v>5310</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413</v>
      </c>
      <c r="N89" s="598">
        <f t="shared" ref="N89:W89" si="5">SUM(N64:N88)</f>
        <v>1858.5</v>
      </c>
      <c r="O89" s="598">
        <f t="shared" si="5"/>
        <v>0</v>
      </c>
      <c r="P89" s="598">
        <f t="shared" si="5"/>
        <v>0</v>
      </c>
      <c r="Q89" s="598">
        <f t="shared" si="5"/>
        <v>5310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413</v>
      </c>
      <c r="N91" s="598">
        <f t="shared" si="7"/>
        <v>1858.5</v>
      </c>
      <c r="O91" s="598">
        <f t="shared" si="7"/>
        <v>0</v>
      </c>
      <c r="P91" s="598">
        <f t="shared" si="7"/>
        <v>0</v>
      </c>
      <c r="Q91" s="598">
        <f t="shared" si="7"/>
        <v>5310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0.52941176470588236</v>
      </c>
      <c r="C98" s="623">
        <f>IF(ISERROR(N58/(O58+N58)),0,N58/(N58+O58))</f>
        <v>0.47058823529411764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2911.7647058823527</v>
      </c>
      <c r="F101" s="632">
        <f t="shared" si="9"/>
        <v>8735.2941176470595</v>
      </c>
      <c r="G101" s="632">
        <f t="shared" si="9"/>
        <v>47.647058823529413</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3275.7352941176473</v>
      </c>
      <c r="F102" s="635">
        <f t="shared" si="10"/>
        <v>9827.2058823529405</v>
      </c>
      <c r="G102" s="635">
        <f t="shared" si="10"/>
        <v>53.602941176470587</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397583.11731867236</v>
      </c>
      <c r="C4" s="460">
        <f>huishoudens!C8</f>
        <v>0</v>
      </c>
      <c r="D4" s="460">
        <f>huishoudens!D8</f>
        <v>1063140.65071419</v>
      </c>
      <c r="E4" s="460">
        <f>huishoudens!E8</f>
        <v>25761.140780143262</v>
      </c>
      <c r="F4" s="460">
        <f>huishoudens!F8</f>
        <v>56487.656848553175</v>
      </c>
      <c r="G4" s="460">
        <f>huishoudens!G8</f>
        <v>0</v>
      </c>
      <c r="H4" s="460">
        <f>huishoudens!H8</f>
        <v>0</v>
      </c>
      <c r="I4" s="460">
        <f>huishoudens!I8</f>
        <v>0</v>
      </c>
      <c r="J4" s="460">
        <f>huishoudens!J8</f>
        <v>0</v>
      </c>
      <c r="K4" s="460">
        <f>huishoudens!K8</f>
        <v>0</v>
      </c>
      <c r="L4" s="460">
        <f>huishoudens!L8</f>
        <v>0</v>
      </c>
      <c r="M4" s="460">
        <f>huishoudens!M8</f>
        <v>0</v>
      </c>
      <c r="N4" s="460">
        <f>huishoudens!N8</f>
        <v>76665.407478461391</v>
      </c>
      <c r="O4" s="460">
        <f>huishoudens!O8</f>
        <v>759.78000000000009</v>
      </c>
      <c r="P4" s="461">
        <f>huishoudens!P8</f>
        <v>819.86666666666667</v>
      </c>
      <c r="Q4" s="462">
        <f>SUM(B4:P4)</f>
        <v>1621217.6198066866</v>
      </c>
    </row>
    <row r="5" spans="1:17">
      <c r="A5" s="459" t="s">
        <v>156</v>
      </c>
      <c r="B5" s="460">
        <f ca="1">tertiair!B16</f>
        <v>736760.84726600861</v>
      </c>
      <c r="C5" s="460">
        <f ca="1">tertiair!C16</f>
        <v>45.5625</v>
      </c>
      <c r="D5" s="460">
        <f ca="1">tertiair!D16</f>
        <v>791993.93395062489</v>
      </c>
      <c r="E5" s="460">
        <f>tertiair!E16</f>
        <v>15448.480227612739</v>
      </c>
      <c r="F5" s="460">
        <f ca="1">tertiair!F16</f>
        <v>166459.37851977578</v>
      </c>
      <c r="G5" s="460">
        <f>tertiair!G16</f>
        <v>0</v>
      </c>
      <c r="H5" s="460">
        <f>tertiair!H16</f>
        <v>0</v>
      </c>
      <c r="I5" s="460">
        <f>tertiair!I16</f>
        <v>0</v>
      </c>
      <c r="J5" s="460">
        <f>tertiair!J16</f>
        <v>0</v>
      </c>
      <c r="K5" s="460">
        <f>tertiair!K16</f>
        <v>0</v>
      </c>
      <c r="L5" s="460">
        <f ca="1">tertiair!L16</f>
        <v>0</v>
      </c>
      <c r="M5" s="460">
        <f>tertiair!M16</f>
        <v>0</v>
      </c>
      <c r="N5" s="460">
        <f ca="1">tertiair!N16</f>
        <v>9254.220884834609</v>
      </c>
      <c r="O5" s="460">
        <f>tertiair!O16</f>
        <v>20.323333333333334</v>
      </c>
      <c r="P5" s="461">
        <f>tertiair!P16</f>
        <v>209.73333333333335</v>
      </c>
      <c r="Q5" s="459">
        <f t="shared" ref="Q5:Q14" ca="1" si="0">SUM(B5:P5)</f>
        <v>1720192.4800155233</v>
      </c>
    </row>
    <row r="6" spans="1:17">
      <c r="A6" s="459" t="s">
        <v>194</v>
      </c>
      <c r="B6" s="460">
        <f>'openbare verlichting'!B8</f>
        <v>17125.183000000001</v>
      </c>
      <c r="C6" s="460"/>
      <c r="D6" s="460"/>
      <c r="E6" s="460"/>
      <c r="F6" s="460"/>
      <c r="G6" s="460"/>
      <c r="H6" s="460"/>
      <c r="I6" s="460"/>
      <c r="J6" s="460"/>
      <c r="K6" s="460"/>
      <c r="L6" s="460"/>
      <c r="M6" s="460"/>
      <c r="N6" s="460"/>
      <c r="O6" s="460"/>
      <c r="P6" s="461"/>
      <c r="Q6" s="459">
        <f t="shared" si="0"/>
        <v>17125.183000000001</v>
      </c>
    </row>
    <row r="7" spans="1:17">
      <c r="A7" s="459" t="s">
        <v>112</v>
      </c>
      <c r="B7" s="460">
        <f>landbouw!B8</f>
        <v>3133.6191844611503</v>
      </c>
      <c r="C7" s="460">
        <f>landbouw!C8</f>
        <v>0</v>
      </c>
      <c r="D7" s="460">
        <f>landbouw!D8</f>
        <v>4718.8713726556916</v>
      </c>
      <c r="E7" s="460">
        <f>landbouw!E8</f>
        <v>32.815938500565572</v>
      </c>
      <c r="F7" s="460">
        <f>landbouw!F8</f>
        <v>13414.271154389256</v>
      </c>
      <c r="G7" s="460">
        <f>landbouw!G8</f>
        <v>0</v>
      </c>
      <c r="H7" s="460">
        <f>landbouw!H8</f>
        <v>0</v>
      </c>
      <c r="I7" s="460">
        <f>landbouw!I8</f>
        <v>0</v>
      </c>
      <c r="J7" s="460">
        <f>landbouw!J8</f>
        <v>279.86028028028755</v>
      </c>
      <c r="K7" s="460">
        <f>landbouw!K8</f>
        <v>0</v>
      </c>
      <c r="L7" s="460">
        <f>landbouw!L8</f>
        <v>0</v>
      </c>
      <c r="M7" s="460">
        <f>landbouw!M8</f>
        <v>0</v>
      </c>
      <c r="N7" s="460">
        <f>landbouw!N8</f>
        <v>0</v>
      </c>
      <c r="O7" s="460">
        <f>landbouw!O8</f>
        <v>0</v>
      </c>
      <c r="P7" s="461">
        <f>landbouw!P8</f>
        <v>0</v>
      </c>
      <c r="Q7" s="459">
        <f t="shared" si="0"/>
        <v>21579.437930286953</v>
      </c>
    </row>
    <row r="8" spans="1:17">
      <c r="A8" s="459" t="s">
        <v>655</v>
      </c>
      <c r="B8" s="460">
        <f>industrie!B18</f>
        <v>375992.00087867078</v>
      </c>
      <c r="C8" s="460">
        <f>industrie!C18</f>
        <v>11137.5</v>
      </c>
      <c r="D8" s="460">
        <f>industrie!D18</f>
        <v>271372.50573636207</v>
      </c>
      <c r="E8" s="460">
        <f>industrie!E18</f>
        <v>4051.700014160002</v>
      </c>
      <c r="F8" s="460">
        <f>industrie!F18</f>
        <v>80103.032519084838</v>
      </c>
      <c r="G8" s="460">
        <f>industrie!G18</f>
        <v>0</v>
      </c>
      <c r="H8" s="460">
        <f>industrie!H18</f>
        <v>0</v>
      </c>
      <c r="I8" s="460">
        <f>industrie!I18</f>
        <v>0</v>
      </c>
      <c r="J8" s="460">
        <f>industrie!J18</f>
        <v>2524.2542591017045</v>
      </c>
      <c r="K8" s="460">
        <f>industrie!K18</f>
        <v>0</v>
      </c>
      <c r="L8" s="460">
        <f>industrie!L18</f>
        <v>0</v>
      </c>
      <c r="M8" s="460">
        <f>industrie!M18</f>
        <v>0</v>
      </c>
      <c r="N8" s="460">
        <f>industrie!N18</f>
        <v>7251.8225335247507</v>
      </c>
      <c r="O8" s="460">
        <f>industrie!O18</f>
        <v>0</v>
      </c>
      <c r="P8" s="461">
        <f>industrie!P18</f>
        <v>0</v>
      </c>
      <c r="Q8" s="459">
        <f t="shared" si="0"/>
        <v>752432.8159409042</v>
      </c>
    </row>
    <row r="9" spans="1:17" s="465" customFormat="1">
      <c r="A9" s="463" t="s">
        <v>573</v>
      </c>
      <c r="B9" s="464">
        <f>transport!B14</f>
        <v>15.340818091897633</v>
      </c>
      <c r="C9" s="464">
        <f>transport!C14</f>
        <v>0</v>
      </c>
      <c r="D9" s="464">
        <f>transport!D14</f>
        <v>77.472626264802102</v>
      </c>
      <c r="E9" s="464">
        <f>transport!E14</f>
        <v>8739.02466647656</v>
      </c>
      <c r="F9" s="464">
        <f>transport!F14</f>
        <v>0</v>
      </c>
      <c r="G9" s="464">
        <f>transport!G14</f>
        <v>1728113.4922322109</v>
      </c>
      <c r="H9" s="464">
        <f>transport!H14</f>
        <v>264050.91216431482</v>
      </c>
      <c r="I9" s="464">
        <f>transport!I14</f>
        <v>0</v>
      </c>
      <c r="J9" s="464">
        <f>transport!J14</f>
        <v>0</v>
      </c>
      <c r="K9" s="464">
        <f>transport!K14</f>
        <v>0</v>
      </c>
      <c r="L9" s="464">
        <f>transport!L14</f>
        <v>0</v>
      </c>
      <c r="M9" s="464">
        <f>transport!M14</f>
        <v>86840.242257809965</v>
      </c>
      <c r="N9" s="464">
        <f>transport!N14</f>
        <v>0</v>
      </c>
      <c r="O9" s="464">
        <f>transport!O14</f>
        <v>0</v>
      </c>
      <c r="P9" s="464">
        <f>transport!P14</f>
        <v>0</v>
      </c>
      <c r="Q9" s="463">
        <f>SUM(B9:P9)</f>
        <v>2087836.484765169</v>
      </c>
    </row>
    <row r="10" spans="1:17">
      <c r="A10" s="459" t="s">
        <v>563</v>
      </c>
      <c r="B10" s="460">
        <f>transport!B54</f>
        <v>9269.0882989269376</v>
      </c>
      <c r="C10" s="460">
        <f>transport!C54</f>
        <v>0</v>
      </c>
      <c r="D10" s="460">
        <f>transport!D54</f>
        <v>0</v>
      </c>
      <c r="E10" s="460">
        <f>transport!E54</f>
        <v>0</v>
      </c>
      <c r="F10" s="460">
        <f>transport!F54</f>
        <v>0</v>
      </c>
      <c r="G10" s="460">
        <f>transport!G54</f>
        <v>41220.781792178554</v>
      </c>
      <c r="H10" s="460">
        <f>transport!H54</f>
        <v>0</v>
      </c>
      <c r="I10" s="460">
        <f>transport!I54</f>
        <v>0</v>
      </c>
      <c r="J10" s="460">
        <f>transport!J54</f>
        <v>0</v>
      </c>
      <c r="K10" s="460">
        <f>transport!K54</f>
        <v>0</v>
      </c>
      <c r="L10" s="460">
        <f>transport!L54</f>
        <v>0</v>
      </c>
      <c r="M10" s="460">
        <f>transport!M54</f>
        <v>1757.0628450800107</v>
      </c>
      <c r="N10" s="460">
        <f>transport!N54</f>
        <v>0</v>
      </c>
      <c r="O10" s="460">
        <f>transport!O54</f>
        <v>0</v>
      </c>
      <c r="P10" s="461">
        <f>transport!P54</f>
        <v>0</v>
      </c>
      <c r="Q10" s="459">
        <f t="shared" si="0"/>
        <v>52246.932936185505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29930.098823400098</v>
      </c>
      <c r="C14" s="467"/>
      <c r="D14" s="467">
        <f>'SEAP template'!E25</f>
        <v>77298.509956346301</v>
      </c>
      <c r="E14" s="467"/>
      <c r="F14" s="467"/>
      <c r="G14" s="467"/>
      <c r="H14" s="467"/>
      <c r="I14" s="467"/>
      <c r="J14" s="467"/>
      <c r="K14" s="467"/>
      <c r="L14" s="467"/>
      <c r="M14" s="467"/>
      <c r="N14" s="467"/>
      <c r="O14" s="467"/>
      <c r="P14" s="468"/>
      <c r="Q14" s="459">
        <f t="shared" si="0"/>
        <v>107228.6087797464</v>
      </c>
    </row>
    <row r="15" spans="1:17" s="472" customFormat="1">
      <c r="A15" s="469" t="s">
        <v>567</v>
      </c>
      <c r="B15" s="470">
        <f ca="1">SUM(B4:B14)</f>
        <v>1569809.2955882316</v>
      </c>
      <c r="C15" s="470">
        <f t="shared" ref="C15:Q15" ca="1" si="1">SUM(C4:C14)</f>
        <v>11183.0625</v>
      </c>
      <c r="D15" s="470">
        <f t="shared" ca="1" si="1"/>
        <v>2208601.9443564438</v>
      </c>
      <c r="E15" s="470">
        <f t="shared" si="1"/>
        <v>54033.161626893125</v>
      </c>
      <c r="F15" s="470">
        <f t="shared" ca="1" si="1"/>
        <v>316464.33904180303</v>
      </c>
      <c r="G15" s="470">
        <f t="shared" si="1"/>
        <v>1769334.2740243895</v>
      </c>
      <c r="H15" s="470">
        <f t="shared" si="1"/>
        <v>264050.91216431482</v>
      </c>
      <c r="I15" s="470">
        <f t="shared" si="1"/>
        <v>0</v>
      </c>
      <c r="J15" s="470">
        <f t="shared" si="1"/>
        <v>2804.114539381992</v>
      </c>
      <c r="K15" s="470">
        <f t="shared" si="1"/>
        <v>0</v>
      </c>
      <c r="L15" s="470">
        <f t="shared" ca="1" si="1"/>
        <v>0</v>
      </c>
      <c r="M15" s="470">
        <f t="shared" si="1"/>
        <v>88597.305102889979</v>
      </c>
      <c r="N15" s="470">
        <f t="shared" ca="1" si="1"/>
        <v>93171.450896820752</v>
      </c>
      <c r="O15" s="470">
        <f t="shared" si="1"/>
        <v>780.10333333333347</v>
      </c>
      <c r="P15" s="470">
        <f t="shared" si="1"/>
        <v>1029.5999999999999</v>
      </c>
      <c r="Q15" s="470">
        <f t="shared" ca="1" si="1"/>
        <v>6379859.563174502</v>
      </c>
    </row>
    <row r="17" spans="1:17">
      <c r="A17" s="473" t="s">
        <v>568</v>
      </c>
      <c r="B17" s="777">
        <f ca="1">huishoudens!B10</f>
        <v>0.20657419244891945</v>
      </c>
      <c r="C17" s="777">
        <f ca="1">huishoudens!C10</f>
        <v>7.8209463957606584E-2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82130.411391428745</v>
      </c>
      <c r="C22" s="460">
        <f t="shared" ref="C22:C32" ca="1" si="3">C4*$C$17</f>
        <v>0</v>
      </c>
      <c r="D22" s="460">
        <f t="shared" ref="D22:D32" si="4">D4*$D$17</f>
        <v>214754.41144426638</v>
      </c>
      <c r="E22" s="460">
        <f t="shared" ref="E22:E32" si="5">E4*$E$17</f>
        <v>5847.7789570925206</v>
      </c>
      <c r="F22" s="460">
        <f t="shared" ref="F22:F32" si="6">F4*$F$17</f>
        <v>15082.204378563698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317814.80617135129</v>
      </c>
    </row>
    <row r="23" spans="1:17">
      <c r="A23" s="459" t="s">
        <v>156</v>
      </c>
      <c r="B23" s="460">
        <f t="shared" ca="1" si="2"/>
        <v>152195.77705195741</v>
      </c>
      <c r="C23" s="460">
        <f t="shared" ca="1" si="3"/>
        <v>3.56341870156845</v>
      </c>
      <c r="D23" s="460">
        <f t="shared" ca="1" si="4"/>
        <v>159982.77465802623</v>
      </c>
      <c r="E23" s="460">
        <f t="shared" si="5"/>
        <v>3506.805011668092</v>
      </c>
      <c r="F23" s="460">
        <f t="shared" ca="1" si="6"/>
        <v>44444.654064780138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360133.57420513348</v>
      </c>
    </row>
    <row r="24" spans="1:17">
      <c r="A24" s="459" t="s">
        <v>194</v>
      </c>
      <c r="B24" s="460">
        <f t="shared" ca="1" si="2"/>
        <v>3537.6208487649637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3537.6208487649637</v>
      </c>
    </row>
    <row r="25" spans="1:17">
      <c r="A25" s="459" t="s">
        <v>112</v>
      </c>
      <c r="B25" s="460">
        <f t="shared" ca="1" si="2"/>
        <v>647.32485247250372</v>
      </c>
      <c r="C25" s="460">
        <f t="shared" ca="1" si="3"/>
        <v>0</v>
      </c>
      <c r="D25" s="460">
        <f t="shared" si="4"/>
        <v>953.21201727644973</v>
      </c>
      <c r="E25" s="460">
        <f t="shared" si="5"/>
        <v>7.4492180396283851</v>
      </c>
      <c r="F25" s="460">
        <f t="shared" si="6"/>
        <v>3581.6103982219315</v>
      </c>
      <c r="G25" s="460">
        <f t="shared" si="7"/>
        <v>0</v>
      </c>
      <c r="H25" s="460">
        <f t="shared" si="8"/>
        <v>0</v>
      </c>
      <c r="I25" s="460">
        <f t="shared" si="9"/>
        <v>0</v>
      </c>
      <c r="J25" s="460">
        <f t="shared" si="10"/>
        <v>99.070539219221786</v>
      </c>
      <c r="K25" s="460">
        <f t="shared" si="11"/>
        <v>0</v>
      </c>
      <c r="L25" s="460">
        <f t="shared" si="12"/>
        <v>0</v>
      </c>
      <c r="M25" s="460">
        <f t="shared" si="13"/>
        <v>0</v>
      </c>
      <c r="N25" s="460">
        <f t="shared" si="14"/>
        <v>0</v>
      </c>
      <c r="O25" s="460">
        <f t="shared" si="15"/>
        <v>0</v>
      </c>
      <c r="P25" s="461">
        <f t="shared" si="16"/>
        <v>0</v>
      </c>
      <c r="Q25" s="459">
        <f t="shared" ca="1" si="17"/>
        <v>5288.6670252297354</v>
      </c>
    </row>
    <row r="26" spans="1:17">
      <c r="A26" s="459" t="s">
        <v>655</v>
      </c>
      <c r="B26" s="460">
        <f t="shared" ca="1" si="2"/>
        <v>77670.243948764823</v>
      </c>
      <c r="C26" s="460">
        <f t="shared" ca="1" si="3"/>
        <v>871.05790482784334</v>
      </c>
      <c r="D26" s="460">
        <f t="shared" si="4"/>
        <v>54817.24615874514</v>
      </c>
      <c r="E26" s="460">
        <f t="shared" si="5"/>
        <v>919.7359032143205</v>
      </c>
      <c r="F26" s="460">
        <f t="shared" si="6"/>
        <v>21387.509682595653</v>
      </c>
      <c r="G26" s="460">
        <f t="shared" si="7"/>
        <v>0</v>
      </c>
      <c r="H26" s="460">
        <f t="shared" si="8"/>
        <v>0</v>
      </c>
      <c r="I26" s="460">
        <f t="shared" si="9"/>
        <v>0</v>
      </c>
      <c r="J26" s="460">
        <f t="shared" si="10"/>
        <v>893.58600772200339</v>
      </c>
      <c r="K26" s="460">
        <f t="shared" si="11"/>
        <v>0</v>
      </c>
      <c r="L26" s="460">
        <f t="shared" si="12"/>
        <v>0</v>
      </c>
      <c r="M26" s="460">
        <f t="shared" si="13"/>
        <v>0</v>
      </c>
      <c r="N26" s="460">
        <f t="shared" si="14"/>
        <v>0</v>
      </c>
      <c r="O26" s="460">
        <f t="shared" si="15"/>
        <v>0</v>
      </c>
      <c r="P26" s="461">
        <f t="shared" si="16"/>
        <v>0</v>
      </c>
      <c r="Q26" s="459">
        <f t="shared" ca="1" si="17"/>
        <v>156559.37960586979</v>
      </c>
    </row>
    <row r="27" spans="1:17" s="465" customFormat="1">
      <c r="A27" s="463" t="s">
        <v>573</v>
      </c>
      <c r="B27" s="771">
        <f t="shared" ca="1" si="2"/>
        <v>3.1690171088395269</v>
      </c>
      <c r="C27" s="464">
        <f t="shared" ca="1" si="3"/>
        <v>0</v>
      </c>
      <c r="D27" s="464">
        <f t="shared" si="4"/>
        <v>15.649470505490026</v>
      </c>
      <c r="E27" s="464">
        <f t="shared" si="5"/>
        <v>1983.7585992901793</v>
      </c>
      <c r="F27" s="464">
        <f t="shared" si="6"/>
        <v>0</v>
      </c>
      <c r="G27" s="464">
        <f t="shared" si="7"/>
        <v>461406.30242600036</v>
      </c>
      <c r="H27" s="464">
        <f t="shared" si="8"/>
        <v>65748.677128914394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529157.55664181919</v>
      </c>
    </row>
    <row r="28" spans="1:17">
      <c r="A28" s="459" t="s">
        <v>563</v>
      </c>
      <c r="B28" s="460">
        <f t="shared" ca="1" si="2"/>
        <v>1914.7544300885606</v>
      </c>
      <c r="C28" s="460">
        <f t="shared" ca="1" si="3"/>
        <v>0</v>
      </c>
      <c r="D28" s="460">
        <f t="shared" si="4"/>
        <v>0</v>
      </c>
      <c r="E28" s="460">
        <f t="shared" si="5"/>
        <v>0</v>
      </c>
      <c r="F28" s="460">
        <f t="shared" si="6"/>
        <v>0</v>
      </c>
      <c r="G28" s="460">
        <f t="shared" si="7"/>
        <v>11005.948738511674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12920.703168600234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6182.7859943602298</v>
      </c>
      <c r="C32" s="460">
        <f t="shared" ca="1" si="3"/>
        <v>0</v>
      </c>
      <c r="D32" s="460">
        <f t="shared" si="4"/>
        <v>15614.299011181954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21797.085005542183</v>
      </c>
    </row>
    <row r="33" spans="1:17" s="472" customFormat="1">
      <c r="A33" s="469" t="s">
        <v>567</v>
      </c>
      <c r="B33" s="470">
        <f ca="1">SUM(B22:B32)</f>
        <v>324282.0875349461</v>
      </c>
      <c r="C33" s="470">
        <f t="shared" ref="C33:Q33" ca="1" si="19">SUM(C22:C32)</f>
        <v>874.62132352941182</v>
      </c>
      <c r="D33" s="470">
        <f t="shared" ca="1" si="19"/>
        <v>446137.59276000166</v>
      </c>
      <c r="E33" s="470">
        <f t="shared" si="19"/>
        <v>12265.527689304741</v>
      </c>
      <c r="F33" s="470">
        <f t="shared" ca="1" si="19"/>
        <v>84495.978524161415</v>
      </c>
      <c r="G33" s="470">
        <f t="shared" si="19"/>
        <v>472412.25116451201</v>
      </c>
      <c r="H33" s="470">
        <f t="shared" si="19"/>
        <v>65748.677128914394</v>
      </c>
      <c r="I33" s="470">
        <f t="shared" si="19"/>
        <v>0</v>
      </c>
      <c r="J33" s="470">
        <f t="shared" si="19"/>
        <v>992.6565469412252</v>
      </c>
      <c r="K33" s="470">
        <f t="shared" si="19"/>
        <v>0</v>
      </c>
      <c r="L33" s="470">
        <f t="shared" ca="1" si="19"/>
        <v>0</v>
      </c>
      <c r="M33" s="470">
        <f t="shared" si="19"/>
        <v>0</v>
      </c>
      <c r="N33" s="470">
        <f t="shared" ca="1" si="19"/>
        <v>0</v>
      </c>
      <c r="O33" s="470">
        <f t="shared" si="19"/>
        <v>0</v>
      </c>
      <c r="P33" s="470">
        <f t="shared" si="19"/>
        <v>0</v>
      </c>
      <c r="Q33" s="470">
        <f t="shared" ca="1" si="19"/>
        <v>1407209.392672311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69626.263982426244</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27037.102381934543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7465.5</v>
      </c>
      <c r="C8" s="1028">
        <f>'SEAP template'!C76</f>
        <v>2474.9999999999995</v>
      </c>
      <c r="D8" s="1028">
        <f>'SEAP template'!D76</f>
        <v>0</v>
      </c>
      <c r="E8" s="1028">
        <f>'SEAP template'!E76</f>
        <v>0</v>
      </c>
      <c r="F8" s="1028">
        <f>'SEAP template'!F76</f>
        <v>2911.7647058823527</v>
      </c>
      <c r="G8" s="1028">
        <f>'SEAP template'!G76</f>
        <v>0</v>
      </c>
      <c r="H8" s="1028">
        <f>'SEAP template'!H76</f>
        <v>0</v>
      </c>
      <c r="I8" s="1028">
        <f>'SEAP template'!I76</f>
        <v>8782.9411764705892</v>
      </c>
      <c r="J8" s="1028">
        <f>'SEAP template'!J76</f>
        <v>0</v>
      </c>
      <c r="K8" s="1028">
        <f>'SEAP template'!K76</f>
        <v>0</v>
      </c>
      <c r="L8" s="1028">
        <f>'SEAP template'!L76</f>
        <v>0</v>
      </c>
      <c r="M8" s="1028">
        <f>'SEAP template'!M76</f>
        <v>0</v>
      </c>
      <c r="N8" s="1028">
        <f>'SEAP template'!N76</f>
        <v>0</v>
      </c>
      <c r="O8" s="1028">
        <f>'SEAP template'!O76</f>
        <v>0</v>
      </c>
      <c r="P8" s="1029">
        <f>'SEAP template'!Q76</f>
        <v>777.44117647058818</v>
      </c>
    </row>
    <row r="9" spans="1:16">
      <c r="A9" s="1031" t="s">
        <v>939</v>
      </c>
      <c r="B9" s="1028">
        <f>'SEAP template'!B77</f>
        <v>1858.5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5310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105987.36636436079</v>
      </c>
      <c r="C10" s="1032">
        <f>SUM(C4:C9)</f>
        <v>2474.9999999999995</v>
      </c>
      <c r="D10" s="1032">
        <f t="shared" ref="D10:H10" si="0">SUM(D8:D9)</f>
        <v>0</v>
      </c>
      <c r="E10" s="1032">
        <f t="shared" si="0"/>
        <v>0</v>
      </c>
      <c r="F10" s="1032">
        <f t="shared" si="0"/>
        <v>2911.7647058823527</v>
      </c>
      <c r="G10" s="1032">
        <f t="shared" si="0"/>
        <v>0</v>
      </c>
      <c r="H10" s="1032">
        <f t="shared" si="0"/>
        <v>0</v>
      </c>
      <c r="I10" s="1032">
        <f>SUM(I8:I9)</f>
        <v>8782.9411764705892</v>
      </c>
      <c r="J10" s="1032">
        <f>SUM(J8:J9)</f>
        <v>5310</v>
      </c>
      <c r="K10" s="1032">
        <f t="shared" ref="K10:L10" si="1">SUM(K8:K9)</f>
        <v>0</v>
      </c>
      <c r="L10" s="1032">
        <f t="shared" si="1"/>
        <v>0</v>
      </c>
      <c r="M10" s="1032">
        <f>SUM(M8:M9)</f>
        <v>0</v>
      </c>
      <c r="N10" s="1032">
        <f>SUM(N8:N9)</f>
        <v>0</v>
      </c>
      <c r="O10" s="1032">
        <f>SUM(O8:O9)</f>
        <v>0</v>
      </c>
      <c r="P10" s="1032">
        <f>SUM(P8:P9)</f>
        <v>777.44117647058818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0.20657419244891945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8398.6875</v>
      </c>
      <c r="C17" s="1035">
        <f>'SEAP template'!C87</f>
        <v>2784.3750000000005</v>
      </c>
      <c r="D17" s="1029">
        <f>'SEAP template'!D87</f>
        <v>0</v>
      </c>
      <c r="E17" s="1029">
        <f>'SEAP template'!E87</f>
        <v>0</v>
      </c>
      <c r="F17" s="1029">
        <f>'SEAP template'!F87</f>
        <v>3275.7352941176473</v>
      </c>
      <c r="G17" s="1029">
        <f>'SEAP template'!G87</f>
        <v>0</v>
      </c>
      <c r="H17" s="1029">
        <f>'SEAP template'!H87</f>
        <v>0</v>
      </c>
      <c r="I17" s="1029">
        <f>'SEAP template'!I87</f>
        <v>9880.8088235294108</v>
      </c>
      <c r="J17" s="1029">
        <f>'SEAP template'!J87</f>
        <v>0</v>
      </c>
      <c r="K17" s="1029">
        <f>'SEAP template'!K87</f>
        <v>0</v>
      </c>
      <c r="L17" s="1029">
        <f>'SEAP template'!L87</f>
        <v>0</v>
      </c>
      <c r="M17" s="1029">
        <f>'SEAP template'!M87</f>
        <v>0</v>
      </c>
      <c r="N17" s="1029">
        <f>'SEAP template'!N87</f>
        <v>0</v>
      </c>
      <c r="O17" s="1029">
        <f>'SEAP template'!O87</f>
        <v>0</v>
      </c>
      <c r="P17" s="1029">
        <f>'SEAP template'!Q87</f>
        <v>874.62132352941182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8398.6875</v>
      </c>
      <c r="C20" s="1032">
        <f>SUM(C17:C19)</f>
        <v>2784.3750000000005</v>
      </c>
      <c r="D20" s="1032">
        <f t="shared" ref="D20:H20" si="2">SUM(D17:D19)</f>
        <v>0</v>
      </c>
      <c r="E20" s="1032">
        <f t="shared" si="2"/>
        <v>0</v>
      </c>
      <c r="F20" s="1032">
        <f t="shared" si="2"/>
        <v>3275.7352941176473</v>
      </c>
      <c r="G20" s="1032">
        <f t="shared" si="2"/>
        <v>0</v>
      </c>
      <c r="H20" s="1032">
        <f t="shared" si="2"/>
        <v>0</v>
      </c>
      <c r="I20" s="1032">
        <f>SUM(I17:I19)</f>
        <v>9880.8088235294108</v>
      </c>
      <c r="J20" s="1032">
        <f>SUM(J17:J19)</f>
        <v>0</v>
      </c>
      <c r="K20" s="1032">
        <f t="shared" ref="K20:L20" si="3">SUM(K17:K19)</f>
        <v>0</v>
      </c>
      <c r="L20" s="1032">
        <f t="shared" si="3"/>
        <v>0</v>
      </c>
      <c r="M20" s="1032">
        <f>SUM(M17:M19)</f>
        <v>0</v>
      </c>
      <c r="N20" s="1032">
        <f>SUM(N17:N19)</f>
        <v>0</v>
      </c>
      <c r="O20" s="1032">
        <f>SUM(O17:O19)</f>
        <v>0</v>
      </c>
      <c r="P20" s="1032">
        <f>SUM(P17:P19)</f>
        <v>874.62132352941182</v>
      </c>
    </row>
    <row r="22" spans="1:16">
      <c r="A22" s="473" t="s">
        <v>947</v>
      </c>
      <c r="B22" s="777" t="s">
        <v>941</v>
      </c>
      <c r="C22" s="777">
        <f ca="1">'EF ele_warmte'!B22</f>
        <v>7.8209463957606584E-2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0.20657419244891945</v>
      </c>
      <c r="C17" s="509">
        <f ca="1">'EF ele_warmte'!B22</f>
        <v>7.8209463957606584E-2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1</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19.066666666666666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2019-06-29T16:06:33Z</dcterms:modified>
</cp:coreProperties>
</file>