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15"/>
  <c r="F4"/>
  <c r="F22" s="1"/>
  <c r="G11" i="14"/>
  <c r="G12" i="22"/>
  <c r="G13" i="48"/>
  <c r="H18" i="14"/>
  <c r="O22" i="48"/>
  <c r="P22" i="16"/>
  <c r="Q43" i="14" s="1"/>
  <c r="P8" i="48"/>
  <c r="P26" s="1"/>
  <c r="Q13" i="14"/>
  <c r="Q16" s="1"/>
  <c r="Q27" s="1"/>
  <c r="J63"/>
  <c r="D16" i="15"/>
  <c r="D20" s="1"/>
  <c r="E40" i="14" s="1"/>
  <c r="L46"/>
  <c r="L61" s="1"/>
  <c r="L63" s="1"/>
  <c r="K33" i="48"/>
  <c r="I33"/>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I63"/>
  <c r="H27" i="48"/>
  <c r="H33" s="1"/>
  <c r="H15"/>
  <c r="H20" i="14"/>
  <c r="H22" s="1"/>
  <c r="H27" s="1"/>
  <c r="G9" i="48"/>
  <c r="B9"/>
  <c r="C20" i="14"/>
  <c r="G31" i="48"/>
  <c r="Q13"/>
  <c r="F20" i="14"/>
  <c r="F22" s="1"/>
  <c r="E9" i="48"/>
  <c r="E27" s="1"/>
  <c r="E20" i="14"/>
  <c r="E22" s="1"/>
  <c r="D9" i="48"/>
  <c r="D27" s="1"/>
  <c r="P13" i="14"/>
  <c r="O8" i="48"/>
  <c r="M10"/>
  <c r="M28" s="1"/>
  <c r="N19" i="14"/>
  <c r="E12" i="13"/>
  <c r="F41" i="14" s="1"/>
  <c r="E4" i="48"/>
  <c r="F11" i="14"/>
  <c r="R11" s="1"/>
  <c r="J4" i="48"/>
  <c r="J22" s="1"/>
  <c r="K11" i="14"/>
  <c r="G10" i="48"/>
  <c r="H19" i="14"/>
  <c r="R19" s="1"/>
  <c r="P46"/>
  <c r="P61" s="1"/>
  <c r="P63" s="1"/>
  <c r="C15" i="48"/>
  <c r="R18" i="14"/>
  <c r="P15" i="48"/>
  <c r="Q63" i="14"/>
  <c r="E10"/>
  <c r="P33" i="48"/>
  <c r="D5"/>
  <c r="D15" s="1"/>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33" s="1"/>
  <c r="G15"/>
  <c r="M18" i="22"/>
  <c r="N50" i="14" s="1"/>
  <c r="N52" s="1"/>
  <c r="N61" s="1"/>
  <c r="N20"/>
  <c r="N22" s="1"/>
  <c r="N27" s="1"/>
  <c r="M9" i="48"/>
  <c r="G28"/>
  <c r="Q10"/>
  <c r="O26"/>
  <c r="O33" s="1"/>
  <c r="O15"/>
  <c r="R20" i="14"/>
  <c r="R22" s="1"/>
  <c r="C22"/>
  <c r="Q9" i="48"/>
  <c r="E22"/>
  <c r="Q4"/>
  <c r="H63" i="14"/>
  <c r="J5" i="48"/>
  <c r="K10" i="14"/>
  <c r="E20" i="15"/>
  <c r="F40" i="14" s="1"/>
  <c r="E5" i="48"/>
  <c r="F10" i="14"/>
  <c r="L15" i="48"/>
  <c r="Q7"/>
  <c r="R24" i="14"/>
  <c r="R26" s="1"/>
  <c r="J18" i="16"/>
  <c r="N18"/>
  <c r="E18"/>
  <c r="F18"/>
  <c r="F22" s="1"/>
  <c r="G43" i="14" s="1"/>
  <c r="M27" i="48" l="1"/>
  <c r="M33" s="1"/>
  <c r="M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<sst xmlns="http://schemas.openxmlformats.org/spreadsheetml/2006/main" count="2493" uniqueCount="963">
  <si>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</si>
  <si>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</si>
  <si>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</si>
  <si>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</si>
  <si>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</si>
  <si>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</si>
  <si>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</si>
  <si>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</si>
  <si>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</si>
  <si>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</si>
  <si>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</si>
  <si>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</si>
  <si>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</si>
  <si>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</si>
  <si>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</si>
  <si>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</si>
  <si>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</si>
  <si>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</si>
  <si>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</si>
  <si>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</si>
  <si>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</si>
  <si>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</si>
  <si>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</si>
  <si>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</si>
  <si>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</si>
  <si>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</si>
  <si>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</si>
  <si>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</si>
  <si>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</si>
  <si>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</si>
  <si>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</si>
  <si>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</si>
  <si>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</si>
  <si>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</si>
  <si>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</si>
  <si>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</si>
  <si>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</si>
  <si>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</si>
  <si>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</si>
  <si>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</si>
  <si>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</si>
  <si>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</si>
  <si>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</si>
  <si>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</si>
  <si>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</si>
  <si>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</si>
  <si>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</si>
  <si>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</si>
  <si>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</si>
  <si>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</si>
  <si>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</si>
  <si>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</si>
  <si>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</si>
  <si>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</si>
  <si>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</si>
  <si>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</si>
  <si>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</si>
  <si>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</si>
  <si>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</si>
  <si>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</si>
  <si>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</si>
  <si>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</si>
  <si>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</si>
  <si>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</si>
  <si>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</si>
  <si>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</si>
  <si>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</si>
  <si>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</si>
  <si>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</si>
  <si>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</si>
  <si>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</si>
  <si>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</si>
  <si>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</si>
  <si>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</si>
  <si>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</si>
  <si>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</si>
  <si>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</si>
  <si>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</si>
  <si>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</si>
  <si>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</si>
  <si>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</si>
  <si>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</si>
  <si>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</si>
  <si>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</si>
  <si>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</si>
  <si>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</si>
  <si>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</si>
  <si>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</si>
  <si>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</si>
  <si>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</si>
  <si>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</si>
  <si>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</si>
  <si>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</si>
  <si>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</si>
  <si>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</si>
  <si>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</si>
  <si>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</si>
  <si>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</si>
  <si>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</si>
  <si>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</si>
  <si>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</si>
  <si>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</si>
  <si>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</si>
  <si>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</si>
  <si>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</si>
  <si>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</si>
  <si>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</si>
  <si>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</si>
  <si>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</si>
  <si>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</si>
  <si>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</si>
  <si>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</si>
  <si>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</si>
  <si>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</si>
  <si>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</si>
  <si>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</si>
  <si>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</si>
  <si>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</si>
  <si>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</si>
  <si>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</si>
  <si>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</si>
  <si>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</si>
  <si>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</si>
  <si>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</si>
  <si>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</si>
  <si>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</si>
  <si>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</si>
  <si>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</si>
  <si>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</si>
  <si>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</si>
  <si>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</si>
  <si>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</si>
  <si>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</si>
  <si>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</si>
  <si>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</si>
  <si>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</si>
  <si>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</si>
  <si>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</si>
  <si>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</si>
  <si>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</si>
  <si>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</si>
  <si>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</si>
  <si>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</si>
  <si>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</si>
  <si>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</si>
  <si>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</si>
  <si>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</si>
  <si>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</si>
  <si>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</si>
  <si>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</si>
  <si>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</si>
  <si>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</si>
  <si>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</si>
  <si>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</si>
  <si>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</si>
  <si>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</si>
  <si>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</si>
  <si>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</si>
  <si>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</si>
  <si>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</si>
  <si>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</si>
  <si>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</si>
  <si>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</si>
  <si>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</si>
  <si>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</si>
  <si>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</si>
  <si>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</si>
  <si>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</si>
  <si>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</si>
  <si>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</si>
  <si>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</si>
  <si>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</si>
  <si>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</si>
  <si>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</si>
  <si>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</si>
  <si>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</si>
  <si>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</si>
  <si>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</si>
  <si>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</si>
  <si>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</si>
  <si>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</si>
  <si>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</si>
  <si>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</si>
  <si>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</si>
  <si>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</si>
  <si>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</si>
  <si>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</si>
  <si>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</si>
  <si>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</si>
  <si>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</si>
  <si>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</si>
  <si>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</si>
  <si>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</si>
  <si>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</si>
  <si>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</si>
  <si>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</si>
  <si>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</si>
  <si>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</si>
  <si>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</si>
  <si>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</si>
  <si>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</si>
  <si>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</si>
  <si>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</si>
  <si>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</si>
  <si>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</si>
  <si>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</si>
  <si>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</si>
  <si>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</si>
  <si>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</si>
  <si>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</si>
  <si>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</si>
  <si>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</si>
  <si>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</si>
  <si>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</si>
  <si>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</si>
  <si>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</si>
  <si>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</si>
  <si>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</si>
  <si>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</si>
  <si>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</si>
  <si>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</si>
  <si>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</si>
  <si>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</si>
  <si>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</si>
  <si>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</si>
  <si>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</si>
  <si>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</si>
  <si>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</si>
  <si>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</si>
  <si>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</si>
  <si>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</si>
  <si>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</si>
  <si>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</si>
  <si>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</si>
  <si>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</si>
  <si>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</si>
  <si>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</si>
  <si>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</si>
  <si>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</si>
  <si>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</si>
  <si>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</si>
  <si>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</si>
  <si>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</si>
  <si>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</si>
  <si>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</si>
  <si>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</si>
  <si>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</si>
  <si>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</si>
  <si>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</si>
  <si>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</si>
  <si>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</si>
  <si>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</si>
  <si>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</si>
  <si>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</si>
  <si>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</si>
  <si>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</si>
  <si>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</si>
  <si>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</si>
  <si>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</si>
  <si>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</si>
  <si>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</si>
  <si>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</si>
  <si>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</si>
  <si>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</si>
  <si>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</si>
  <si>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</si>
  <si>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</si>
  <si>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</si>
  <si>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</si>
  <si>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</si>
  <si>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</si>
  <si>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</si>
  <si>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</si>
  <si>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</si>
  <si>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</si>
  <si>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</si>
  <si>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</si>
  <si>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</si>
  <si>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</si>
  <si>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</si>
  <si>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</si>
  <si>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</si>
  <si>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</si>
  <si>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</si>
  <si>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</si>
  <si>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</si>
  <si>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</si>
  <si>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</si>
  <si>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</si>
  <si>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</si>
  <si>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</si>
  <si>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</si>
  <si>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</si>
  <si>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</si>
  <si>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</si>
  <si>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</si>
  <si>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</si>
  <si>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</si>
  <si>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</si>
  <si>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</si>
  <si>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</si>
  <si>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</si>
  <si>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</si>
  <si>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</si>
  <si>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</si>
  <si>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</si>
  <si>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</si>
  <si>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</si>
  <si>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</si>
  <si>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</si>
  <si>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</si>
  <si>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</si>
  <si>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</si>
  <si>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</si>
  <si>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</si>
  <si>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</si>
  <si>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</si>
  <si>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</si>
  <si>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</si>
  <si>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</si>
  <si>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</si>
  <si>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</si>
  <si>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</si>
  <si>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</si>
  <si>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</si>
  <si>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</si>
  <si>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</si>
  <si>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</si>
  <si>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</si>
  <si>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</si>
  <si>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</si>
  <si>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</si>
  <si>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</si>
  <si>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</si>
  <si>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</si>
  <si>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</si>
  <si>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</si>
  <si>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</si>
  <si>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</si>
  <si>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</si>
  <si>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</si>
  <si>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</si>
  <si>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</si>
  <si>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</si>
  <si>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</si>
  <si>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</si>
  <si>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</si>
  <si>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</si>
  <si>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</si>
  <si>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</si>
  <si>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</si>
  <si>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</si>
  <si>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</si>
  <si>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</si>
  <si>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</si>
  <si>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</si>
  <si>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</si>
  <si>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</si>
  <si>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</si>
  <si>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</si>
  <si>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</si>
  <si>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</si>
  <si>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</si>
  <si>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</si>
  <si>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</si>
  <si>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</si>
  <si>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</si>
  <si>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</si>
  <si>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</si>
  <si>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</si>
  <si>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</si>
  <si>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</si>
  <si>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</si>
  <si>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</si>
  <si>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</si>
  <si>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</si>
  <si>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</si>
  <si>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</si>
  <si>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</si>
  <si>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</si>
  <si>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</si>
  <si>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</si>
  <si>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</si>
  <si>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</si>
  <si>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</si>
  <si>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</si>
  <si>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</si>
  <si>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</si>
  <si>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</si>
  <si>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</si>
  <si>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</si>
  <si>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</si>
  <si>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</si>
  <si>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</si>
  <si>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</si>
  <si>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</si>
  <si>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</si>
  <si>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</si>
  <si>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</si>
  <si>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</si>
  <si>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</si>
  <si>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</si>
  <si>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</si>
  <si>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</si>
  <si>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</si>
  <si>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</si>
  <si>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</si>
  <si>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</si>
  <si>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</si>
  <si>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</si>
  <si>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</si>
  <si>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</si>
  <si>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</si>
  <si>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</si>
  <si>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</si>
  <si>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</si>
  <si>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</si>
  <si>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</si>
  <si>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</si>
  <si>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</si>
  <si>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</si>
  <si>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</si>
  <si>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</si>
  <si>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</si>
  <si>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</si>
  <si>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</si>
  <si>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</si>
  <si>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</si>
  <si>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</si>
  <si>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</si>
  <si>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</si>
  <si>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</si>
  <si>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</si>
  <si>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</si>
  <si>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</si>
  <si>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</si>
  <si>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</si>
  <si>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</si>
  <si>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</si>
  <si>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</si>
  <si>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</si>
  <si>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</si>
  <si>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</si>
  <si>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</si>
  <si>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</si>
  <si>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</si>
  <si>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</si>
  <si>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</si>
  <si>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</si>
  <si>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</si>
  <si>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</si>
  <si>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</si>
  <si>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</si>
  <si>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</si>
  <si>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</si>
  <si>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</si>
  <si>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</si>
  <si>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</si>
  <si>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</si>
  <si>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</si>
  <si>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</si>
  <si>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</si>
  <si>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</si>
  <si>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</si>
  <si>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</si>
  <si>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</si>
  <si>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</si>
  <si>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</si>
  <si>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</si>
  <si>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</si>
  <si>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</si>
  <si>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</si>
  <si>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</si>
  <si>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</si>
  <si>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</si>
  <si>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</si>
  <si>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</si>
  <si>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</si>
  <si>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</si>
  <si>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</si>
  <si>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</si>
  <si>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</si>
  <si>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</si>
  <si>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</si>
  <si>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</si>
  <si>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</si>
  <si>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</si>
  <si>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</si>
  <si>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</si>
  <si>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</si>
  <si>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</si>
  <si>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</si>
  <si>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</si>
  <si>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</si>
  <si>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</si>
  <si>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</si>
  <si>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</si>
  <si>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</si>
  <si>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</si>
  <si>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</si>
  <si>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</si>
  <si>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</si>
  <si>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</si>
  <si>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</si>
  <si>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</si>
  <si>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</si>
  <si>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</si>
  <si>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</si>
  <si>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</si>
  <si>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</si>
  <si>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</si>
  <si>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</si>
  <si>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</si>
  <si>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</si>
  <si>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</si>
  <si>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</si>
  <si>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</si>
  <si>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</si>
  <si>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</si>
  <si>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</si>
  <si>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</si>
  <si>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</si>
  <si>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</si>
  <si>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</si>
  <si>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</si>
  <si>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</si>
  <si>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</si>
  <si>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</si>
  <si>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</si>
  <si>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</si>
  <si>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</si>
  <si>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</si>
  <si>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</si>
  <si>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</si>
  <si>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</si>
  <si>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</si>
  <si>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</si>
  <si>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</si>
  <si>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</si>
  <si>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</si>
  <si>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</si>
  <si>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</si>
  <si>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</si>
  <si>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</si>
  <si>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</si>
  <si>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</si>
  <si>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</si>
  <si>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</si>
  <si>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</si>
  <si>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</si>
  <si>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</si>
  <si>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</si>
  <si>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</si>
  <si>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</si>
  <si>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</si>
  <si>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</si>
  <si>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</si>
  <si>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</si>
  <si>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</si>
  <si>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</si>
  <si>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</si>
  <si>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</si>
  <si>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</si>
  <si>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</si>
  <si>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</si>
  <si>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</si>
  <si>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</si>
  <si>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</si>
  <si>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</si>
  <si>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</si>
  <si>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</si>
  <si>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</si>
  <si>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</si>
  <si>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</si>
  <si>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</si>
  <si>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</si>
  <si>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</si>
  <si>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</si>
  <si>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</si>
  <si>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</si>
  <si>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</si>
  <si>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</si>
  <si>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</si>
  <si>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</si>
  <si>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</si>
  <si>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</si>
  <si>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</si>
  <si>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</si>
  <si>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</si>
  <si>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</si>
  <si>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</si>
  <si>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</si>
  <si>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</si>
  <si>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</si>
  <si>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</si>
  <si>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</si>
  <si>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</si>
  <si>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</si>
  <si>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</si>
  <si>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</si>
  <si>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</si>
  <si>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</si>
  <si>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</si>
  <si>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</si>
  <si>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</si>
  <si>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</si>
  <si>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</si>
  <si>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</si>
  <si>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</si>
  <si>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</si>
  <si>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</si>
  <si>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</si>
  <si>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</si>
  <si>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</si>
  <si>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</si>
  <si>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</si>
  <si>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</si>
  <si>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</si>
  <si>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</si>
  <si>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</si>
  <si>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</si>
  <si>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</si>
  <si>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</si>
  <si>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</si>
  <si>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</si>
  <si>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</si>
  <si>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</si>
  <si>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</si>
  <si>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</si>
  <si>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</si>
  <si>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</si>
  <si>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</si>
  <si>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</si>
  <si>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</si>
  <si>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</si>
  <si>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</si>
  <si>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</si>
  <si>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</si>
  <si>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</si>
  <si>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</si>
  <si>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</si>
  <si>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</si>
  <si>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</si>
  <si>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</si>
  <si>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</si>
  <si>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</si>
  <si>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</si>
  <si>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</si>
  <si>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</si>
  <si>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</si>
  <si>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</si>
  <si>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</si>
  <si>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</si>
  <si>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</si>
  <si>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</si>
  <si>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</si>
  <si>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</si>
  <si>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</si>
  <si>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</si>
  <si>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</si>
  <si>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</si>
  <si>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</si>
  <si>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</si>
  <si>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</si>
  <si>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</si>
  <si>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</si>
  <si>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</si>
  <si>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</si>
  <si>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</si>
  <si>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</si>
  <si>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</si>
  <si>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</si>
  <si>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</si>
  <si>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</si>
  <si>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</si>
  <si>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</si>
  <si>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</si>
  <si>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</si>
  <si>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</si>
  <si>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</si>
  <si>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</si>
  <si>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</si>
  <si>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</si>
  <si>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</si>
  <si>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</si>
  <si>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</si>
  <si>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</si>
  <si>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</si>
  <si>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</si>
  <si>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</si>
  <si>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</si>
  <si>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</si>
  <si>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</si>
  <si>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</si>
  <si>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</si>
  <si>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</si>
  <si>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</si>
  <si>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</si>
  <si>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</si>
  <si>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</si>
  <si>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</si>
  <si>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</si>
  <si>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</si>
  <si>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</si>
  <si>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</si>
  <si>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</si>
  <si>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</si>
  <si>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</si>
  <si>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</si>
  <si>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</si>
  <si>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</si>
  <si>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</si>
  <si>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</si>
  <si>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</si>
  <si>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</si>
  <si>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</si>
  <si>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</si>
  <si>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</si>
  <si>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</si>
  <si>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</si>
  <si>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</si>
  <si>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</si>
  <si>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</si>
  <si>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</si>
  <si>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</si>
  <si>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</si>
  <si>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</si>
  <si>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</si>
  <si>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</si>
  <si>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</si>
  <si>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</si>
  <si>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</si>
  <si>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</si>
  <si>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</si>
  <si>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</si>
  <si>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</si>
  <si>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</si>
  <si>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</si>
  <si>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</si>
  <si>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</si>
  <si>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</si>
  <si>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</si>
  <si>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</si>
  <si>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</si>
  <si>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</si>
  <si>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</si>
  <si>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</si>
  <si>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</si>
  <si>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</si>
  <si>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</si>
  <si>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</si>
  <si>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</si>
  <si>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</si>
  <si>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</si>
  <si>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</si>
  <si>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</si>
  <si>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</si>
  <si>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</si>
  <si>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</si>
  <si>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</si>
  <si>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</si>
  <si>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</si>
  <si>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</si>
  <si>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</si>
  <si>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</si>
  <si>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</si>
  <si>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</si>
  <si>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</si>
  <si>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</si>
  <si>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</si>
  <si>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</si>
  <si>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</si>
  <si>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</si>
  <si>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</si>
  <si>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</si>
  <si>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</si>
  <si>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</si>
  <si>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</si>
  <si>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</si>
  <si>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</si>
  <si>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</si>
  <si>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</si>
  <si>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</si>
  <si>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</si>
  <si>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</si>
  <si>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</si>
  <si>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</si>
  <si>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</si>
  <si>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</si>
  <si>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</si>
  <si>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</si>
  <si>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</si>
  <si>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</si>
  <si>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</si>
  <si>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</si>
  <si>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</si>
  <si>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</si>
  <si>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</si>
  <si>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</si>
  <si>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</si>
  <si>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</si>
  <si>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</si>
  <si>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</si>
  <si>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</si>
  <si>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</si>
  <si>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</si>
  <si>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</si>
  <si>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</si>
  <si>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</si>
  <si>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</si>
  <si>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</si>
  <si>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</si>
  <si>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</si>
  <si>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</si>
  <si>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</si>
  <si>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</si>
  <si>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</si>
  <si>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</si>
  <si>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</si>
  <si>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</si>
  <si>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</si>
  <si>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</si>
  <si>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</si>
  <si>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</si>
  <si>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</si>
  <si>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</si>
  <si>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</si>
  <si>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</si>
  <si>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</si>
  <si>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</si>
  <si>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</si>
  <si>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</si>
  <si>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</si>
  <si>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</si>
  <si>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</si>
  <si>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</si>
  <si>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</si>
  <si>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</si>
  <si>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</si>
  <si>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</si>
  <si>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</si>
  <si>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</si>
  <si>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</si>
  <si>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</si>
  <si>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</si>
  <si>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</si>
  <si>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</si>
  <si>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</si>
  <si>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</si>
  <si>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</si>
  <si>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</si>
  <si>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</si>
  <si>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</si>
  <si>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</si>
  <si>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</si>
  <si>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</si>
  <si>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</si>
  <si>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</si>
  <si>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</si>
  <si>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</si>
  <si>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</si>
  <si>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</si>
  <si>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</si>
  <si>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</si>
  <si>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</si>
  <si>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</si>
  <si>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</si>
  <si>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</si>
  <si>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</si>
  <si>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</si>
  <si>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</si>
  <si>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</si>
  <si>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</si>
  <si>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</si>
  <si>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</si>
  <si>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</si>
  <si>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</si>
  <si>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</si>
  <si>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</si>
  <si>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</si>
  <si>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</si>
  <si>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</si>
  <si>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</si>
  <si>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</si>
  <si>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</si>
  <si>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</si>
  <si>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</si>
  <si>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</si>
  <si>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</si>
  <si>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</si>
  <si>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</si>
  <si>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</si>
  <si>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</si>
  <si>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</si>
  <si>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</si>
  <si>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</si>
  <si>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</si>
  <si>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</si>
  <si>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</si>
  <si>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</si>
  <si>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</si>
  <si>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</si>
  <si>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</si>
  <si>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</si>
  <si>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</si>
  <si>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</si>
  <si>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</si>
  <si>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</si>
  <si>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</si>
  <si>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</si>
  <si>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</si>
  <si>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</si>
  <si>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</si>
  <si>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</si>
  <si>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</si>
  <si>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</si>
  <si>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</si>
  <si>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</si>
  <si>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</si>
  <si>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</si>
  <si>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</si>
  <si>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</si>
  <si>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</si>
  <si>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</si>
  <si>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</si>
  <si>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</si>
  <si>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</si>
  <si>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</si>
  <si>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</si>
  <si>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</si>
  <si>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</si>
  <si>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</si>
  <si>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</si>
  <si>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</si>
  <si>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</si>
  <si>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</si>
  <si>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</si>
  <si>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</si>
  <si>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</si>
  <si>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</si>
  <si>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</si>
  <si>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</si>
  <si>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</si>
  <si>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</si>
  <si>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</si>
  <si>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</si>
  <si>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</si>
  <si>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</si>
  <si>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</si>
  <si>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</si>
  <si>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</si>
  <si>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</si>
  <si>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</si>
  <si>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</si>
  <si>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44020</t>
  </si>
  <si>
    <t>GAVERE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</si>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</sst>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44020</v>
      </c>
      <c r="B6" s="396"/>
      <c r="C6" s="397"/>
    </row>
    <row r="7" spans="1:7" s="394" customFormat="1" ht="15.75" customHeight="1">
      <c r="A7" s="398" t="str">
        <f>txtMunicipality</f>
        <v>GAVERE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0.21216226349728626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0.21216226349728626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44020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5022</v>
      </c>
      <c r="C9" s="336">
        <v>5492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1766</v>
      </c>
    </row>
    <row r="15" spans="1:6">
      <c r="A15" s="1277" t="s">
        <v>184</v>
      </c>
      <c r="B15" s="333">
        <v>13</v>
      </c>
    </row>
    <row r="16" spans="1:6">
      <c r="A16" s="1277" t="s">
        <v>6</v>
      </c>
      <c r="B16" s="333">
        <v>459</v>
      </c>
    </row>
    <row r="17" spans="1:6">
      <c r="A17" s="1277" t="s">
        <v>7</v>
      </c>
      <c r="B17" s="333">
        <v>277</v>
      </c>
    </row>
    <row r="18" spans="1:6">
      <c r="A18" s="1277" t="s">
        <v>8</v>
      </c>
      <c r="B18" s="333">
        <v>450</v>
      </c>
    </row>
    <row r="19" spans="1:6">
      <c r="A19" s="1277" t="s">
        <v>9</v>
      </c>
      <c r="B19" s="333">
        <v>417</v>
      </c>
    </row>
    <row r="20" spans="1:6">
      <c r="A20" s="1277" t="s">
        <v>10</v>
      </c>
      <c r="B20" s="333">
        <v>361</v>
      </c>
    </row>
    <row r="21" spans="1:6">
      <c r="A21" s="1277" t="s">
        <v>11</v>
      </c>
      <c r="B21" s="333">
        <v>216</v>
      </c>
    </row>
    <row r="22" spans="1:6">
      <c r="A22" s="1277" t="s">
        <v>12</v>
      </c>
      <c r="B22" s="333">
        <v>2611</v>
      </c>
    </row>
    <row r="23" spans="1:6">
      <c r="A23" s="1277" t="s">
        <v>13</v>
      </c>
      <c r="B23" s="333">
        <v>13</v>
      </c>
    </row>
    <row r="24" spans="1:6">
      <c r="A24" s="1277" t="s">
        <v>14</v>
      </c>
      <c r="B24" s="333">
        <v>1</v>
      </c>
    </row>
    <row r="25" spans="1:6">
      <c r="A25" s="1277" t="s">
        <v>15</v>
      </c>
      <c r="B25" s="333">
        <v>72</v>
      </c>
    </row>
    <row r="26" spans="1:6">
      <c r="A26" s="1277" t="s">
        <v>16</v>
      </c>
      <c r="B26" s="333">
        <v>122</v>
      </c>
    </row>
    <row r="27" spans="1:6">
      <c r="A27" s="1277" t="s">
        <v>17</v>
      </c>
      <c r="B27" s="333">
        <v>6</v>
      </c>
    </row>
    <row r="28" spans="1:6">
      <c r="A28" s="1277" t="s">
        <v>18</v>
      </c>
      <c r="B28" s="333">
        <v>68983</v>
      </c>
    </row>
    <row r="29" spans="1:6">
      <c r="A29" s="1277" t="s">
        <v>957</v>
      </c>
      <c r="B29" s="333">
        <v>164</v>
      </c>
    </row>
    <row r="30" spans="1:6">
      <c r="A30" s="1273" t="s">
        <v>958</v>
      </c>
      <c r="B30" s="1273">
        <v>34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8807</v>
      </c>
    </row>
    <row r="39" spans="1:6">
      <c r="A39" s="1277" t="s">
        <v>30</v>
      </c>
      <c r="B39" s="1277" t="s">
        <v>31</v>
      </c>
      <c r="C39" s="333">
        <v>1518</v>
      </c>
      <c r="D39" s="333">
        <v>23765785.675652899</v>
      </c>
      <c r="E39" s="333">
        <v>4756</v>
      </c>
      <c r="F39" s="333">
        <v>25185061.924899999</v>
      </c>
    </row>
    <row r="40" spans="1:6">
      <c r="A40" s="1277" t="s">
        <v>30</v>
      </c>
      <c r="B40" s="1277" t="s">
        <v>29</v>
      </c>
      <c r="C40" s="333">
        <v>0</v>
      </c>
      <c r="D40" s="333">
        <v>0</v>
      </c>
      <c r="E40" s="333">
        <v>0</v>
      </c>
      <c r="F40" s="333">
        <v>0</v>
      </c>
    </row>
    <row r="41" spans="1:6">
      <c r="A41" s="1277" t="s">
        <v>32</v>
      </c>
      <c r="B41" s="1277" t="s">
        <v>33</v>
      </c>
      <c r="C41" s="333">
        <v>28</v>
      </c>
      <c r="D41" s="333">
        <v>321746.84802516497</v>
      </c>
      <c r="E41" s="333">
        <v>139</v>
      </c>
      <c r="F41" s="333">
        <v>2083275.97276969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12</v>
      </c>
      <c r="F44" s="333">
        <v>115357.78740427599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199333.760645587</v>
      </c>
    </row>
    <row r="48" spans="1:6">
      <c r="A48" s="1277" t="s">
        <v>32</v>
      </c>
      <c r="B48" s="1277" t="s">
        <v>29</v>
      </c>
      <c r="C48" s="333">
        <v>25</v>
      </c>
      <c r="D48" s="333">
        <v>1708803.2428075499</v>
      </c>
      <c r="E48" s="333">
        <v>26</v>
      </c>
      <c r="F48" s="333">
        <v>2994378.2219114299</v>
      </c>
    </row>
    <row r="49" spans="1:6">
      <c r="A49" s="1277" t="s">
        <v>32</v>
      </c>
      <c r="B49" s="1277" t="s">
        <v>40</v>
      </c>
      <c r="C49" s="333">
        <v>0</v>
      </c>
      <c r="D49" s="333">
        <v>0</v>
      </c>
      <c r="E49" s="333">
        <v>0</v>
      </c>
      <c r="F49" s="333">
        <v>0</v>
      </c>
    </row>
    <row r="50" spans="1:6">
      <c r="A50" s="1277" t="s">
        <v>32</v>
      </c>
      <c r="B50" s="1277" t="s">
        <v>41</v>
      </c>
      <c r="C50" s="333">
        <v>7</v>
      </c>
      <c r="D50" s="333">
        <v>559654.21872506605</v>
      </c>
      <c r="E50" s="333">
        <v>18</v>
      </c>
      <c r="F50" s="333">
        <v>539284.72248676501</v>
      </c>
    </row>
    <row r="51" spans="1:6">
      <c r="A51" s="1277" t="s">
        <v>42</v>
      </c>
      <c r="B51" s="1277" t="s">
        <v>43</v>
      </c>
      <c r="C51" s="333">
        <v>0</v>
      </c>
      <c r="D51" s="333">
        <v>0</v>
      </c>
      <c r="E51" s="333">
        <v>64</v>
      </c>
      <c r="F51" s="333">
        <v>566002.18868508597</v>
      </c>
    </row>
    <row r="52" spans="1:6">
      <c r="A52" s="1277" t="s">
        <v>42</v>
      </c>
      <c r="B52" s="1277" t="s">
        <v>29</v>
      </c>
      <c r="C52" s="333">
        <v>5</v>
      </c>
      <c r="D52" s="333">
        <v>289414.571404688</v>
      </c>
      <c r="E52" s="333">
        <v>10</v>
      </c>
      <c r="F52" s="333">
        <v>381784.697771798</v>
      </c>
    </row>
    <row r="53" spans="1:6">
      <c r="A53" s="1277" t="s">
        <v>44</v>
      </c>
      <c r="B53" s="1277" t="s">
        <v>45</v>
      </c>
      <c r="C53" s="333">
        <v>64</v>
      </c>
      <c r="D53" s="333">
        <v>1199389.55333432</v>
      </c>
      <c r="E53" s="333">
        <v>221</v>
      </c>
      <c r="F53" s="333">
        <v>1744702.47293248</v>
      </c>
    </row>
    <row r="54" spans="1:6">
      <c r="A54" s="1277" t="s">
        <v>46</v>
      </c>
      <c r="B54" s="1277" t="s">
        <v>47</v>
      </c>
      <c r="C54" s="333">
        <v>0</v>
      </c>
      <c r="D54" s="333">
        <v>0</v>
      </c>
      <c r="E54" s="333">
        <v>1</v>
      </c>
      <c r="F54" s="333">
        <v>995276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286907.51968073403</v>
      </c>
      <c r="E57" s="333">
        <v>59</v>
      </c>
      <c r="F57" s="333">
        <v>1001783.2933211901</v>
      </c>
    </row>
    <row r="58" spans="1:6">
      <c r="A58" s="1277" t="s">
        <v>49</v>
      </c>
      <c r="B58" s="1277" t="s">
        <v>51</v>
      </c>
      <c r="C58" s="333">
        <v>0</v>
      </c>
      <c r="D58" s="333">
        <v>0</v>
      </c>
      <c r="E58" s="333">
        <v>25</v>
      </c>
      <c r="F58" s="333">
        <v>1157212.6262087401</v>
      </c>
    </row>
    <row r="59" spans="1:6">
      <c r="A59" s="1277" t="s">
        <v>49</v>
      </c>
      <c r="B59" s="1277" t="s">
        <v>52</v>
      </c>
      <c r="C59" s="333">
        <v>27</v>
      </c>
      <c r="D59" s="333">
        <v>1289995.02549421</v>
      </c>
      <c r="E59" s="333">
        <v>144</v>
      </c>
      <c r="F59" s="333">
        <v>4720950.6578695402</v>
      </c>
    </row>
    <row r="60" spans="1:6">
      <c r="A60" s="1277" t="s">
        <v>49</v>
      </c>
      <c r="B60" s="1277" t="s">
        <v>53</v>
      </c>
      <c r="C60" s="333">
        <v>17</v>
      </c>
      <c r="D60" s="333">
        <v>620279.75955673296</v>
      </c>
      <c r="E60" s="333">
        <v>80</v>
      </c>
      <c r="F60" s="333">
        <v>1222438.4893922401</v>
      </c>
    </row>
    <row r="61" spans="1:6">
      <c r="A61" s="1277" t="s">
        <v>49</v>
      </c>
      <c r="B61" s="1277" t="s">
        <v>54</v>
      </c>
      <c r="C61" s="333">
        <v>58</v>
      </c>
      <c r="D61" s="333">
        <v>3769775.8098958</v>
      </c>
      <c r="E61" s="333">
        <v>151</v>
      </c>
      <c r="F61" s="333">
        <v>1984794.92420513</v>
      </c>
    </row>
    <row r="62" spans="1:6">
      <c r="A62" s="1277" t="s">
        <v>49</v>
      </c>
      <c r="B62" s="1277" t="s">
        <v>55</v>
      </c>
      <c r="C62" s="333">
        <v>5</v>
      </c>
      <c r="D62" s="333">
        <v>355081.22914546402</v>
      </c>
      <c r="E62" s="333">
        <v>12</v>
      </c>
      <c r="F62" s="333">
        <v>155197.289786087</v>
      </c>
    </row>
    <row r="63" spans="1:6">
      <c r="A63" s="1277" t="s">
        <v>49</v>
      </c>
      <c r="B63" s="1277" t="s">
        <v>29</v>
      </c>
      <c r="C63" s="333">
        <v>67</v>
      </c>
      <c r="D63" s="333">
        <v>5075763.7591040796</v>
      </c>
      <c r="E63" s="333">
        <v>77</v>
      </c>
      <c r="F63" s="333">
        <v>2913266.7401590198</v>
      </c>
    </row>
    <row r="64" spans="1:6">
      <c r="A64" s="1277" t="s">
        <v>56</v>
      </c>
      <c r="B64" s="1277" t="s">
        <v>57</v>
      </c>
      <c r="C64" s="333">
        <v>0</v>
      </c>
      <c r="D64" s="333">
        <v>0</v>
      </c>
      <c r="E64" s="333">
        <v>0</v>
      </c>
      <c r="F64" s="333">
        <v>0</v>
      </c>
    </row>
    <row r="65" spans="1:6">
      <c r="A65" s="1277" t="s">
        <v>56</v>
      </c>
      <c r="B65" s="1277" t="s">
        <v>29</v>
      </c>
      <c r="C65" s="333">
        <v>1</v>
      </c>
      <c r="D65" s="333">
        <v>26198.306366016899</v>
      </c>
      <c r="E65" s="333">
        <v>1</v>
      </c>
      <c r="F65" s="333">
        <v>7459.1786482545003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144725.07145842499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31297653</v>
      </c>
      <c r="E73" s="333">
        <v>33501940.189158347</v>
      </c>
      <c r="F73" s="333">
        <v>31596542</v>
      </c>
    </row>
    <row r="74" spans="1:6">
      <c r="A74" s="1277" t="s">
        <v>64</v>
      </c>
      <c r="B74" s="1277" t="s">
        <v>774</v>
      </c>
      <c r="C74" s="1288" t="s">
        <v>775</v>
      </c>
      <c r="D74" s="333">
        <v>2497509.5340804067</v>
      </c>
      <c r="E74" s="333">
        <v>2654618.7752604648</v>
      </c>
      <c r="F74" s="333">
        <v>2548636.3275698083</v>
      </c>
    </row>
    <row r="75" spans="1:6">
      <c r="A75" s="1277" t="s">
        <v>65</v>
      </c>
      <c r="B75" s="1277" t="s">
        <v>772</v>
      </c>
      <c r="C75" s="1288" t="s">
        <v>776</v>
      </c>
      <c r="D75" s="333">
        <v>34208714</v>
      </c>
      <c r="E75" s="333">
        <v>37261893.042814918</v>
      </c>
      <c r="F75" s="333">
        <v>34807219</v>
      </c>
    </row>
    <row r="76" spans="1:6">
      <c r="A76" s="1277" t="s">
        <v>65</v>
      </c>
      <c r="B76" s="1277" t="s">
        <v>774</v>
      </c>
      <c r="C76" s="1288" t="s">
        <v>777</v>
      </c>
      <c r="D76" s="333">
        <v>1783804.5340804067</v>
      </c>
      <c r="E76" s="333">
        <v>1920915.3564543403</v>
      </c>
      <c r="F76" s="333">
        <v>1835220.3275698083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344322.9318391867</v>
      </c>
      <c r="C83" s="333">
        <v>314582.9834744875</v>
      </c>
      <c r="D83" s="333">
        <v>310051.34486038313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1239.3166624445143</v>
      </c>
    </row>
    <row r="92" spans="1:6">
      <c r="A92" s="1273" t="s">
        <v>69</v>
      </c>
      <c r="B92" s="336">
        <v>728.17708585549531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370</v>
      </c>
    </row>
    <row r="98" spans="1:6">
      <c r="A98" s="1277" t="s">
        <v>72</v>
      </c>
      <c r="B98" s="333">
        <v>0</v>
      </c>
    </row>
    <row r="99" spans="1:6">
      <c r="A99" s="1277" t="s">
        <v>73</v>
      </c>
      <c r="B99" s="333">
        <v>53</v>
      </c>
    </row>
    <row r="100" spans="1:6">
      <c r="A100" s="1277" t="s">
        <v>74</v>
      </c>
      <c r="B100" s="333">
        <v>595</v>
      </c>
    </row>
    <row r="101" spans="1:6">
      <c r="A101" s="1277" t="s">
        <v>75</v>
      </c>
      <c r="B101" s="333">
        <v>73</v>
      </c>
    </row>
    <row r="102" spans="1:6">
      <c r="A102" s="1277" t="s">
        <v>76</v>
      </c>
      <c r="B102" s="333">
        <v>77</v>
      </c>
    </row>
    <row r="103" spans="1:6">
      <c r="A103" s="1277" t="s">
        <v>77</v>
      </c>
      <c r="B103" s="333">
        <v>198</v>
      </c>
    </row>
    <row r="104" spans="1:6">
      <c r="A104" s="1277" t="s">
        <v>78</v>
      </c>
      <c r="B104" s="333">
        <v>3116</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9</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4</v>
      </c>
    </row>
    <row r="131" spans="1:6">
      <c r="A131" s="1277" t="s">
        <v>296</v>
      </c>
      <c r="B131" s="333">
        <v>2</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49199.941437582645</v>
      </c>
      <c r="C3" s="43" t="s">
        <v>170</v>
      </c>
      <c r="D3" s="43"/>
      <c r="E3" s="156"/>
      <c r="F3" s="43"/>
      <c r="G3" s="43"/>
      <c r="H3" s="43"/>
      <c r="I3" s="43"/>
      <c r="J3" s="43"/>
      <c r="K3" s="96"/>
    </row>
    <row r="4" spans="1:11">
      <c r="A4" s="364" t="s">
        <v>171</v>
      </c>
      <c r="B4" s="49">
        <f>IF(ISERROR('SEAP template'!B78),0,'SEAP template'!B78)</f>
        <v>1967.4937483000097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0.21216226349728626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995.27599999999995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995.27599999999995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0.21216226349728626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211.16000896452508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25185.061924899997</v>
      </c>
      <c r="C5" s="17">
        <f>IF(ISERROR('Eigen informatie GS &amp; warmtenet'!B57),0,'Eigen informatie GS &amp; warmtenet'!B57)</f>
        <v>0</v>
      </c>
      <c r="D5" s="30">
        <f>(SUM(HH_hh_gas_kWh,HH_rest_gas_kWh)/1000)*0.902</f>
        <v>21436.738679438917</v>
      </c>
      <c r="E5" s="17">
        <f>B46*B57</f>
        <v>1994.403223252524</v>
      </c>
      <c r="F5" s="17">
        <f>B51*B62</f>
        <v>47492.226086532355</v>
      </c>
      <c r="G5" s="18"/>
      <c r="H5" s="17"/>
      <c r="I5" s="17"/>
      <c r="J5" s="17">
        <f>B50*B61+C50*C61</f>
        <v>2386.6792233471442</v>
      </c>
      <c r="K5" s="17"/>
      <c r="L5" s="17"/>
      <c r="M5" s="17"/>
      <c r="N5" s="17">
        <f>B48*B59+C48*C59</f>
        <v>7948.036608926519</v>
      </c>
      <c r="O5" s="17">
        <f>B69*B70*B71</f>
        <v>82.856666666666683</v>
      </c>
      <c r="P5" s="17">
        <f>B77*B78*B79/1000-B77*B78*B79/1000/B80</f>
        <v>362.26666666666665</v>
      </c>
    </row>
    <row r="6" spans="1:16">
      <c r="A6" s="16" t="s">
        <v>632</v>
      </c>
      <c r="B6" s="779">
        <f>kWh_PV_kleiner_dan_10kW</f>
        <v>1239.3166624445143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26424.378587344512</v>
      </c>
      <c r="C8" s="21">
        <f>C5</f>
        <v>0</v>
      </c>
      <c r="D8" s="21">
        <f>D5</f>
        <v>21436.738679438917</v>
      </c>
      <c r="E8" s="21">
        <f>E5</f>
        <v>1994.403223252524</v>
      </c>
      <c r="F8" s="21">
        <f>F5</f>
        <v>47492.226086532355</v>
      </c>
      <c r="G8" s="21"/>
      <c r="H8" s="21"/>
      <c r="I8" s="21"/>
      <c r="J8" s="21">
        <f>J5</f>
        <v>2386.6792233471442</v>
      </c>
      <c r="K8" s="21"/>
      <c r="L8" s="21">
        <f>L5</f>
        <v>0</v>
      </c>
      <c r="M8" s="21">
        <f>M5</f>
        <v>0</v>
      </c>
      <c r="N8" s="21">
        <f>N5</f>
        <v>7948.036608926519</v>
      </c>
      <c r="O8" s="21">
        <f>O5</f>
        <v>82.856666666666683</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0.21216226349728626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5606.2559726002355</v>
      </c>
      <c r="C12" s="23">
        <f ca="1">C10*C8</f>
        <v>0</v>
      </c>
      <c r="D12" s="23">
        <f>D8*D10</f>
        <v>4330.2212132466611</v>
      </c>
      <c r="E12" s="23">
        <f>E10*E8</f>
        <v>452.72953167832293</v>
      </c>
      <c r="F12" s="23">
        <f>F10*F8</f>
        <v>12680.42436510414</v>
      </c>
      <c r="G12" s="23"/>
      <c r="H12" s="23"/>
      <c r="I12" s="23"/>
      <c r="J12" s="23">
        <f>J10*J8</f>
        <v>844.88444506488906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370</v>
      </c>
      <c r="C18" s="167" t="s">
        <v>111</v>
      </c>
      <c r="D18" s="229"/>
      <c r="E18" s="15"/>
    </row>
    <row r="19" spans="1:7">
      <c r="A19" s="172" t="s">
        <v>72</v>
      </c>
      <c r="B19" s="37">
        <f>aantalw2001_ander</f>
        <v>0</v>
      </c>
      <c r="C19" s="167" t="s">
        <v>111</v>
      </c>
      <c r="D19" s="230"/>
      <c r="E19" s="15"/>
    </row>
    <row r="20" spans="1:7">
      <c r="A20" s="172" t="s">
        <v>73</v>
      </c>
      <c r="B20" s="37">
        <f>aantalw2001_propaan</f>
        <v>53</v>
      </c>
      <c r="C20" s="168">
        <f>IF(ISERROR(B20/SUM($B$20,$B$21,$B$22)*100),0,B20/SUM($B$20,$B$21,$B$22)*100)</f>
        <v>7.3509015256588066</v>
      </c>
      <c r="D20" s="230"/>
      <c r="E20" s="15"/>
    </row>
    <row r="21" spans="1:7">
      <c r="A21" s="172" t="s">
        <v>74</v>
      </c>
      <c r="B21" s="37">
        <f>aantalw2001_elektriciteit</f>
        <v>595</v>
      </c>
      <c r="C21" s="168">
        <f>IF(ISERROR(B21/SUM($B$20,$B$21,$B$22)*100),0,B21/SUM($B$20,$B$21,$B$22)*100)</f>
        <v>82.524271844660191</v>
      </c>
      <c r="D21" s="230"/>
      <c r="E21" s="15"/>
    </row>
    <row r="22" spans="1:7">
      <c r="A22" s="172" t="s">
        <v>75</v>
      </c>
      <c r="B22" s="37">
        <f>aantalw2001_hout</f>
        <v>73</v>
      </c>
      <c r="C22" s="168">
        <f>IF(ISERROR(B22/SUM($B$20,$B$21,$B$22)*100),0,B22/SUM($B$20,$B$21,$B$22)*100)</f>
        <v>10.124826629680998</v>
      </c>
      <c r="D22" s="230"/>
      <c r="E22" s="15"/>
    </row>
    <row r="23" spans="1:7">
      <c r="A23" s="172" t="s">
        <v>76</v>
      </c>
      <c r="B23" s="37">
        <f>aantalw2001_niet_gespec</f>
        <v>77</v>
      </c>
      <c r="C23" s="167" t="s">
        <v>111</v>
      </c>
      <c r="D23" s="229"/>
      <c r="E23" s="15"/>
    </row>
    <row r="24" spans="1:7">
      <c r="A24" s="172" t="s">
        <v>77</v>
      </c>
      <c r="B24" s="37">
        <f>aantalw2001_steenkool</f>
        <v>198</v>
      </c>
      <c r="C24" s="167" t="s">
        <v>111</v>
      </c>
      <c r="D24" s="230"/>
      <c r="E24" s="15"/>
    </row>
    <row r="25" spans="1:7">
      <c r="A25" s="172" t="s">
        <v>78</v>
      </c>
      <c r="B25" s="37">
        <f>aantalw2001_stookolie</f>
        <v>3116</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5022</v>
      </c>
      <c r="C28" s="36"/>
      <c r="D28" s="229"/>
    </row>
    <row r="29" spans="1:7" s="15" customFormat="1">
      <c r="A29" s="231" t="s">
        <v>713</v>
      </c>
      <c r="B29" s="37">
        <f>SUM(HH_hh_gas_aantal,HH_rest_gas_aantal)</f>
        <v>1518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1518</v>
      </c>
      <c r="C32" s="168">
        <f>IF(ISERROR(B32/SUM($B$32,$B$34,$B$35,$B$36,$B$38,$B$39)*100),0,B32/SUM($B$32,$B$34,$B$35,$B$36,$B$38,$B$39)*100)</f>
        <v>30.341794923046173</v>
      </c>
      <c r="D32" s="234"/>
      <c r="G32" s="15"/>
    </row>
    <row r="33" spans="1:7">
      <c r="A33" s="172" t="s">
        <v>72</v>
      </c>
      <c r="B33" s="34" t="s">
        <v>111</v>
      </c>
      <c r="C33" s="168"/>
      <c r="D33" s="234"/>
      <c r="G33" s="15"/>
    </row>
    <row r="34" spans="1:7">
      <c r="A34" s="172" t="s">
        <v>73</v>
      </c>
      <c r="B34" s="33">
        <f>IF((($B$28-$B$32-$B$39-$B$77-$B$38)*C20/100)&lt;0,0,($B$28-$B$32-$B$39-$B$77-$B$38)*C20/100)</f>
        <v>96.958391123439654</v>
      </c>
      <c r="C34" s="168">
        <f>IF(ISERROR(B34/SUM($B$32,$B$34,$B$35,$B$36,$B$38,$B$39)*100),0,B34/SUM($B$32,$B$34,$B$35,$B$36,$B$38,$B$39)*100)</f>
        <v>1.9380050194571188</v>
      </c>
      <c r="D34" s="234"/>
      <c r="G34" s="15"/>
    </row>
    <row r="35" spans="1:7">
      <c r="A35" s="172" t="s">
        <v>74</v>
      </c>
      <c r="B35" s="33">
        <f>IF((($B$28-$B$32-$B$39-$B$77-$B$38)*C21/100)&lt;0,0,($B$28-$B$32-$B$39-$B$77-$B$38)*C21/100)</f>
        <v>1088.4951456310678</v>
      </c>
      <c r="C35" s="168">
        <f>IF(ISERROR(B35/SUM($B$32,$B$34,$B$35,$B$36,$B$38,$B$39)*100),0,B35/SUM($B$32,$B$34,$B$35,$B$36,$B$38,$B$39)*100)</f>
        <v>21.756848803339352</v>
      </c>
      <c r="D35" s="234"/>
      <c r="G35" s="15"/>
    </row>
    <row r="36" spans="1:7">
      <c r="A36" s="172" t="s">
        <v>75</v>
      </c>
      <c r="B36" s="33">
        <f>IF((($B$28-$B$32-$B$39-$B$77-$B$38)*C22/100)&lt;0,0,($B$28-$B$32-$B$39-$B$77-$B$38)*C22/100)</f>
        <v>133.54646324549233</v>
      </c>
      <c r="C36" s="168">
        <f>IF(ISERROR(B36/SUM($B$32,$B$34,$B$35,$B$36,$B$38,$B$39)*100),0,B36/SUM($B$32,$B$34,$B$35,$B$36,$B$38,$B$39)*100)</f>
        <v>2.6693276683088611</v>
      </c>
      <c r="D36" s="234"/>
      <c r="G36" s="15"/>
    </row>
    <row r="37" spans="1:7">
      <c r="A37" s="172" t="s">
        <v>76</v>
      </c>
      <c r="B37" s="34" t="s">
        <v>111</v>
      </c>
      <c r="C37" s="168"/>
      <c r="D37" s="174"/>
      <c r="G37" s="15"/>
    </row>
    <row r="38" spans="1:7">
      <c r="A38" s="172" t="s">
        <v>77</v>
      </c>
      <c r="B38" s="33">
        <f>IF((B24-(B29-B18)*0.1)&lt;0,0,B24-(B29-B18)*0.1)</f>
        <v>83.199999999999989</v>
      </c>
      <c r="C38" s="168">
        <f>IF(ISERROR(B38/SUM($B$32,$B$34,$B$35,$B$36,$B$38,$B$39)*100),0,B38/SUM($B$32,$B$34,$B$35,$B$36,$B$38,$B$39)*100)</f>
        <v>1.6630021986807912</v>
      </c>
      <c r="D38" s="235"/>
      <c r="G38" s="15"/>
    </row>
    <row r="39" spans="1:7">
      <c r="A39" s="172" t="s">
        <v>78</v>
      </c>
      <c r="B39" s="33">
        <f>IF((B25-(B29-B18))&lt;0,0,B25-(B29-B18)*0.9)</f>
        <v>2082.8000000000002</v>
      </c>
      <c r="C39" s="168">
        <f>IF(ISERROR(B39/SUM($B$32,$B$34,$B$35,$B$36,$B$38,$B$39)*100),0,B39/SUM($B$32,$B$34,$B$35,$B$36,$B$38,$B$39)*100)</f>
        <v>41.631021387167706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1518</v>
      </c>
      <c r="C44" s="34" t="s">
        <v>111</v>
      </c>
      <c r="D44" s="175"/>
    </row>
    <row r="45" spans="1:7">
      <c r="A45" s="172" t="s">
        <v>72</v>
      </c>
      <c r="B45" s="33" t="str">
        <f t="shared" si="0"/>
        <v>-</v>
      </c>
      <c r="C45" s="34" t="s">
        <v>111</v>
      </c>
      <c r="D45" s="175"/>
    </row>
    <row r="46" spans="1:7">
      <c r="A46" s="172" t="s">
        <v>73</v>
      </c>
      <c r="B46" s="33">
        <f t="shared" si="0"/>
        <v>96.958391123439654</v>
      </c>
      <c r="C46" s="34" t="s">
        <v>111</v>
      </c>
      <c r="D46" s="175"/>
    </row>
    <row r="47" spans="1:7">
      <c r="A47" s="172" t="s">
        <v>74</v>
      </c>
      <c r="B47" s="33">
        <f t="shared" si="0"/>
        <v>1088.4951456310678</v>
      </c>
      <c r="C47" s="34" t="s">
        <v>111</v>
      </c>
      <c r="D47" s="175"/>
    </row>
    <row r="48" spans="1:7">
      <c r="A48" s="172" t="s">
        <v>75</v>
      </c>
      <c r="B48" s="33">
        <f t="shared" si="0"/>
        <v>133.54646324549233</v>
      </c>
      <c r="C48" s="33">
        <f>B48*10</f>
        <v>1335.4646324549233</v>
      </c>
      <c r="D48" s="235"/>
    </row>
    <row r="49" spans="1:6">
      <c r="A49" s="172" t="s">
        <v>76</v>
      </c>
      <c r="B49" s="33" t="str">
        <f t="shared" si="0"/>
        <v>-</v>
      </c>
      <c r="C49" s="34" t="s">
        <v>111</v>
      </c>
      <c r="D49" s="235"/>
    </row>
    <row r="50" spans="1:6">
      <c r="A50" s="172" t="s">
        <v>77</v>
      </c>
      <c r="B50" s="33">
        <f t="shared" si="0"/>
        <v>83.199999999999989</v>
      </c>
      <c r="C50" s="33">
        <f>B50*2</f>
        <v>166.39999999999998</v>
      </c>
      <c r="D50" s="235"/>
    </row>
    <row r="51" spans="1:6">
      <c r="A51" s="172" t="s">
        <v>78</v>
      </c>
      <c r="B51" s="33">
        <f t="shared" si="0"/>
        <v>2082.8000000000002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13155.644020941949</v>
      </c>
      <c r="C5" s="17">
        <f>IF(ISERROR('Eigen informatie GS &amp; warmtenet'!B58),0,'Eigen informatie GS &amp; warmtenet'!B58)</f>
        <v>0</v>
      </c>
      <c r="D5" s="30">
        <f>SUM(D6:D12)</f>
        <v>10280.818398795072</v>
      </c>
      <c r="E5" s="17">
        <f>SUM(E6:E12)</f>
        <v>231.86010497908768</v>
      </c>
      <c r="F5" s="17">
        <f>SUM(F6:F12)</f>
        <v>2479.5305809399279</v>
      </c>
      <c r="G5" s="18"/>
      <c r="H5" s="17"/>
      <c r="I5" s="17"/>
      <c r="J5" s="17">
        <f>SUM(J6:J12)</f>
        <v>0</v>
      </c>
      <c r="K5" s="17"/>
      <c r="L5" s="17"/>
      <c r="M5" s="17"/>
      <c r="N5" s="17">
        <f>SUM(N6:N12)</f>
        <v>341.52605878627458</v>
      </c>
      <c r="O5" s="17">
        <f>B38*B39*B40</f>
        <v>6.2533333333333339</v>
      </c>
      <c r="P5" s="17">
        <f>B46*B47*B48/1000-B46*B47*B48/1000/B49</f>
        <v>38.133333333333333</v>
      </c>
      <c r="R5" s="32"/>
    </row>
    <row r="6" spans="1:18">
      <c r="A6" s="32" t="s">
        <v>54</v>
      </c>
      <c r="B6" s="37">
        <f>B26</f>
        <v>1984.79492420513</v>
      </c>
      <c r="C6" s="33"/>
      <c r="D6" s="37">
        <f>IF(ISERROR(TER_kantoor_gas_kWh/1000),0,TER_kantoor_gas_kWh/1000)*0.902</f>
        <v>3400.3377805260116</v>
      </c>
      <c r="E6" s="33">
        <f>$C$26*'E Balans VL '!I12/100/3.6*1000000</f>
        <v>69.475630027534294</v>
      </c>
      <c r="F6" s="33">
        <f>$C$26*('E Balans VL '!L12+'E Balans VL '!N12)/100/3.6*1000000</f>
        <v>300.93752363894998</v>
      </c>
      <c r="G6" s="34"/>
      <c r="H6" s="33"/>
      <c r="I6" s="33"/>
      <c r="J6" s="33">
        <f>$C$26*('E Balans VL '!D12+'E Balans VL '!E12)/100/3.6*1000000</f>
        <v>0</v>
      </c>
      <c r="K6" s="33"/>
      <c r="L6" s="33"/>
      <c r="M6" s="33"/>
      <c r="N6" s="33">
        <f>$C$26*'E Balans VL '!Y12/100/3.6*1000000</f>
        <v>15.341843540391222</v>
      </c>
      <c r="O6" s="33"/>
      <c r="P6" s="33"/>
      <c r="R6" s="32"/>
    </row>
    <row r="7" spans="1:18">
      <c r="A7" s="32" t="s">
        <v>53</v>
      </c>
      <c r="B7" s="37">
        <f t="shared" ref="B7:B12" si="0">B27</f>
        <v>1222.4384893922402</v>
      </c>
      <c r="C7" s="33"/>
      <c r="D7" s="37">
        <f>IF(ISERROR(TER_horeca_gas_kWh/1000),0,TER_horeca_gas_kWh/1000)*0.902</f>
        <v>559.49234312017313</v>
      </c>
      <c r="E7" s="33">
        <f>$C$27*'E Balans VL '!I9/100/3.6*1000000</f>
        <v>68.961785274996259</v>
      </c>
      <c r="F7" s="33">
        <f>$C$27*('E Balans VL '!L9+'E Balans VL '!N9)/100/3.6*1000000</f>
        <v>212.95554991358784</v>
      </c>
      <c r="G7" s="34"/>
      <c r="H7" s="33"/>
      <c r="I7" s="33"/>
      <c r="J7" s="33">
        <f>$C$27*('E Balans VL '!D9+'E Balans VL '!E9)/100/3.6*1000000</f>
        <v>0</v>
      </c>
      <c r="K7" s="33"/>
      <c r="L7" s="33"/>
      <c r="M7" s="33"/>
      <c r="N7" s="33">
        <f>$C$27*'E Balans VL '!Y9/100/3.6*1000000</f>
        <v>0</v>
      </c>
      <c r="O7" s="33"/>
      <c r="P7" s="33"/>
      <c r="R7" s="32"/>
    </row>
    <row r="8" spans="1:18">
      <c r="A8" s="6" t="s">
        <v>52</v>
      </c>
      <c r="B8" s="37">
        <f t="shared" si="0"/>
        <v>4720.95065786954</v>
      </c>
      <c r="C8" s="33"/>
      <c r="D8" s="37">
        <f>IF(ISERROR(TER_handel_gas_kWh/1000),0,TER_handel_gas_kWh/1000)*0.902</f>
        <v>1163.5755129957774</v>
      </c>
      <c r="E8" s="33">
        <f>$C$28*'E Balans VL '!I13/100/3.6*1000000</f>
        <v>24.236881035871797</v>
      </c>
      <c r="F8" s="33">
        <f>$C$28*('E Balans VL '!L13+'E Balans VL '!N13)/100/3.6*1000000</f>
        <v>727.89764526756733</v>
      </c>
      <c r="G8" s="34"/>
      <c r="H8" s="33"/>
      <c r="I8" s="33"/>
      <c r="J8" s="33">
        <f>$C$28*('E Balans VL '!D13+'E Balans VL '!E13)/100/3.6*1000000</f>
        <v>0</v>
      </c>
      <c r="K8" s="33"/>
      <c r="L8" s="33"/>
      <c r="M8" s="33"/>
      <c r="N8" s="33">
        <f>$C$28*'E Balans VL '!Y13/100/3.6*1000000</f>
        <v>2.208046249645168</v>
      </c>
      <c r="O8" s="33"/>
      <c r="P8" s="33"/>
      <c r="R8" s="32"/>
    </row>
    <row r="9" spans="1:18">
      <c r="A9" s="32" t="s">
        <v>51</v>
      </c>
      <c r="B9" s="37">
        <f t="shared" si="0"/>
        <v>1157.2126262087399</v>
      </c>
      <c r="C9" s="33"/>
      <c r="D9" s="37">
        <f>IF(ISERROR(TER_gezond_gas_kWh/1000),0,TER_gezond_gas_kWh/1000)*0.902</f>
        <v>0</v>
      </c>
      <c r="E9" s="33">
        <f>$C$29*'E Balans VL '!I10/100/3.6*1000000</f>
        <v>0.47965639219056783</v>
      </c>
      <c r="F9" s="33">
        <f>$C$29*('E Balans VL '!L10+'E Balans VL '!N10)/100/3.6*1000000</f>
        <v>285.00487319228472</v>
      </c>
      <c r="G9" s="34"/>
      <c r="H9" s="33"/>
      <c r="I9" s="33"/>
      <c r="J9" s="33">
        <f>$C$29*('E Balans VL '!D10+'E Balans VL '!E10)/100/3.6*1000000</f>
        <v>0</v>
      </c>
      <c r="K9" s="33"/>
      <c r="L9" s="33"/>
      <c r="M9" s="33"/>
      <c r="N9" s="33">
        <f>$C$29*'E Balans VL '!Y10/100/3.6*1000000</f>
        <v>10.001181336481331</v>
      </c>
      <c r="O9" s="33"/>
      <c r="P9" s="33"/>
      <c r="R9" s="32"/>
    </row>
    <row r="10" spans="1:18">
      <c r="A10" s="32" t="s">
        <v>50</v>
      </c>
      <c r="B10" s="37">
        <f t="shared" si="0"/>
        <v>1001.7832933211901</v>
      </c>
      <c r="C10" s="33"/>
      <c r="D10" s="37">
        <f>IF(ISERROR(TER_ander_gas_kWh/1000),0,TER_ander_gas_kWh/1000)*0.902</f>
        <v>258.79058275202209</v>
      </c>
      <c r="E10" s="33">
        <f>$C$30*'E Balans VL '!I14/100/3.6*1000000</f>
        <v>6.1068956727820831</v>
      </c>
      <c r="F10" s="33">
        <f>$C$30*('E Balans VL '!L14+'E Balans VL '!N14)/100/3.6*1000000</f>
        <v>265.58647393391271</v>
      </c>
      <c r="G10" s="34"/>
      <c r="H10" s="33"/>
      <c r="I10" s="33"/>
      <c r="J10" s="33">
        <f>$C$30*('E Balans VL '!D14+'E Balans VL '!E14)/100/3.6*1000000</f>
        <v>0</v>
      </c>
      <c r="K10" s="33"/>
      <c r="L10" s="33"/>
      <c r="M10" s="33"/>
      <c r="N10" s="33">
        <f>$C$30*'E Balans VL '!Y14/100/3.6*1000000</f>
        <v>230.88940216687197</v>
      </c>
      <c r="O10" s="33"/>
      <c r="P10" s="33"/>
      <c r="R10" s="32"/>
    </row>
    <row r="11" spans="1:18">
      <c r="A11" s="32" t="s">
        <v>55</v>
      </c>
      <c r="B11" s="37">
        <f t="shared" si="0"/>
        <v>155.197289786087</v>
      </c>
      <c r="C11" s="33"/>
      <c r="D11" s="37">
        <f>IF(ISERROR(TER_onderwijs_gas_kWh/1000),0,TER_onderwijs_gas_kWh/1000)*0.902</f>
        <v>320.28326868920857</v>
      </c>
      <c r="E11" s="33">
        <f>$C$31*'E Balans VL '!I11/100/3.6*1000000</f>
        <v>0.11826841602525005</v>
      </c>
      <c r="F11" s="33">
        <f>$C$31*('E Balans VL '!L11+'E Balans VL '!N11)/100/3.6*1000000</f>
        <v>112.3092640545743</v>
      </c>
      <c r="G11" s="34"/>
      <c r="H11" s="33"/>
      <c r="I11" s="33"/>
      <c r="J11" s="33">
        <f>$C$31*('E Balans VL '!D11+'E Balans VL '!E11)/100/3.6*1000000</f>
        <v>0</v>
      </c>
      <c r="K11" s="33"/>
      <c r="L11" s="33"/>
      <c r="M11" s="33"/>
      <c r="N11" s="33">
        <f>$C$31*'E Balans VL '!Y11/100/3.6*1000000</f>
        <v>0.45740350447597766</v>
      </c>
      <c r="O11" s="33"/>
      <c r="P11" s="33"/>
      <c r="R11" s="32"/>
    </row>
    <row r="12" spans="1:18">
      <c r="A12" s="32" t="s">
        <v>260</v>
      </c>
      <c r="B12" s="37">
        <f t="shared" si="0"/>
        <v>2913.2667401590197</v>
      </c>
      <c r="C12" s="33"/>
      <c r="D12" s="37">
        <f>IF(ISERROR(TER_rest_gas_kWh/1000),0,TER_rest_gas_kWh/1000)*0.902</f>
        <v>4578.3389107118801</v>
      </c>
      <c r="E12" s="33">
        <f>$C$32*'E Balans VL '!I8/100/3.6*1000000</f>
        <v>62.480988159687442</v>
      </c>
      <c r="F12" s="33">
        <f>$C$32*('E Balans VL '!L8+'E Balans VL '!N8)/100/3.6*1000000</f>
        <v>574.83925093905111</v>
      </c>
      <c r="G12" s="34"/>
      <c r="H12" s="33"/>
      <c r="I12" s="33"/>
      <c r="J12" s="33">
        <f>$C$32*('E Balans VL '!D8+'E Balans VL '!E8)/100/3.6*1000000</f>
        <v>0</v>
      </c>
      <c r="K12" s="33"/>
      <c r="L12" s="33"/>
      <c r="M12" s="33"/>
      <c r="N12" s="33">
        <f>$C$32*'E Balans VL '!Y8/100/3.6*1000000</f>
        <v>82.628181988408926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13155.644020941949</v>
      </c>
      <c r="C16" s="21">
        <f ca="1">C5+C13+C14</f>
        <v>0</v>
      </c>
      <c r="D16" s="21">
        <f t="shared" ref="D16:N16" ca="1" si="1">MAX((D5+D13+D14),0)</f>
        <v>10280.818398795072</v>
      </c>
      <c r="E16" s="21">
        <f t="shared" si="1"/>
        <v>231.86010497908768</v>
      </c>
      <c r="F16" s="21">
        <f t="shared" ca="1" si="1"/>
        <v>2479.5305809399279</v>
      </c>
      <c r="G16" s="21">
        <f t="shared" si="1"/>
        <v>0</v>
      </c>
      <c r="H16" s="21">
        <f t="shared" si="1"/>
        <v>0</v>
      </c>
      <c r="I16" s="21">
        <f t="shared" si="1"/>
        <v>0</v>
      </c>
      <c r="J16" s="21">
        <f t="shared" si="1"/>
        <v>0</v>
      </c>
      <c r="K16" s="21">
        <f t="shared" si="1"/>
        <v>0</v>
      </c>
      <c r="L16" s="21">
        <f t="shared" ca="1" si="1"/>
        <v>0</v>
      </c>
      <c r="M16" s="21">
        <f t="shared" si="1"/>
        <v>0</v>
      </c>
      <c r="N16" s="21">
        <f t="shared" ca="1" si="1"/>
        <v>341.52605878627458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0.21216226349728626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2791.1312132475841</v>
      </c>
      <c r="C20" s="23">
        <f t="shared" ref="C20:P20" ca="1" si="2">C16*C18</f>
        <v>0</v>
      </c>
      <c r="D20" s="23">
        <f t="shared" ca="1" si="2"/>
        <v>2076.7253165566049</v>
      </c>
      <c r="E20" s="23">
        <f t="shared" si="2"/>
        <v>52.632243830252904</v>
      </c>
      <c r="F20" s="23">
        <f t="shared" ca="1" si="2"/>
        <v>662.03466511096076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1984.79492420513</v>
      </c>
      <c r="C26" s="39">
        <f>IF(ISERROR(B26*3.6/1000000/'E Balans VL '!Z12*100),0,B26*3.6/1000000/'E Balans VL '!Z12*100)</f>
        <v>4.1766717645276924E-2</v>
      </c>
      <c r="D26" s="238" t="s">
        <v>719</v>
      </c>
      <c r="F26" s="6"/>
    </row>
    <row r="27" spans="1:18">
      <c r="A27" s="232" t="s">
        <v>53</v>
      </c>
      <c r="B27" s="33">
        <f>IF(ISERROR(TER_horeca_ele_kWh/1000),0,TER_horeca_ele_kWh/1000)</f>
        <v>1222.4384893922402</v>
      </c>
      <c r="C27" s="39">
        <f>IF(ISERROR(B27*3.6/1000000/'E Balans VL '!Z9*100),0,B27*3.6/1000000/'E Balans VL '!Z9*100)</f>
        <v>0.10350043187649623</v>
      </c>
      <c r="D27" s="238" t="s">
        <v>719</v>
      </c>
      <c r="F27" s="6"/>
    </row>
    <row r="28" spans="1:18">
      <c r="A28" s="172" t="s">
        <v>52</v>
      </c>
      <c r="B28" s="33">
        <f>IF(ISERROR(TER_handel_ele_kWh/1000),0,TER_handel_ele_kWh/1000)</f>
        <v>4720.95065786954</v>
      </c>
      <c r="C28" s="39">
        <f>IF(ISERROR(B28*3.6/1000000/'E Balans VL '!Z13*100),0,B28*3.6/1000000/'E Balans VL '!Z13*100)</f>
        <v>0.13069886615456641</v>
      </c>
      <c r="D28" s="238" t="s">
        <v>719</v>
      </c>
      <c r="F28" s="6"/>
    </row>
    <row r="29" spans="1:18">
      <c r="A29" s="232" t="s">
        <v>51</v>
      </c>
      <c r="B29" s="33">
        <f>IF(ISERROR(TER_gezond_ele_kWh/1000),0,TER_gezond_ele_kWh/1000)</f>
        <v>1157.2126262087399</v>
      </c>
      <c r="C29" s="39">
        <f>IF(ISERROR(B29*3.6/1000000/'E Balans VL '!Z10*100),0,B29*3.6/1000000/'E Balans VL '!Z10*100)</f>
        <v>0.15042481220942211</v>
      </c>
      <c r="D29" s="238" t="s">
        <v>719</v>
      </c>
      <c r="F29" s="6"/>
    </row>
    <row r="30" spans="1:18">
      <c r="A30" s="232" t="s">
        <v>50</v>
      </c>
      <c r="B30" s="33">
        <f>IF(ISERROR(TER_ander_ele_kWh/1000),0,TER_ander_ele_kWh/1000)</f>
        <v>1001.7832933211901</v>
      </c>
      <c r="C30" s="39">
        <f>IF(ISERROR(B30*3.6/1000000/'E Balans VL '!Z14*100),0,B30*3.6/1000000/'E Balans VL '!Z14*100)</f>
        <v>7.7647392287000447E-2</v>
      </c>
      <c r="D30" s="238" t="s">
        <v>719</v>
      </c>
      <c r="F30" s="6"/>
    </row>
    <row r="31" spans="1:18">
      <c r="A31" s="232" t="s">
        <v>55</v>
      </c>
      <c r="B31" s="33">
        <f>IF(ISERROR(TER_onderwijs_ele_kWh/1000),0,TER_onderwijs_ele_kWh/1000)</f>
        <v>155.197289786087</v>
      </c>
      <c r="C31" s="39">
        <f>IF(ISERROR(B31*3.6/1000000/'E Balans VL '!Z11*100),0,B31*3.6/1000000/'E Balans VL '!Z11*100)</f>
        <v>2.9691886041932989E-2</v>
      </c>
      <c r="D31" s="238" t="s">
        <v>719</v>
      </c>
    </row>
    <row r="32" spans="1:18">
      <c r="A32" s="232" t="s">
        <v>260</v>
      </c>
      <c r="B32" s="33">
        <f>IF(ISERROR(TER_rest_ele_kWh/1000),0,TER_rest_ele_kWh/1000)</f>
        <v>2913.2667401590197</v>
      </c>
      <c r="C32" s="39">
        <f>IF(ISERROR(B32*3.6/1000000/'E Balans VL '!Z8*100),0,B32*3.6/1000000/'E Balans VL '!Z8*100)</f>
        <v>2.4022121415480765E-2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5931.6304652177478</v>
      </c>
      <c r="C5" s="17">
        <f>IF(ISERROR('Eigen informatie GS &amp; warmtenet'!B59),0,'Eigen informatie GS &amp; warmtenet'!B59)</f>
        <v>0</v>
      </c>
      <c r="D5" s="30">
        <f>SUM(D6:D15)</f>
        <v>2336.3642872211185</v>
      </c>
      <c r="E5" s="17">
        <f>SUM(E6:E15)</f>
        <v>73.87851037403918</v>
      </c>
      <c r="F5" s="17">
        <f>SUM(F6:F15)</f>
        <v>2369.1813793526403</v>
      </c>
      <c r="G5" s="18"/>
      <c r="H5" s="17"/>
      <c r="I5" s="17"/>
      <c r="J5" s="17">
        <f>SUM(J6:J15)</f>
        <v>24.951304214319592</v>
      </c>
      <c r="K5" s="17"/>
      <c r="L5" s="17"/>
      <c r="M5" s="17"/>
      <c r="N5" s="17">
        <f>SUM(N6:N15)</f>
        <v>216.61225441424529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115.357787404276</v>
      </c>
      <c r="C8" s="33"/>
      <c r="D8" s="37">
        <f>IF( ISERROR(IND_metaal_Gas_kWH/1000),0,IND_metaal_Gas_kWH/1000)*0.902</f>
        <v>0</v>
      </c>
      <c r="E8" s="33">
        <f>C30*'E Balans VL '!I18/100/3.6*1000000</f>
        <v>0.8105937195485905</v>
      </c>
      <c r="F8" s="33">
        <f>C30*'E Balans VL '!L18/100/3.6*1000000+C30*'E Balans VL '!N18/100/3.6*1000000</f>
        <v>12.665610147502832</v>
      </c>
      <c r="G8" s="34"/>
      <c r="H8" s="33"/>
      <c r="I8" s="33"/>
      <c r="J8" s="40">
        <f>C30*'E Balans VL '!D18/100/3.6*1000000+C30*'E Balans VL '!E18/100/3.6*1000000</f>
        <v>2.3800797953760684</v>
      </c>
      <c r="K8" s="33"/>
      <c r="L8" s="33"/>
      <c r="M8" s="33"/>
      <c r="N8" s="33">
        <f>C30*'E Balans VL '!Y18/100/3.6*1000000</f>
        <v>0.43236929525016388</v>
      </c>
      <c r="O8" s="33"/>
      <c r="P8" s="33"/>
      <c r="R8" s="32"/>
    </row>
    <row r="9" spans="1:18">
      <c r="A9" s="6" t="s">
        <v>33</v>
      </c>
      <c r="B9" s="37">
        <f t="shared" si="0"/>
        <v>2083.2759727696898</v>
      </c>
      <c r="C9" s="33"/>
      <c r="D9" s="37">
        <f>IF( ISERROR(IND_andere_gas_kWh/1000),0,IND_andere_gas_kWh/1000)*0.902</f>
        <v>290.21565691869881</v>
      </c>
      <c r="E9" s="33">
        <f>C31*'E Balans VL '!I19/100/3.6*1000000</f>
        <v>34.991172057217426</v>
      </c>
      <c r="F9" s="33">
        <f>C31*'E Balans VL '!L19/100/3.6*1000000+C31*'E Balans VL '!N19/100/3.6*1000000</f>
        <v>1628.5865009715817</v>
      </c>
      <c r="G9" s="34"/>
      <c r="H9" s="33"/>
      <c r="I9" s="33"/>
      <c r="J9" s="40">
        <f>C31*'E Balans VL '!D19/100/3.6*1000000+C31*'E Balans VL '!E19/100/3.6*1000000</f>
        <v>0.18789310286493291</v>
      </c>
      <c r="K9" s="33"/>
      <c r="L9" s="33"/>
      <c r="M9" s="33"/>
      <c r="N9" s="33">
        <f>C31*'E Balans VL '!Y19/100/3.6*1000000</f>
        <v>154.40417280272808</v>
      </c>
      <c r="O9" s="33"/>
      <c r="P9" s="33"/>
      <c r="R9" s="32"/>
    </row>
    <row r="10" spans="1:18">
      <c r="A10" s="6" t="s">
        <v>41</v>
      </c>
      <c r="B10" s="37">
        <f t="shared" si="0"/>
        <v>539.28472248676496</v>
      </c>
      <c r="C10" s="33"/>
      <c r="D10" s="37">
        <f>IF( ISERROR(IND_voed_gas_kWh/1000),0,IND_voed_gas_kWh/1000)*0.902</f>
        <v>504.80810529000956</v>
      </c>
      <c r="E10" s="33">
        <f>C32*'E Balans VL '!I20/100/3.6*1000000</f>
        <v>4.9202097082135889</v>
      </c>
      <c r="F10" s="33">
        <f>C32*'E Balans VL '!L20/100/3.6*1000000+C32*'E Balans VL '!N20/100/3.6*1000000</f>
        <v>87.003493576094286</v>
      </c>
      <c r="G10" s="34"/>
      <c r="H10" s="33"/>
      <c r="I10" s="33"/>
      <c r="J10" s="40">
        <f>C32*'E Balans VL '!D20/100/3.6*1000000+C32*'E Balans VL '!E20/100/3.6*1000000</f>
        <v>2.2211280593792502</v>
      </c>
      <c r="K10" s="33"/>
      <c r="L10" s="33"/>
      <c r="M10" s="33"/>
      <c r="N10" s="33">
        <f>C32*'E Balans VL '!Y20/100/3.6*1000000</f>
        <v>7.8893102520429341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199.33376064558701</v>
      </c>
      <c r="C13" s="33"/>
      <c r="D13" s="37">
        <f>IF( ISERROR(IND_papier_gas_kWh/1000),0,IND_papier_gas_kWh/1000)*0.902</f>
        <v>0</v>
      </c>
      <c r="E13" s="33">
        <f>C35*'E Balans VL '!I23/100/3.6*1000000</f>
        <v>6.1329796002810575</v>
      </c>
      <c r="F13" s="33">
        <f>C35*'E Balans VL '!L23/100/3.6*1000000+C35*'E Balans VL '!N23/100/3.6*1000000</f>
        <v>42.325523688406847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2994.37822191143</v>
      </c>
      <c r="C15" s="33"/>
      <c r="D15" s="37">
        <f>IF( ISERROR(IND_rest_gas_kWh/1000),0,IND_rest_gas_kWh/1000)*0.902</f>
        <v>1541.3405250124099</v>
      </c>
      <c r="E15" s="33">
        <f>C37*'E Balans VL '!I15/100/3.6*1000000</f>
        <v>27.023555288778514</v>
      </c>
      <c r="F15" s="33">
        <f>C37*'E Balans VL '!L15/100/3.6*1000000+C37*'E Balans VL '!N15/100/3.6*1000000</f>
        <v>598.60025096905485</v>
      </c>
      <c r="G15" s="34"/>
      <c r="H15" s="33"/>
      <c r="I15" s="33"/>
      <c r="J15" s="40">
        <f>C37*'E Balans VL '!D15/100/3.6*1000000+C37*'E Balans VL '!E15/100/3.6*1000000</f>
        <v>20.162203256699343</v>
      </c>
      <c r="K15" s="33"/>
      <c r="L15" s="33"/>
      <c r="M15" s="33"/>
      <c r="N15" s="33">
        <f>C37*'E Balans VL '!Y15/100/3.6*1000000</f>
        <v>53.886402064224072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5931.6304652177478</v>
      </c>
      <c r="C18" s="21">
        <f>C5+C16</f>
        <v>0</v>
      </c>
      <c r="D18" s="21">
        <f>MAX((D5+D16),0)</f>
        <v>2336.3642872211185</v>
      </c>
      <c r="E18" s="21">
        <f>MAX((E5+E16),0)</f>
        <v>73.87851037403918</v>
      </c>
      <c r="F18" s="21">
        <f>MAX((F5+F16),0)</f>
        <v>2369.1813793526403</v>
      </c>
      <c r="G18" s="21"/>
      <c r="H18" s="21"/>
      <c r="I18" s="21"/>
      <c r="J18" s="21">
        <f>MAX((J5+J16),0)</f>
        <v>24.951304214319592</v>
      </c>
      <c r="K18" s="21"/>
      <c r="L18" s="21">
        <f>MAX((L5+L16),0)</f>
        <v>0</v>
      </c>
      <c r="M18" s="21"/>
      <c r="N18" s="21">
        <f>MAX((N5+N16),0)</f>
        <v>216.61225441424529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0.21216226349728626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1258.4681457300585</v>
      </c>
      <c r="C22" s="23">
        <f ca="1">C18*C20</f>
        <v>0</v>
      </c>
      <c r="D22" s="23">
        <f>D18*D20</f>
        <v>471.94558601866595</v>
      </c>
      <c r="E22" s="23">
        <f>E18*E20</f>
        <v>16.770421854906896</v>
      </c>
      <c r="F22" s="23">
        <f>F18*F20</f>
        <v>632.57142828715496</v>
      </c>
      <c r="G22" s="23"/>
      <c r="H22" s="23"/>
      <c r="I22" s="23"/>
      <c r="J22" s="23">
        <f>J18*J20</f>
        <v>8.8327616918691358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115.357787404276</v>
      </c>
      <c r="C30" s="39">
        <f>IF(ISERROR(B30*3.6/1000000/'E Balans VL '!Z18*100),0,B30*3.6/1000000/'E Balans VL '!Z18*100)</f>
        <v>7.6794383508706713E-3</v>
      </c>
      <c r="D30" s="238" t="s">
        <v>719</v>
      </c>
    </row>
    <row r="31" spans="1:18">
      <c r="A31" s="6" t="s">
        <v>33</v>
      </c>
      <c r="B31" s="37">
        <f>IF( ISERROR(IND_ander_ele_kWh/1000),0,IND_ander_ele_kWh/1000)</f>
        <v>2083.2759727696898</v>
      </c>
      <c r="C31" s="39">
        <f>IF(ISERROR(B31*3.6/1000000/'E Balans VL '!Z19*100),0,B31*3.6/1000000/'E Balans VL '!Z19*100)</f>
        <v>9.2343367960922657E-2</v>
      </c>
      <c r="D31" s="238" t="s">
        <v>719</v>
      </c>
    </row>
    <row r="32" spans="1:18">
      <c r="A32" s="172" t="s">
        <v>41</v>
      </c>
      <c r="B32" s="37">
        <f>IF( ISERROR(IND_voed_ele_kWh/1000),0,IND_voed_ele_kWh/1000)</f>
        <v>539.28472248676496</v>
      </c>
      <c r="C32" s="39">
        <f>IF(ISERROR(B32*3.6/1000000/'E Balans VL '!Z20*100),0,B32*3.6/1000000/'E Balans VL '!Z20*100)</f>
        <v>1.8013656738704847E-2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199.33376064558701</v>
      </c>
      <c r="C35" s="39">
        <f>IF(ISERROR(B35*3.6/1000000/'E Balans VL '!Z22*100),0,B35*3.6/1000000/'E Balans VL '!Z22*100)</f>
        <v>3.876822688866792E-2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2994.37822191143</v>
      </c>
      <c r="C37" s="39">
        <f>IF(ISERROR(B37*3.6/1000000/'E Balans VL '!Z15*100),0,B37*3.6/1000000/'E Balans VL '!Z15*100)</f>
        <v>2.2273295711614922E-2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947.78688645688396</v>
      </c>
      <c r="C5" s="17">
        <f>'Eigen informatie GS &amp; warmtenet'!B60</f>
        <v>0</v>
      </c>
      <c r="D5" s="30">
        <f>IF(ISERROR(SUM(LB_lb_gas_kWh,LB_rest_gas_kWh)/1000),0,SUM(LB_lb_gas_kWh,LB_rest_gas_kWh)/1000)*0.902</f>
        <v>261.0519434070286</v>
      </c>
      <c r="E5" s="17">
        <f>B17*'E Balans VL '!I25/3.6*1000000/100</f>
        <v>9.9254294624699106</v>
      </c>
      <c r="F5" s="17">
        <f>B17*('E Balans VL '!L25/3.6*1000000+'E Balans VL '!N25/3.6*1000000)/100</f>
        <v>4057.2480391210106</v>
      </c>
      <c r="G5" s="18"/>
      <c r="H5" s="17"/>
      <c r="I5" s="17"/>
      <c r="J5" s="17">
        <f>('E Balans VL '!D25+'E Balans VL '!E25)/3.6*1000000*landbouw!B17/100</f>
        <v>84.645864119387568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947.78688645688396</v>
      </c>
      <c r="C8" s="21">
        <f>C5+C6</f>
        <v>0</v>
      </c>
      <c r="D8" s="21">
        <f>MAX((D5+D6),0)</f>
        <v>261.0519434070286</v>
      </c>
      <c r="E8" s="21">
        <f>MAX((E5+E6),0)</f>
        <v>9.9254294624699106</v>
      </c>
      <c r="F8" s="21">
        <f>MAX((F5+F6),0)</f>
        <v>4057.2480391210106</v>
      </c>
      <c r="G8" s="21"/>
      <c r="H8" s="21"/>
      <c r="I8" s="21"/>
      <c r="J8" s="21">
        <f>MAX((J5+J6),0)</f>
        <v>84.645864119387568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0.21216226349728626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201.08461114373796</v>
      </c>
      <c r="C12" s="23">
        <f ca="1">C8*C10</f>
        <v>0</v>
      </c>
      <c r="D12" s="23">
        <f>D8*D10</f>
        <v>52.732492568219783</v>
      </c>
      <c r="E12" s="23">
        <f>E8*E10</f>
        <v>2.2530724879806696</v>
      </c>
      <c r="F12" s="23">
        <f>F8*F10</f>
        <v>1083.2852264453099</v>
      </c>
      <c r="G12" s="23"/>
      <c r="H12" s="23"/>
      <c r="I12" s="23"/>
      <c r="J12" s="23">
        <f>J8*J10</f>
        <v>29.964635898263197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0.14588269749363392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148.87092080506054</v>
      </c>
      <c r="C26" s="248">
        <f>B26*'GWP N2O_CH4'!B5</f>
        <v>3126.2893369062713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37.520366010799734</v>
      </c>
      <c r="C27" s="248">
        <f>B27*'GWP N2O_CH4'!B5</f>
        <v>787.92768622679444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1.9023579727676085</v>
      </c>
      <c r="C28" s="248">
        <f>B28*'GWP N2O_CH4'!B4</f>
        <v>589.7309715579587</v>
      </c>
      <c r="D28" s="50"/>
    </row>
    <row r="29" spans="1:4">
      <c r="A29" s="41" t="s">
        <v>277</v>
      </c>
      <c r="B29" s="248">
        <f>B34*'ha_N2O bodem landbouw'!B4</f>
        <v>15.888812138018402</v>
      </c>
      <c r="C29" s="248">
        <f>B29*'GWP N2O_CH4'!B4</f>
        <v>4925.5317627857048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2.6258348846476386E-3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1.8828168806486712E-6</v>
      </c>
      <c r="C5" s="446" t="s">
        <v>211</v>
      </c>
      <c r="D5" s="431">
        <f>SUM(D6:D11)</f>
        <v>1.148219662252683E-5</v>
      </c>
      <c r="E5" s="431">
        <f>SUM(E6:E11)</f>
        <v>1.1258785799597483E-3</v>
      </c>
      <c r="F5" s="444" t="s">
        <v>211</v>
      </c>
      <c r="G5" s="431">
        <f>SUM(G6:G11)</f>
        <v>0.18044364552918793</v>
      </c>
      <c r="H5" s="431">
        <f>SUM(H6:H11)</f>
        <v>3.7538586005387779E-2</v>
      </c>
      <c r="I5" s="446" t="s">
        <v>211</v>
      </c>
      <c r="J5" s="446" t="s">
        <v>211</v>
      </c>
      <c r="K5" s="446" t="s">
        <v>211</v>
      </c>
      <c r="L5" s="446" t="s">
        <v>211</v>
      </c>
      <c r="M5" s="431">
        <f>SUM(M6:M11)</f>
        <v>9.5286983977758751E-3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8.9957285210282739E-7</v>
      </c>
      <c r="C6" s="432"/>
      <c r="D6" s="432">
        <f>vkm_2011_GW_PW*SUMIFS(TableVerdeelsleutelVkm[CNG],TableVerdeelsleutelVkm[Voertuigtype],"Lichte voertuigen")*SUMIFS(TableECFTransport[EnergieConsumptieFactor (PJ per km)],TableECFTransport[Index],CONCATENATE($A6,"_CNG_CNG"))</f>
        <v>3.8779539991824124E-6</v>
      </c>
      <c r="E6" s="434">
        <f>vkm_2011_GW_PW*SUMIFS(TableVerdeelsleutelVkm[LPG],TableVerdeelsleutelVkm[Voertuigtype],"Lichte voertuigen")*SUMIFS(TableECFTransport[EnergieConsumptieFactor (PJ per km)],TableECFTransport[Index],CONCATENATE($A6,"_LPG_LPG"))</f>
        <v>4.0347731898859548E-4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4.9628817893362258E-2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1.3066239292332927E-2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2.7475979774998671E-3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2.335599551684793E-2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8.0084472035798522E-6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1.0089352447809517E-3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9.8324402854584392E-7</v>
      </c>
      <c r="C8" s="432"/>
      <c r="D8" s="434">
        <f>vkm_2011_NGW_PW*SUMIFS(TableVerdeelsleutelVkm[CNG],TableVerdeelsleutelVkm[Voertuigtype],"Lichte voertuigen")*SUMIFS(TableECFTransport[EnergieConsumptieFactor (PJ per km)],TableECFTransport[Index],CONCATENATE($A8,"_CNG_CNG"))</f>
        <v>7.6042426233444181E-6</v>
      </c>
      <c r="E8" s="434">
        <f>vkm_2011_NGW_PW*SUMIFS(TableVerdeelsleutelVkm[LPG],TableVerdeelsleutelVkm[Voertuigtype],"Lichte voertuigen")*SUMIFS(TableECFTransport[EnergieConsumptieFactor (PJ per km)],TableECFTransport[Index],CONCATENATE($A8,"_LPG_LPG"))</f>
        <v>7.2240126097115279E-4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8.4279162126539117E-2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2.4457433651115464E-2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4.770895134939588E-3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2.3179669992438624E-2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6.9046147358078735E-6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1.0012700405554692E-3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0.52300468906907538</v>
      </c>
      <c r="C14" s="21"/>
      <c r="D14" s="21">
        <f t="shared" ref="D14:M14" si="0">((D5)*10^9/3600)+D12</f>
        <v>3.1894990618130081</v>
      </c>
      <c r="E14" s="21">
        <f t="shared" si="0"/>
        <v>312.74404998881897</v>
      </c>
      <c r="F14" s="21"/>
      <c r="G14" s="21">
        <f t="shared" si="0"/>
        <v>50123.234869218868</v>
      </c>
      <c r="H14" s="21">
        <f t="shared" si="0"/>
        <v>10427.385001496605</v>
      </c>
      <c r="I14" s="21"/>
      <c r="J14" s="21"/>
      <c r="K14" s="21"/>
      <c r="L14" s="21"/>
      <c r="M14" s="21">
        <f t="shared" si="0"/>
        <v>2646.8606660488545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0.21216226349728626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0.11096185865258944</v>
      </c>
      <c r="C18" s="23"/>
      <c r="D18" s="23">
        <f t="shared" ref="D18:M18" si="1">D14*D16</f>
        <v>0.6442788104862277</v>
      </c>
      <c r="E18" s="23">
        <f t="shared" si="1"/>
        <v>70.992899347461915</v>
      </c>
      <c r="F18" s="23"/>
      <c r="G18" s="23">
        <f t="shared" si="1"/>
        <v>13382.903710081438</v>
      </c>
      <c r="H18" s="23">
        <f t="shared" si="1"/>
        <v>2596.4188653726546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4.5210926115166828E-3</v>
      </c>
      <c r="H50" s="322">
        <f t="shared" si="2"/>
        <v>0</v>
      </c>
      <c r="I50" s="322">
        <f t="shared" si="2"/>
        <v>0</v>
      </c>
      <c r="J50" s="322">
        <f t="shared" si="2"/>
        <v>0</v>
      </c>
      <c r="K50" s="322">
        <f t="shared" si="2"/>
        <v>0</v>
      </c>
      <c r="L50" s="322">
        <f t="shared" si="2"/>
        <v>0</v>
      </c>
      <c r="M50" s="322">
        <f t="shared" si="2"/>
        <v>1.9271453624804911E-4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4.5210926115166828E-3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1.9271453624804911E-4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1255.8590587546339</v>
      </c>
      <c r="H54" s="21">
        <f t="shared" si="3"/>
        <v>0</v>
      </c>
      <c r="I54" s="21">
        <f t="shared" si="3"/>
        <v>0</v>
      </c>
      <c r="J54" s="21">
        <f t="shared" si="3"/>
        <v>0</v>
      </c>
      <c r="K54" s="21">
        <f t="shared" si="3"/>
        <v>0</v>
      </c>
      <c r="L54" s="21">
        <f t="shared" si="3"/>
        <v>0</v>
      </c>
      <c r="M54" s="21">
        <f t="shared" si="3"/>
        <v>53.53181562445809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0.21216226349728626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335.31436868748727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14150.920020941949</v>
      </c>
      <c r="D10" s="687">
        <f ca="1">tertiair!C16</f>
        <v>0</v>
      </c>
      <c r="E10" s="687">
        <f ca="1">tertiair!D16</f>
        <v>10280.818398795072</v>
      </c>
      <c r="F10" s="687">
        <f>tertiair!E16</f>
        <v>231.86010497908768</v>
      </c>
      <c r="G10" s="687">
        <f ca="1">tertiair!F16</f>
        <v>2479.5305809399279</v>
      </c>
      <c r="H10" s="687">
        <f>tertiair!G16</f>
        <v>0</v>
      </c>
      <c r="I10" s="687">
        <f>tertiair!H16</f>
        <v>0</v>
      </c>
      <c r="J10" s="687">
        <f>tertiair!I16</f>
        <v>0</v>
      </c>
      <c r="K10" s="687">
        <f>tertiair!J16</f>
        <v>0</v>
      </c>
      <c r="L10" s="687">
        <f>tertiair!K16</f>
        <v>0</v>
      </c>
      <c r="M10" s="687">
        <f ca="1">tertiair!L16</f>
        <v>0</v>
      </c>
      <c r="N10" s="687">
        <f>tertiair!M16</f>
        <v>0</v>
      </c>
      <c r="O10" s="687">
        <f ca="1">tertiair!N16</f>
        <v>341.52605878627458</v>
      </c>
      <c r="P10" s="687">
        <f>tertiair!O16</f>
        <v>6.2533333333333339</v>
      </c>
      <c r="Q10" s="688">
        <f>tertiair!P16</f>
        <v>38.133333333333333</v>
      </c>
      <c r="R10" s="690">
        <f ca="1">SUM(C10:Q10)</f>
        <v>27529.041831108982</v>
      </c>
      <c r="S10" s="67"/>
    </row>
    <row r="11" spans="1:19" s="456" customFormat="1">
      <c r="A11" s="802" t="s">
        <v>225</v>
      </c>
      <c r="B11" s="807"/>
      <c r="C11" s="687">
        <f>huishoudens!B8</f>
        <v>26424.378587344512</v>
      </c>
      <c r="D11" s="687">
        <f>huishoudens!C8</f>
        <v>0</v>
      </c>
      <c r="E11" s="687">
        <f>huishoudens!D8</f>
        <v>21436.738679438917</v>
      </c>
      <c r="F11" s="687">
        <f>huishoudens!E8</f>
        <v>1994.403223252524</v>
      </c>
      <c r="G11" s="687">
        <f>huishoudens!F8</f>
        <v>47492.226086532355</v>
      </c>
      <c r="H11" s="687">
        <f>huishoudens!G8</f>
        <v>0</v>
      </c>
      <c r="I11" s="687">
        <f>huishoudens!H8</f>
        <v>0</v>
      </c>
      <c r="J11" s="687">
        <f>huishoudens!I8</f>
        <v>0</v>
      </c>
      <c r="K11" s="687">
        <f>huishoudens!J8</f>
        <v>2386.6792233471442</v>
      </c>
      <c r="L11" s="687">
        <f>huishoudens!K8</f>
        <v>0</v>
      </c>
      <c r="M11" s="687">
        <f>huishoudens!L8</f>
        <v>0</v>
      </c>
      <c r="N11" s="687">
        <f>huishoudens!M8</f>
        <v>0</v>
      </c>
      <c r="O11" s="687">
        <f>huishoudens!N8</f>
        <v>7948.036608926519</v>
      </c>
      <c r="P11" s="687">
        <f>huishoudens!O8</f>
        <v>82.856666666666683</v>
      </c>
      <c r="Q11" s="688">
        <f>huishoudens!P8</f>
        <v>362.26666666666665</v>
      </c>
      <c r="R11" s="690">
        <f>SUM(C11:Q11)</f>
        <v>108127.58574217532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5931.6304652177478</v>
      </c>
      <c r="D13" s="687">
        <f>industrie!C18</f>
        <v>0</v>
      </c>
      <c r="E13" s="687">
        <f>industrie!D18</f>
        <v>2336.3642872211185</v>
      </c>
      <c r="F13" s="687">
        <f>industrie!E18</f>
        <v>73.87851037403918</v>
      </c>
      <c r="G13" s="687">
        <f>industrie!F18</f>
        <v>2369.1813793526403</v>
      </c>
      <c r="H13" s="687">
        <f>industrie!G18</f>
        <v>0</v>
      </c>
      <c r="I13" s="687">
        <f>industrie!H18</f>
        <v>0</v>
      </c>
      <c r="J13" s="687">
        <f>industrie!I18</f>
        <v>0</v>
      </c>
      <c r="K13" s="687">
        <f>industrie!J18</f>
        <v>24.951304214319592</v>
      </c>
      <c r="L13" s="687">
        <f>industrie!K18</f>
        <v>0</v>
      </c>
      <c r="M13" s="687">
        <f>industrie!L18</f>
        <v>0</v>
      </c>
      <c r="N13" s="687">
        <f>industrie!M18</f>
        <v>0</v>
      </c>
      <c r="O13" s="687">
        <f>industrie!N18</f>
        <v>216.61225441424529</v>
      </c>
      <c r="P13" s="687">
        <f>industrie!O18</f>
        <v>0</v>
      </c>
      <c r="Q13" s="688">
        <f>industrie!P18</f>
        <v>0</v>
      </c>
      <c r="R13" s="690">
        <f>SUM(C13:Q13)</f>
        <v>10952.61820079411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46506.929073504209</v>
      </c>
      <c r="D16" s="720">
        <f t="shared" ref="D16:R16" ca="1" si="0">SUM(D9:D15)</f>
        <v>0</v>
      </c>
      <c r="E16" s="720">
        <f t="shared" ca="1" si="0"/>
        <v>34053.921365455106</v>
      </c>
      <c r="F16" s="720">
        <f t="shared" si="0"/>
        <v>2300.1418386056507</v>
      </c>
      <c r="G16" s="720">
        <f t="shared" ca="1" si="0"/>
        <v>52340.938046824922</v>
      </c>
      <c r="H16" s="720">
        <f t="shared" si="0"/>
        <v>0</v>
      </c>
      <c r="I16" s="720">
        <f t="shared" si="0"/>
        <v>0</v>
      </c>
      <c r="J16" s="720">
        <f t="shared" si="0"/>
        <v>0</v>
      </c>
      <c r="K16" s="720">
        <f t="shared" si="0"/>
        <v>2411.6305275614636</v>
      </c>
      <c r="L16" s="720">
        <f t="shared" si="0"/>
        <v>0</v>
      </c>
      <c r="M16" s="720">
        <f t="shared" ca="1" si="0"/>
        <v>0</v>
      </c>
      <c r="N16" s="720">
        <f t="shared" si="0"/>
        <v>0</v>
      </c>
      <c r="O16" s="720">
        <f t="shared" ca="1" si="0"/>
        <v>8506.1749221270384</v>
      </c>
      <c r="P16" s="720">
        <f t="shared" si="0"/>
        <v>89.110000000000014</v>
      </c>
      <c r="Q16" s="720">
        <f t="shared" si="0"/>
        <v>400.4</v>
      </c>
      <c r="R16" s="720">
        <f t="shared" ca="1" si="0"/>
        <v>146609.24577407842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1255.8590587546339</v>
      </c>
      <c r="I19" s="687">
        <f>transport!H54</f>
        <v>0</v>
      </c>
      <c r="J19" s="687">
        <f>transport!I54</f>
        <v>0</v>
      </c>
      <c r="K19" s="687">
        <f>transport!J54</f>
        <v>0</v>
      </c>
      <c r="L19" s="687">
        <f>transport!K54</f>
        <v>0</v>
      </c>
      <c r="M19" s="687">
        <f>transport!L54</f>
        <v>0</v>
      </c>
      <c r="N19" s="687">
        <f>transport!M54</f>
        <v>53.53181562445809</v>
      </c>
      <c r="O19" s="687">
        <f>transport!N54</f>
        <v>0</v>
      </c>
      <c r="P19" s="687">
        <f>transport!O54</f>
        <v>0</v>
      </c>
      <c r="Q19" s="688">
        <f>transport!P54</f>
        <v>0</v>
      </c>
      <c r="R19" s="690">
        <f>SUM(C19:Q19)</f>
        <v>1309.3908743790921</v>
      </c>
      <c r="S19" s="67"/>
    </row>
    <row r="20" spans="1:19" s="456" customFormat="1">
      <c r="A20" s="802" t="s">
        <v>307</v>
      </c>
      <c r="B20" s="807"/>
      <c r="C20" s="687">
        <f>transport!B14</f>
        <v>0.52300468906907538</v>
      </c>
      <c r="D20" s="687">
        <f>transport!C14</f>
        <v>0</v>
      </c>
      <c r="E20" s="687">
        <f>transport!D14</f>
        <v>3.1894990618130081</v>
      </c>
      <c r="F20" s="687">
        <f>transport!E14</f>
        <v>312.74404998881897</v>
      </c>
      <c r="G20" s="687">
        <f>transport!F14</f>
        <v>0</v>
      </c>
      <c r="H20" s="687">
        <f>transport!G14</f>
        <v>50123.234869218868</v>
      </c>
      <c r="I20" s="687">
        <f>transport!H14</f>
        <v>10427.385001496605</v>
      </c>
      <c r="J20" s="687">
        <f>transport!I14</f>
        <v>0</v>
      </c>
      <c r="K20" s="687">
        <f>transport!J14</f>
        <v>0</v>
      </c>
      <c r="L20" s="687">
        <f>transport!K14</f>
        <v>0</v>
      </c>
      <c r="M20" s="687">
        <f>transport!L14</f>
        <v>0</v>
      </c>
      <c r="N20" s="687">
        <f>transport!M14</f>
        <v>2646.8606660488545</v>
      </c>
      <c r="O20" s="687">
        <f>transport!N14</f>
        <v>0</v>
      </c>
      <c r="P20" s="687">
        <f>transport!O14</f>
        <v>0</v>
      </c>
      <c r="Q20" s="688">
        <f>transport!P14</f>
        <v>0</v>
      </c>
      <c r="R20" s="690">
        <f>SUM(C20:Q20)</f>
        <v>63513.93709050402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0.52300468906907538</v>
      </c>
      <c r="D22" s="805">
        <f t="shared" ref="D22:R22" si="1">SUM(D18:D21)</f>
        <v>0</v>
      </c>
      <c r="E22" s="805">
        <f t="shared" si="1"/>
        <v>3.1894990618130081</v>
      </c>
      <c r="F22" s="805">
        <f t="shared" si="1"/>
        <v>312.74404998881897</v>
      </c>
      <c r="G22" s="805">
        <f t="shared" si="1"/>
        <v>0</v>
      </c>
      <c r="H22" s="805">
        <f t="shared" si="1"/>
        <v>51379.093927973503</v>
      </c>
      <c r="I22" s="805">
        <f t="shared" si="1"/>
        <v>10427.385001496605</v>
      </c>
      <c r="J22" s="805">
        <f t="shared" si="1"/>
        <v>0</v>
      </c>
      <c r="K22" s="805">
        <f t="shared" si="1"/>
        <v>0</v>
      </c>
      <c r="L22" s="805">
        <f t="shared" si="1"/>
        <v>0</v>
      </c>
      <c r="M22" s="805">
        <f t="shared" si="1"/>
        <v>0</v>
      </c>
      <c r="N22" s="805">
        <f t="shared" si="1"/>
        <v>2700.3924816733124</v>
      </c>
      <c r="O22" s="805">
        <f t="shared" si="1"/>
        <v>0</v>
      </c>
      <c r="P22" s="805">
        <f t="shared" si="1"/>
        <v>0</v>
      </c>
      <c r="Q22" s="805">
        <f t="shared" si="1"/>
        <v>0</v>
      </c>
      <c r="R22" s="805">
        <f t="shared" si="1"/>
        <v>64823.327964883109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947.78688645688396</v>
      </c>
      <c r="D24" s="687">
        <f>+landbouw!C8</f>
        <v>0</v>
      </c>
      <c r="E24" s="687">
        <f>+landbouw!D8</f>
        <v>261.0519434070286</v>
      </c>
      <c r="F24" s="687">
        <f>+landbouw!E8</f>
        <v>9.9254294624699106</v>
      </c>
      <c r="G24" s="687">
        <f>+landbouw!F8</f>
        <v>4057.2480391210106</v>
      </c>
      <c r="H24" s="687">
        <f>+landbouw!G8</f>
        <v>0</v>
      </c>
      <c r="I24" s="687">
        <f>+landbouw!H8</f>
        <v>0</v>
      </c>
      <c r="J24" s="687">
        <f>+landbouw!I8</f>
        <v>0</v>
      </c>
      <c r="K24" s="687">
        <f>+landbouw!J8</f>
        <v>84.645864119387568</v>
      </c>
      <c r="L24" s="687">
        <f>+landbouw!K8</f>
        <v>0</v>
      </c>
      <c r="M24" s="687">
        <f>+landbouw!L8</f>
        <v>0</v>
      </c>
      <c r="N24" s="687">
        <f>+landbouw!M8</f>
        <v>0</v>
      </c>
      <c r="O24" s="687">
        <f>+landbouw!N8</f>
        <v>0</v>
      </c>
      <c r="P24" s="687">
        <f>+landbouw!O8</f>
        <v>0</v>
      </c>
      <c r="Q24" s="688">
        <f>+landbouw!P8</f>
        <v>0</v>
      </c>
      <c r="R24" s="690">
        <f>SUM(C24:Q24)</f>
        <v>5360.6581625667804</v>
      </c>
      <c r="S24" s="67"/>
    </row>
    <row r="25" spans="1:19" s="456" customFormat="1" ht="15" thickBot="1">
      <c r="A25" s="824" t="s">
        <v>925</v>
      </c>
      <c r="B25" s="988"/>
      <c r="C25" s="989">
        <f>IF(Onbekend_ele_kWh="---",0,Onbekend_ele_kWh)/1000+IF(REST_rest_ele_kWh="---",0,REST_rest_ele_kWh)/1000</f>
        <v>1744.7024729324801</v>
      </c>
      <c r="D25" s="989"/>
      <c r="E25" s="989">
        <f>IF(onbekend_gas_kWh="---",0,onbekend_gas_kWh)/1000+IF(REST_rest_gas_kWh="---",0,REST_rest_gas_kWh)/1000</f>
        <v>1199.38955333432</v>
      </c>
      <c r="F25" s="989"/>
      <c r="G25" s="989"/>
      <c r="H25" s="989"/>
      <c r="I25" s="989"/>
      <c r="J25" s="989"/>
      <c r="K25" s="989"/>
      <c r="L25" s="989"/>
      <c r="M25" s="989"/>
      <c r="N25" s="989"/>
      <c r="O25" s="989"/>
      <c r="P25" s="989"/>
      <c r="Q25" s="990"/>
      <c r="R25" s="690">
        <f>SUM(C25:Q25)</f>
        <v>2944.0920262668001</v>
      </c>
      <c r="S25" s="67"/>
    </row>
    <row r="26" spans="1:19" s="456" customFormat="1" ht="15.75" thickBot="1">
      <c r="A26" s="693" t="s">
        <v>926</v>
      </c>
      <c r="B26" s="810"/>
      <c r="C26" s="805">
        <f>SUM(C24:C25)</f>
        <v>2692.4893593893639</v>
      </c>
      <c r="D26" s="805">
        <f t="shared" ref="D26:R26" si="2">SUM(D24:D25)</f>
        <v>0</v>
      </c>
      <c r="E26" s="805">
        <f t="shared" si="2"/>
        <v>1460.4414967413486</v>
      </c>
      <c r="F26" s="805">
        <f t="shared" si="2"/>
        <v>9.9254294624699106</v>
      </c>
      <c r="G26" s="805">
        <f t="shared" si="2"/>
        <v>4057.2480391210106</v>
      </c>
      <c r="H26" s="805">
        <f t="shared" si="2"/>
        <v>0</v>
      </c>
      <c r="I26" s="805">
        <f t="shared" si="2"/>
        <v>0</v>
      </c>
      <c r="J26" s="805">
        <f t="shared" si="2"/>
        <v>0</v>
      </c>
      <c r="K26" s="805">
        <f t="shared" si="2"/>
        <v>84.645864119387568</v>
      </c>
      <c r="L26" s="805">
        <f t="shared" si="2"/>
        <v>0</v>
      </c>
      <c r="M26" s="805">
        <f t="shared" si="2"/>
        <v>0</v>
      </c>
      <c r="N26" s="805">
        <f t="shared" si="2"/>
        <v>0</v>
      </c>
      <c r="O26" s="805">
        <f t="shared" si="2"/>
        <v>0</v>
      </c>
      <c r="P26" s="805">
        <f t="shared" si="2"/>
        <v>0</v>
      </c>
      <c r="Q26" s="805">
        <f t="shared" si="2"/>
        <v>0</v>
      </c>
      <c r="R26" s="805">
        <f t="shared" si="2"/>
        <v>8304.750188833581</v>
      </c>
      <c r="S26" s="67"/>
    </row>
    <row r="27" spans="1:19" s="456" customFormat="1" ht="17.25" thickTop="1" thickBot="1">
      <c r="A27" s="694" t="s">
        <v>116</v>
      </c>
      <c r="B27" s="797"/>
      <c r="C27" s="695">
        <f ca="1">C22+C16+C26</f>
        <v>49199.941437582645</v>
      </c>
      <c r="D27" s="695">
        <f t="shared" ref="D27:R27" ca="1" si="3">D22+D16+D26</f>
        <v>0</v>
      </c>
      <c r="E27" s="695">
        <f t="shared" ca="1" si="3"/>
        <v>35517.552361258269</v>
      </c>
      <c r="F27" s="695">
        <f t="shared" si="3"/>
        <v>2622.8113180569394</v>
      </c>
      <c r="G27" s="695">
        <f t="shared" ca="1" si="3"/>
        <v>56398.186085945934</v>
      </c>
      <c r="H27" s="695">
        <f t="shared" si="3"/>
        <v>51379.093927973503</v>
      </c>
      <c r="I27" s="695">
        <f t="shared" si="3"/>
        <v>10427.385001496605</v>
      </c>
      <c r="J27" s="695">
        <f t="shared" si="3"/>
        <v>0</v>
      </c>
      <c r="K27" s="695">
        <f t="shared" si="3"/>
        <v>2496.2763916808512</v>
      </c>
      <c r="L27" s="695">
        <f t="shared" si="3"/>
        <v>0</v>
      </c>
      <c r="M27" s="695">
        <f t="shared" ca="1" si="3"/>
        <v>0</v>
      </c>
      <c r="N27" s="695">
        <f t="shared" si="3"/>
        <v>2700.3924816733124</v>
      </c>
      <c r="O27" s="695">
        <f t="shared" ca="1" si="3"/>
        <v>8506.1749221270384</v>
      </c>
      <c r="P27" s="695">
        <f t="shared" si="3"/>
        <v>89.110000000000014</v>
      </c>
      <c r="Q27" s="695">
        <f t="shared" si="3"/>
        <v>400.4</v>
      </c>
      <c r="R27" s="695">
        <f t="shared" ca="1" si="3"/>
        <v>219737.32392779511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3002.291222212109</v>
      </c>
      <c r="D40" s="687">
        <f ca="1">tertiair!C20</f>
        <v>0</v>
      </c>
      <c r="E40" s="687">
        <f ca="1">tertiair!D20</f>
        <v>2076.7253165566049</v>
      </c>
      <c r="F40" s="687">
        <f>tertiair!E20</f>
        <v>52.632243830252904</v>
      </c>
      <c r="G40" s="687">
        <f ca="1">tertiair!F20</f>
        <v>662.03466511096076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5793.6834477099273</v>
      </c>
    </row>
    <row r="41" spans="1:18">
      <c r="A41" s="815" t="s">
        <v>225</v>
      </c>
      <c r="B41" s="822"/>
      <c r="C41" s="687">
        <f ca="1">huishoudens!B12</f>
        <v>5606.2559726002355</v>
      </c>
      <c r="D41" s="687">
        <f ca="1">huishoudens!C12</f>
        <v>0</v>
      </c>
      <c r="E41" s="687">
        <f>huishoudens!D12</f>
        <v>4330.2212132466611</v>
      </c>
      <c r="F41" s="687">
        <f>huishoudens!E12</f>
        <v>452.72953167832293</v>
      </c>
      <c r="G41" s="687">
        <f>huishoudens!F12</f>
        <v>12680.42436510414</v>
      </c>
      <c r="H41" s="687">
        <f>huishoudens!G12</f>
        <v>0</v>
      </c>
      <c r="I41" s="687">
        <f>huishoudens!H12</f>
        <v>0</v>
      </c>
      <c r="J41" s="687">
        <f>huishoudens!I12</f>
        <v>0</v>
      </c>
      <c r="K41" s="687">
        <f>huishoudens!J12</f>
        <v>844.88444506488906</v>
      </c>
      <c r="L41" s="687">
        <f>huishoudens!K12</f>
        <v>0</v>
      </c>
      <c r="M41" s="687">
        <f>huishoudens!L12</f>
        <v>0</v>
      </c>
      <c r="N41" s="687">
        <f>huishoudens!M12</f>
        <v>0</v>
      </c>
      <c r="O41" s="687">
        <f>huishoudens!N12</f>
        <v>0</v>
      </c>
      <c r="P41" s="687">
        <f>huishoudens!O12</f>
        <v>0</v>
      </c>
      <c r="Q41" s="762">
        <f>huishoudens!P12</f>
        <v>0</v>
      </c>
      <c r="R41" s="843">
        <f t="shared" ca="1" si="4"/>
        <v>23914.51552769425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1258.4681457300585</v>
      </c>
      <c r="D43" s="687">
        <f ca="1">industrie!C22</f>
        <v>0</v>
      </c>
      <c r="E43" s="687">
        <f>industrie!D22</f>
        <v>471.94558601866595</v>
      </c>
      <c r="F43" s="687">
        <f>industrie!E22</f>
        <v>16.770421854906896</v>
      </c>
      <c r="G43" s="687">
        <f>industrie!F22</f>
        <v>632.57142828715496</v>
      </c>
      <c r="H43" s="687">
        <f>industrie!G22</f>
        <v>0</v>
      </c>
      <c r="I43" s="687">
        <f>industrie!H22</f>
        <v>0</v>
      </c>
      <c r="J43" s="687">
        <f>industrie!I22</f>
        <v>0</v>
      </c>
      <c r="K43" s="687">
        <f>industrie!J22</f>
        <v>8.8327616918691358</v>
      </c>
      <c r="L43" s="687">
        <f>industrie!K22</f>
        <v>0</v>
      </c>
      <c r="M43" s="687">
        <f>industrie!L22</f>
        <v>0</v>
      </c>
      <c r="N43" s="687">
        <f>industrie!M22</f>
        <v>0</v>
      </c>
      <c r="O43" s="687">
        <f>industrie!N22</f>
        <v>0</v>
      </c>
      <c r="P43" s="687">
        <f>industrie!O22</f>
        <v>0</v>
      </c>
      <c r="Q43" s="762">
        <f>industrie!P22</f>
        <v>0</v>
      </c>
      <c r="R43" s="842">
        <f t="shared" ca="1" si="4"/>
        <v>2388.5883435826554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9867.0153405424026</v>
      </c>
      <c r="D46" s="720">
        <f t="shared" ref="D46:Q46" ca="1" si="5">SUM(D39:D45)</f>
        <v>0</v>
      </c>
      <c r="E46" s="720">
        <f t="shared" ca="1" si="5"/>
        <v>6878.8921158219327</v>
      </c>
      <c r="F46" s="720">
        <f t="shared" si="5"/>
        <v>522.13219736348276</v>
      </c>
      <c r="G46" s="720">
        <f t="shared" ca="1" si="5"/>
        <v>13975.030458502257</v>
      </c>
      <c r="H46" s="720">
        <f t="shared" si="5"/>
        <v>0</v>
      </c>
      <c r="I46" s="720">
        <f t="shared" si="5"/>
        <v>0</v>
      </c>
      <c r="J46" s="720">
        <f t="shared" si="5"/>
        <v>0</v>
      </c>
      <c r="K46" s="720">
        <f t="shared" si="5"/>
        <v>853.71720675675817</v>
      </c>
      <c r="L46" s="720">
        <f t="shared" si="5"/>
        <v>0</v>
      </c>
      <c r="M46" s="720">
        <f t="shared" ca="1" si="5"/>
        <v>0</v>
      </c>
      <c r="N46" s="720">
        <f t="shared" si="5"/>
        <v>0</v>
      </c>
      <c r="O46" s="720">
        <f t="shared" ca="1" si="5"/>
        <v>0</v>
      </c>
      <c r="P46" s="720">
        <f t="shared" si="5"/>
        <v>0</v>
      </c>
      <c r="Q46" s="720">
        <f t="shared" si="5"/>
        <v>0</v>
      </c>
      <c r="R46" s="720">
        <f ca="1">SUM(R39:R45)</f>
        <v>32096.787318986833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335.31436868748727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335.31436868748727</v>
      </c>
    </row>
    <row r="50" spans="1:18">
      <c r="A50" s="818" t="s">
        <v>307</v>
      </c>
      <c r="B50" s="828"/>
      <c r="C50" s="995">
        <f ca="1">transport!B18</f>
        <v>0.11096185865258944</v>
      </c>
      <c r="D50" s="995">
        <f>transport!C18</f>
        <v>0</v>
      </c>
      <c r="E50" s="995">
        <f>transport!D18</f>
        <v>0.6442788104862277</v>
      </c>
      <c r="F50" s="995">
        <f>transport!E18</f>
        <v>70.992899347461915</v>
      </c>
      <c r="G50" s="995">
        <f>transport!F18</f>
        <v>0</v>
      </c>
      <c r="H50" s="995">
        <f>transport!G18</f>
        <v>13382.903710081438</v>
      </c>
      <c r="I50" s="995">
        <f>transport!H18</f>
        <v>2596.4188653726546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16051.070715470694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0.11096185865258944</v>
      </c>
      <c r="D52" s="720">
        <f t="shared" ref="D52:Q52" ca="1" si="6">SUM(D48:D51)</f>
        <v>0</v>
      </c>
      <c r="E52" s="720">
        <f t="shared" si="6"/>
        <v>0.6442788104862277</v>
      </c>
      <c r="F52" s="720">
        <f t="shared" si="6"/>
        <v>70.992899347461915</v>
      </c>
      <c r="G52" s="720">
        <f t="shared" si="6"/>
        <v>0</v>
      </c>
      <c r="H52" s="720">
        <f t="shared" si="6"/>
        <v>13718.218078768925</v>
      </c>
      <c r="I52" s="720">
        <f t="shared" si="6"/>
        <v>2596.4188653726546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16386.385084158181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201.08461114373796</v>
      </c>
      <c r="D54" s="995">
        <f ca="1">+landbouw!C12</f>
        <v>0</v>
      </c>
      <c r="E54" s="995">
        <f>+landbouw!D12</f>
        <v>52.732492568219783</v>
      </c>
      <c r="F54" s="995">
        <f>+landbouw!E12</f>
        <v>2.2530724879806696</v>
      </c>
      <c r="G54" s="995">
        <f>+landbouw!F12</f>
        <v>1083.2852264453099</v>
      </c>
      <c r="H54" s="995">
        <f>+landbouw!G12</f>
        <v>0</v>
      </c>
      <c r="I54" s="995">
        <f>+landbouw!H12</f>
        <v>0</v>
      </c>
      <c r="J54" s="995">
        <f>+landbouw!I12</f>
        <v>0</v>
      </c>
      <c r="K54" s="995">
        <f>+landbouw!J12</f>
        <v>29.964635898263197</v>
      </c>
      <c r="L54" s="995">
        <f>+landbouw!K12</f>
        <v>0</v>
      </c>
      <c r="M54" s="995">
        <f>+landbouw!L12</f>
        <v>0</v>
      </c>
      <c r="N54" s="995">
        <f>+landbouw!M12</f>
        <v>0</v>
      </c>
      <c r="O54" s="995">
        <f>+landbouw!N12</f>
        <v>0</v>
      </c>
      <c r="P54" s="995">
        <f>+landbouw!O12</f>
        <v>0</v>
      </c>
      <c r="Q54" s="996">
        <f>+landbouw!P12</f>
        <v>0</v>
      </c>
      <c r="R54" s="719">
        <f ca="1">SUM(C54:Q54)</f>
        <v>1369.3200385435116</v>
      </c>
    </row>
    <row r="55" spans="1:18" ht="15" thickBot="1">
      <c r="A55" s="818" t="s">
        <v>925</v>
      </c>
      <c r="B55" s="828"/>
      <c r="C55" s="995">
        <f ca="1">C25*'EF ele_warmte'!B12</f>
        <v>370.1600257866678</v>
      </c>
      <c r="D55" s="995"/>
      <c r="E55" s="995">
        <f>E25*EF_CO2_aardgas</f>
        <v>242.27668977353267</v>
      </c>
      <c r="F55" s="995"/>
      <c r="G55" s="995"/>
      <c r="H55" s="995"/>
      <c r="I55" s="995"/>
      <c r="J55" s="995"/>
      <c r="K55" s="995"/>
      <c r="L55" s="995"/>
      <c r="M55" s="995"/>
      <c r="N55" s="995"/>
      <c r="O55" s="995"/>
      <c r="P55" s="995"/>
      <c r="Q55" s="996"/>
      <c r="R55" s="719">
        <f ca="1">SUM(C55:Q55)</f>
        <v>612.43671556020047</v>
      </c>
    </row>
    <row r="56" spans="1:18" ht="15.75" thickBot="1">
      <c r="A56" s="816" t="s">
        <v>926</v>
      </c>
      <c r="B56" s="829"/>
      <c r="C56" s="720">
        <f ca="1">SUM(C54:C55)</f>
        <v>571.2446369304057</v>
      </c>
      <c r="D56" s="720">
        <f t="shared" ref="D56:Q56" ca="1" si="7">SUM(D54:D55)</f>
        <v>0</v>
      </c>
      <c r="E56" s="720">
        <f t="shared" si="7"/>
        <v>295.00918234175242</v>
      </c>
      <c r="F56" s="720">
        <f t="shared" si="7"/>
        <v>2.2530724879806696</v>
      </c>
      <c r="G56" s="720">
        <f t="shared" si="7"/>
        <v>1083.2852264453099</v>
      </c>
      <c r="H56" s="720">
        <f t="shared" si="7"/>
        <v>0</v>
      </c>
      <c r="I56" s="720">
        <f t="shared" si="7"/>
        <v>0</v>
      </c>
      <c r="J56" s="720">
        <f t="shared" si="7"/>
        <v>0</v>
      </c>
      <c r="K56" s="720">
        <f t="shared" si="7"/>
        <v>29.964635898263197</v>
      </c>
      <c r="L56" s="720">
        <f t="shared" si="7"/>
        <v>0</v>
      </c>
      <c r="M56" s="720">
        <f t="shared" si="7"/>
        <v>0</v>
      </c>
      <c r="N56" s="720">
        <f t="shared" si="7"/>
        <v>0</v>
      </c>
      <c r="O56" s="720">
        <f t="shared" si="7"/>
        <v>0</v>
      </c>
      <c r="P56" s="720">
        <f t="shared" si="7"/>
        <v>0</v>
      </c>
      <c r="Q56" s="721">
        <f t="shared" si="7"/>
        <v>0</v>
      </c>
      <c r="R56" s="722">
        <f ca="1">SUM(R54:R55)</f>
        <v>1981.756754103712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10438.37093933146</v>
      </c>
      <c r="D61" s="728">
        <f t="shared" ref="D61:Q61" ca="1" si="8">D46+D52+D56</f>
        <v>0</v>
      </c>
      <c r="E61" s="728">
        <f t="shared" ca="1" si="8"/>
        <v>7174.5455769741711</v>
      </c>
      <c r="F61" s="728">
        <f t="shared" si="8"/>
        <v>595.37816919892543</v>
      </c>
      <c r="G61" s="728">
        <f t="shared" ca="1" si="8"/>
        <v>15058.315684947567</v>
      </c>
      <c r="H61" s="728">
        <f t="shared" si="8"/>
        <v>13718.218078768925</v>
      </c>
      <c r="I61" s="728">
        <f t="shared" si="8"/>
        <v>2596.4188653726546</v>
      </c>
      <c r="J61" s="728">
        <f t="shared" si="8"/>
        <v>0</v>
      </c>
      <c r="K61" s="728">
        <f t="shared" si="8"/>
        <v>883.68184265502134</v>
      </c>
      <c r="L61" s="728">
        <f t="shared" si="8"/>
        <v>0</v>
      </c>
      <c r="M61" s="728">
        <f t="shared" ca="1" si="8"/>
        <v>0</v>
      </c>
      <c r="N61" s="728">
        <f t="shared" si="8"/>
        <v>0</v>
      </c>
      <c r="O61" s="728">
        <f t="shared" ca="1" si="8"/>
        <v>0</v>
      </c>
      <c r="P61" s="728">
        <f t="shared" si="8"/>
        <v>0</v>
      </c>
      <c r="Q61" s="728">
        <f t="shared" si="8"/>
        <v>0</v>
      </c>
      <c r="R61" s="728">
        <f ca="1">R46+R52+R56</f>
        <v>50464.929157248727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0.21216226349728623</v>
      </c>
      <c r="D63" s="772">
        <f t="shared" ca="1" si="9"/>
        <v>0</v>
      </c>
      <c r="E63" s="997">
        <f t="shared" ca="1" si="9"/>
        <v>0.20200000000000001</v>
      </c>
      <c r="F63" s="772">
        <f t="shared" si="9"/>
        <v>0.22700000000000006</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1967.4937483000097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1967.4937483000097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1967.4937483000097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1967.4937483000097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26424.378587344512</v>
      </c>
      <c r="C4" s="460">
        <f>huishoudens!C8</f>
        <v>0</v>
      </c>
      <c r="D4" s="460">
        <f>huishoudens!D8</f>
        <v>21436.738679438917</v>
      </c>
      <c r="E4" s="460">
        <f>huishoudens!E8</f>
        <v>1994.403223252524</v>
      </c>
      <c r="F4" s="460">
        <f>huishoudens!F8</f>
        <v>47492.226086532355</v>
      </c>
      <c r="G4" s="460">
        <f>huishoudens!G8</f>
        <v>0</v>
      </c>
      <c r="H4" s="460">
        <f>huishoudens!H8</f>
        <v>0</v>
      </c>
      <c r="I4" s="460">
        <f>huishoudens!I8</f>
        <v>0</v>
      </c>
      <c r="J4" s="460">
        <f>huishoudens!J8</f>
        <v>2386.6792233471442</v>
      </c>
      <c r="K4" s="460">
        <f>huishoudens!K8</f>
        <v>0</v>
      </c>
      <c r="L4" s="460">
        <f>huishoudens!L8</f>
        <v>0</v>
      </c>
      <c r="M4" s="460">
        <f>huishoudens!M8</f>
        <v>0</v>
      </c>
      <c r="N4" s="460">
        <f>huishoudens!N8</f>
        <v>7948.036608926519</v>
      </c>
      <c r="O4" s="460">
        <f>huishoudens!O8</f>
        <v>82.856666666666683</v>
      </c>
      <c r="P4" s="461">
        <f>huishoudens!P8</f>
        <v>362.26666666666665</v>
      </c>
      <c r="Q4" s="462">
        <f>SUM(B4:P4)</f>
        <v>108127.58574217532</v>
      </c>
    </row>
    <row r="5" spans="1:17">
      <c r="A5" s="459" t="s">
        <v>156</v>
      </c>
      <c r="B5" s="460">
        <f ca="1">tertiair!B16</f>
        <v>13155.644020941949</v>
      </c>
      <c r="C5" s="460">
        <f ca="1">tertiair!C16</f>
        <v>0</v>
      </c>
      <c r="D5" s="460">
        <f ca="1">tertiair!D16</f>
        <v>10280.818398795072</v>
      </c>
      <c r="E5" s="460">
        <f>tertiair!E16</f>
        <v>231.86010497908768</v>
      </c>
      <c r="F5" s="460">
        <f ca="1">tertiair!F16</f>
        <v>2479.5305809399279</v>
      </c>
      <c r="G5" s="460">
        <f>tertiair!G16</f>
        <v>0</v>
      </c>
      <c r="H5" s="460">
        <f>tertiair!H16</f>
        <v>0</v>
      </c>
      <c r="I5" s="460">
        <f>tertiair!I16</f>
        <v>0</v>
      </c>
      <c r="J5" s="460">
        <f>tertiair!J16</f>
        <v>0</v>
      </c>
      <c r="K5" s="460">
        <f>tertiair!K16</f>
        <v>0</v>
      </c>
      <c r="L5" s="460">
        <f ca="1">tertiair!L16</f>
        <v>0</v>
      </c>
      <c r="M5" s="460">
        <f>tertiair!M16</f>
        <v>0</v>
      </c>
      <c r="N5" s="460">
        <f ca="1">tertiair!N16</f>
        <v>341.52605878627458</v>
      </c>
      <c r="O5" s="460">
        <f>tertiair!O16</f>
        <v>6.2533333333333339</v>
      </c>
      <c r="P5" s="461">
        <f>tertiair!P16</f>
        <v>38.133333333333333</v>
      </c>
      <c r="Q5" s="459">
        <f t="shared" ref="Q5:Q14" ca="1" si="0">SUM(B5:P5)</f>
        <v>26533.765831108984</v>
      </c>
    </row>
    <row r="6" spans="1:17">
      <c r="A6" s="459" t="s">
        <v>194</v>
      </c>
      <c r="B6" s="460">
        <f>'openbare verlichting'!B8</f>
        <v>995.27599999999995</v>
      </c>
      <c r="C6" s="460"/>
      <c r="D6" s="460"/>
      <c r="E6" s="460"/>
      <c r="F6" s="460"/>
      <c r="G6" s="460"/>
      <c r="H6" s="460"/>
      <c r="I6" s="460"/>
      <c r="J6" s="460"/>
      <c r="K6" s="460"/>
      <c r="L6" s="460"/>
      <c r="M6" s="460"/>
      <c r="N6" s="460"/>
      <c r="O6" s="460"/>
      <c r="P6" s="461"/>
      <c r="Q6" s="459">
        <f t="shared" si="0"/>
        <v>995.27599999999995</v>
      </c>
    </row>
    <row r="7" spans="1:17">
      <c r="A7" s="459" t="s">
        <v>112</v>
      </c>
      <c r="B7" s="460">
        <f>landbouw!B8</f>
        <v>947.78688645688396</v>
      </c>
      <c r="C7" s="460">
        <f>landbouw!C8</f>
        <v>0</v>
      </c>
      <c r="D7" s="460">
        <f>landbouw!D8</f>
        <v>261.0519434070286</v>
      </c>
      <c r="E7" s="460">
        <f>landbouw!E8</f>
        <v>9.9254294624699106</v>
      </c>
      <c r="F7" s="460">
        <f>landbouw!F8</f>
        <v>4057.2480391210106</v>
      </c>
      <c r="G7" s="460">
        <f>landbouw!G8</f>
        <v>0</v>
      </c>
      <c r="H7" s="460">
        <f>landbouw!H8</f>
        <v>0</v>
      </c>
      <c r="I7" s="460">
        <f>landbouw!I8</f>
        <v>0</v>
      </c>
      <c r="J7" s="460">
        <f>landbouw!J8</f>
        <v>84.645864119387568</v>
      </c>
      <c r="K7" s="460">
        <f>landbouw!K8</f>
        <v>0</v>
      </c>
      <c r="L7" s="460">
        <f>landbouw!L8</f>
        <v>0</v>
      </c>
      <c r="M7" s="460">
        <f>landbouw!M8</f>
        <v>0</v>
      </c>
      <c r="N7" s="460">
        <f>landbouw!N8</f>
        <v>0</v>
      </c>
      <c r="O7" s="460">
        <f>landbouw!O8</f>
        <v>0</v>
      </c>
      <c r="P7" s="461">
        <f>landbouw!P8</f>
        <v>0</v>
      </c>
      <c r="Q7" s="459">
        <f t="shared" si="0"/>
        <v>5360.6581625667804</v>
      </c>
    </row>
    <row r="8" spans="1:17">
      <c r="A8" s="459" t="s">
        <v>655</v>
      </c>
      <c r="B8" s="460">
        <f>industrie!B18</f>
        <v>5931.6304652177478</v>
      </c>
      <c r="C8" s="460">
        <f>industrie!C18</f>
        <v>0</v>
      </c>
      <c r="D8" s="460">
        <f>industrie!D18</f>
        <v>2336.3642872211185</v>
      </c>
      <c r="E8" s="460">
        <f>industrie!E18</f>
        <v>73.87851037403918</v>
      </c>
      <c r="F8" s="460">
        <f>industrie!F18</f>
        <v>2369.1813793526403</v>
      </c>
      <c r="G8" s="460">
        <f>industrie!G18</f>
        <v>0</v>
      </c>
      <c r="H8" s="460">
        <f>industrie!H18</f>
        <v>0</v>
      </c>
      <c r="I8" s="460">
        <f>industrie!I18</f>
        <v>0</v>
      </c>
      <c r="J8" s="460">
        <f>industrie!J18</f>
        <v>24.951304214319592</v>
      </c>
      <c r="K8" s="460">
        <f>industrie!K18</f>
        <v>0</v>
      </c>
      <c r="L8" s="460">
        <f>industrie!L18</f>
        <v>0</v>
      </c>
      <c r="M8" s="460">
        <f>industrie!M18</f>
        <v>0</v>
      </c>
      <c r="N8" s="460">
        <f>industrie!N18</f>
        <v>216.61225441424529</v>
      </c>
      <c r="O8" s="460">
        <f>industrie!O18</f>
        <v>0</v>
      </c>
      <c r="P8" s="461">
        <f>industrie!P18</f>
        <v>0</v>
      </c>
      <c r="Q8" s="459">
        <f t="shared" si="0"/>
        <v>10952.61820079411</v>
      </c>
    </row>
    <row r="9" spans="1:17" s="465" customFormat="1">
      <c r="A9" s="463" t="s">
        <v>573</v>
      </c>
      <c r="B9" s="464">
        <f>transport!B14</f>
        <v>0.52300468906907538</v>
      </c>
      <c r="C9" s="464">
        <f>transport!C14</f>
        <v>0</v>
      </c>
      <c r="D9" s="464">
        <f>transport!D14</f>
        <v>3.1894990618130081</v>
      </c>
      <c r="E9" s="464">
        <f>transport!E14</f>
        <v>312.74404998881897</v>
      </c>
      <c r="F9" s="464">
        <f>transport!F14</f>
        <v>0</v>
      </c>
      <c r="G9" s="464">
        <f>transport!G14</f>
        <v>50123.234869218868</v>
      </c>
      <c r="H9" s="464">
        <f>transport!H14</f>
        <v>10427.385001496605</v>
      </c>
      <c r="I9" s="464">
        <f>transport!I14</f>
        <v>0</v>
      </c>
      <c r="J9" s="464">
        <f>transport!J14</f>
        <v>0</v>
      </c>
      <c r="K9" s="464">
        <f>transport!K14</f>
        <v>0</v>
      </c>
      <c r="L9" s="464">
        <f>transport!L14</f>
        <v>0</v>
      </c>
      <c r="M9" s="464">
        <f>transport!M14</f>
        <v>2646.8606660488545</v>
      </c>
      <c r="N9" s="464">
        <f>transport!N14</f>
        <v>0</v>
      </c>
      <c r="O9" s="464">
        <f>transport!O14</f>
        <v>0</v>
      </c>
      <c r="P9" s="464">
        <f>transport!P14</f>
        <v>0</v>
      </c>
      <c r="Q9" s="463">
        <f>SUM(B9:P9)</f>
        <v>63513.93709050402</v>
      </c>
    </row>
    <row r="10" spans="1:17">
      <c r="A10" s="459" t="s">
        <v>563</v>
      </c>
      <c r="B10" s="460">
        <f>transport!B54</f>
        <v>0</v>
      </c>
      <c r="C10" s="460">
        <f>transport!C54</f>
        <v>0</v>
      </c>
      <c r="D10" s="460">
        <f>transport!D54</f>
        <v>0</v>
      </c>
      <c r="E10" s="460">
        <f>transport!E54</f>
        <v>0</v>
      </c>
      <c r="F10" s="460">
        <f>transport!F54</f>
        <v>0</v>
      </c>
      <c r="G10" s="460">
        <f>transport!G54</f>
        <v>1255.8590587546339</v>
      </c>
      <c r="H10" s="460">
        <f>transport!H54</f>
        <v>0</v>
      </c>
      <c r="I10" s="460">
        <f>transport!I54</f>
        <v>0</v>
      </c>
      <c r="J10" s="460">
        <f>transport!J54</f>
        <v>0</v>
      </c>
      <c r="K10" s="460">
        <f>transport!K54</f>
        <v>0</v>
      </c>
      <c r="L10" s="460">
        <f>transport!L54</f>
        <v>0</v>
      </c>
      <c r="M10" s="460">
        <f>transport!M54</f>
        <v>53.53181562445809</v>
      </c>
      <c r="N10" s="460">
        <f>transport!N54</f>
        <v>0</v>
      </c>
      <c r="O10" s="460">
        <f>transport!O54</f>
        <v>0</v>
      </c>
      <c r="P10" s="461">
        <f>transport!P54</f>
        <v>0</v>
      </c>
      <c r="Q10" s="459">
        <f t="shared" si="0"/>
        <v>1309.3908743790921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1744.7024729324801</v>
      </c>
      <c r="C14" s="467"/>
      <c r="D14" s="467">
        <f>'SEAP template'!E25</f>
        <v>1199.38955333432</v>
      </c>
      <c r="E14" s="467"/>
      <c r="F14" s="467"/>
      <c r="G14" s="467"/>
      <c r="H14" s="467"/>
      <c r="I14" s="467"/>
      <c r="J14" s="467"/>
      <c r="K14" s="467"/>
      <c r="L14" s="467"/>
      <c r="M14" s="467"/>
      <c r="N14" s="467"/>
      <c r="O14" s="467"/>
      <c r="P14" s="468"/>
      <c r="Q14" s="459">
        <f t="shared" si="0"/>
        <v>2944.0920262668001</v>
      </c>
    </row>
    <row r="15" spans="1:17" s="472" customFormat="1">
      <c r="A15" s="469" t="s">
        <v>567</v>
      </c>
      <c r="B15" s="470">
        <f ca="1">SUM(B4:B14)</f>
        <v>49199.941437582638</v>
      </c>
      <c r="C15" s="470">
        <f t="shared" ref="C15:Q15" ca="1" si="1">SUM(C4:C14)</f>
        <v>0</v>
      </c>
      <c r="D15" s="470">
        <f t="shared" ca="1" si="1"/>
        <v>35517.552361258269</v>
      </c>
      <c r="E15" s="470">
        <f t="shared" si="1"/>
        <v>2622.8113180569394</v>
      </c>
      <c r="F15" s="470">
        <f t="shared" ca="1" si="1"/>
        <v>56398.186085945934</v>
      </c>
      <c r="G15" s="470">
        <f t="shared" si="1"/>
        <v>51379.093927973503</v>
      </c>
      <c r="H15" s="470">
        <f t="shared" si="1"/>
        <v>10427.385001496605</v>
      </c>
      <c r="I15" s="470">
        <f t="shared" si="1"/>
        <v>0</v>
      </c>
      <c r="J15" s="470">
        <f t="shared" si="1"/>
        <v>2496.2763916808512</v>
      </c>
      <c r="K15" s="470">
        <f t="shared" si="1"/>
        <v>0</v>
      </c>
      <c r="L15" s="470">
        <f t="shared" ca="1" si="1"/>
        <v>0</v>
      </c>
      <c r="M15" s="470">
        <f t="shared" si="1"/>
        <v>2700.3924816733124</v>
      </c>
      <c r="N15" s="470">
        <f t="shared" ca="1" si="1"/>
        <v>8506.1749221270384</v>
      </c>
      <c r="O15" s="470">
        <f t="shared" si="1"/>
        <v>89.110000000000014</v>
      </c>
      <c r="P15" s="470">
        <f t="shared" si="1"/>
        <v>400.4</v>
      </c>
      <c r="Q15" s="470">
        <f t="shared" ca="1" si="1"/>
        <v>219737.32392779508</v>
      </c>
    </row>
    <row r="17" spans="1:17">
      <c r="A17" s="473" t="s">
        <v>568</v>
      </c>
      <c r="B17" s="777">
        <f ca="1">huishoudens!B10</f>
        <v>0.21216226349728626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5606.2559726002355</v>
      </c>
      <c r="C22" s="460">
        <f t="shared" ref="C22:C32" ca="1" si="3">C4*$C$17</f>
        <v>0</v>
      </c>
      <c r="D22" s="460">
        <f t="shared" ref="D22:D32" si="4">D4*$D$17</f>
        <v>4330.2212132466611</v>
      </c>
      <c r="E22" s="460">
        <f t="shared" ref="E22:E32" si="5">E4*$E$17</f>
        <v>452.72953167832293</v>
      </c>
      <c r="F22" s="460">
        <f t="shared" ref="F22:F32" si="6">F4*$F$17</f>
        <v>12680.42436510414</v>
      </c>
      <c r="G22" s="460">
        <f t="shared" ref="G22:G32" si="7">G4*$G$17</f>
        <v>0</v>
      </c>
      <c r="H22" s="460">
        <f t="shared" ref="H22:H32" si="8">H4*$H$17</f>
        <v>0</v>
      </c>
      <c r="I22" s="460">
        <f t="shared" ref="I22:I32" si="9">I4*$I$17</f>
        <v>0</v>
      </c>
      <c r="J22" s="460">
        <f t="shared" ref="J22:J32" si="10">J4*$J$17</f>
        <v>844.88444506488906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23914.51552769425</v>
      </c>
    </row>
    <row r="23" spans="1:17">
      <c r="A23" s="459" t="s">
        <v>156</v>
      </c>
      <c r="B23" s="460">
        <f t="shared" ca="1" si="2"/>
        <v>2791.1312132475841</v>
      </c>
      <c r="C23" s="460">
        <f t="shared" ca="1" si="3"/>
        <v>0</v>
      </c>
      <c r="D23" s="460">
        <f t="shared" ca="1" si="4"/>
        <v>2076.7253165566049</v>
      </c>
      <c r="E23" s="460">
        <f t="shared" si="5"/>
        <v>52.632243830252904</v>
      </c>
      <c r="F23" s="460">
        <f t="shared" ca="1" si="6"/>
        <v>662.03466511096076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5582.523438745402</v>
      </c>
    </row>
    <row r="24" spans="1:17">
      <c r="A24" s="459" t="s">
        <v>194</v>
      </c>
      <c r="B24" s="460">
        <f t="shared" ca="1" si="2"/>
        <v>211.16000896452508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211.16000896452508</v>
      </c>
    </row>
    <row r="25" spans="1:17">
      <c r="A25" s="459" t="s">
        <v>112</v>
      </c>
      <c r="B25" s="460">
        <f t="shared" ca="1" si="2"/>
        <v>201.08461114373796</v>
      </c>
      <c r="C25" s="460">
        <f t="shared" ca="1" si="3"/>
        <v>0</v>
      </c>
      <c r="D25" s="460">
        <f t="shared" si="4"/>
        <v>52.732492568219783</v>
      </c>
      <c r="E25" s="460">
        <f t="shared" si="5"/>
        <v>2.2530724879806696</v>
      </c>
      <c r="F25" s="460">
        <f t="shared" si="6"/>
        <v>1083.2852264453099</v>
      </c>
      <c r="G25" s="460">
        <f t="shared" si="7"/>
        <v>0</v>
      </c>
      <c r="H25" s="460">
        <f t="shared" si="8"/>
        <v>0</v>
      </c>
      <c r="I25" s="460">
        <f t="shared" si="9"/>
        <v>0</v>
      </c>
      <c r="J25" s="460">
        <f t="shared" si="10"/>
        <v>29.964635898263197</v>
      </c>
      <c r="K25" s="460">
        <f t="shared" si="11"/>
        <v>0</v>
      </c>
      <c r="L25" s="460">
        <f t="shared" si="12"/>
        <v>0</v>
      </c>
      <c r="M25" s="460">
        <f t="shared" si="13"/>
        <v>0</v>
      </c>
      <c r="N25" s="460">
        <f t="shared" si="14"/>
        <v>0</v>
      </c>
      <c r="O25" s="460">
        <f t="shared" si="15"/>
        <v>0</v>
      </c>
      <c r="P25" s="461">
        <f t="shared" si="16"/>
        <v>0</v>
      </c>
      <c r="Q25" s="459">
        <f t="shared" ca="1" si="17"/>
        <v>1369.3200385435116</v>
      </c>
    </row>
    <row r="26" spans="1:17">
      <c r="A26" s="459" t="s">
        <v>655</v>
      </c>
      <c r="B26" s="460">
        <f t="shared" ca="1" si="2"/>
        <v>1258.4681457300585</v>
      </c>
      <c r="C26" s="460">
        <f t="shared" ca="1" si="3"/>
        <v>0</v>
      </c>
      <c r="D26" s="460">
        <f t="shared" si="4"/>
        <v>471.94558601866595</v>
      </c>
      <c r="E26" s="460">
        <f t="shared" si="5"/>
        <v>16.770421854906896</v>
      </c>
      <c r="F26" s="460">
        <f t="shared" si="6"/>
        <v>632.57142828715496</v>
      </c>
      <c r="G26" s="460">
        <f t="shared" si="7"/>
        <v>0</v>
      </c>
      <c r="H26" s="460">
        <f t="shared" si="8"/>
        <v>0</v>
      </c>
      <c r="I26" s="460">
        <f t="shared" si="9"/>
        <v>0</v>
      </c>
      <c r="J26" s="460">
        <f t="shared" si="10"/>
        <v>8.8327616918691358</v>
      </c>
      <c r="K26" s="460">
        <f t="shared" si="11"/>
        <v>0</v>
      </c>
      <c r="L26" s="460">
        <f t="shared" si="12"/>
        <v>0</v>
      </c>
      <c r="M26" s="460">
        <f t="shared" si="13"/>
        <v>0</v>
      </c>
      <c r="N26" s="460">
        <f t="shared" si="14"/>
        <v>0</v>
      </c>
      <c r="O26" s="460">
        <f t="shared" si="15"/>
        <v>0</v>
      </c>
      <c r="P26" s="461">
        <f t="shared" si="16"/>
        <v>0</v>
      </c>
      <c r="Q26" s="459">
        <f t="shared" ca="1" si="17"/>
        <v>2388.5883435826554</v>
      </c>
    </row>
    <row r="27" spans="1:17" s="465" customFormat="1">
      <c r="A27" s="463" t="s">
        <v>573</v>
      </c>
      <c r="B27" s="771">
        <f t="shared" ca="1" si="2"/>
        <v>0.11096185865258944</v>
      </c>
      <c r="C27" s="464">
        <f t="shared" ca="1" si="3"/>
        <v>0</v>
      </c>
      <c r="D27" s="464">
        <f t="shared" si="4"/>
        <v>0.6442788104862277</v>
      </c>
      <c r="E27" s="464">
        <f t="shared" si="5"/>
        <v>70.992899347461915</v>
      </c>
      <c r="F27" s="464">
        <f t="shared" si="6"/>
        <v>0</v>
      </c>
      <c r="G27" s="464">
        <f t="shared" si="7"/>
        <v>13382.903710081438</v>
      </c>
      <c r="H27" s="464">
        <f t="shared" si="8"/>
        <v>2596.4188653726546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16051.070715470694</v>
      </c>
    </row>
    <row r="28" spans="1:17">
      <c r="A28" s="459" t="s">
        <v>563</v>
      </c>
      <c r="B28" s="460">
        <f t="shared" ca="1" si="2"/>
        <v>0</v>
      </c>
      <c r="C28" s="460">
        <f t="shared" ca="1" si="3"/>
        <v>0</v>
      </c>
      <c r="D28" s="460">
        <f t="shared" si="4"/>
        <v>0</v>
      </c>
      <c r="E28" s="460">
        <f t="shared" si="5"/>
        <v>0</v>
      </c>
      <c r="F28" s="460">
        <f t="shared" si="6"/>
        <v>0</v>
      </c>
      <c r="G28" s="460">
        <f t="shared" si="7"/>
        <v>335.31436868748727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335.31436868748727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370.1600257866678</v>
      </c>
      <c r="C32" s="460">
        <f t="shared" ca="1" si="3"/>
        <v>0</v>
      </c>
      <c r="D32" s="460">
        <f t="shared" si="4"/>
        <v>242.27668977353267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612.43671556020047</v>
      </c>
    </row>
    <row r="33" spans="1:17" s="472" customFormat="1">
      <c r="A33" s="469" t="s">
        <v>567</v>
      </c>
      <c r="B33" s="470">
        <f ca="1">SUM(B22:B32)</f>
        <v>10438.370939331462</v>
      </c>
      <c r="C33" s="470">
        <f t="shared" ref="C33:Q33" ca="1" si="19">SUM(C22:C32)</f>
        <v>0</v>
      </c>
      <c r="D33" s="470">
        <f t="shared" ca="1" si="19"/>
        <v>7174.5455769741711</v>
      </c>
      <c r="E33" s="470">
        <f t="shared" si="19"/>
        <v>595.37816919892532</v>
      </c>
      <c r="F33" s="470">
        <f t="shared" ca="1" si="19"/>
        <v>15058.315684947567</v>
      </c>
      <c r="G33" s="470">
        <f t="shared" si="19"/>
        <v>13718.218078768925</v>
      </c>
      <c r="H33" s="470">
        <f t="shared" si="19"/>
        <v>2596.4188653726546</v>
      </c>
      <c r="I33" s="470">
        <f t="shared" si="19"/>
        <v>0</v>
      </c>
      <c r="J33" s="470">
        <f t="shared" si="19"/>
        <v>883.68184265502134</v>
      </c>
      <c r="K33" s="470">
        <f t="shared" si="19"/>
        <v>0</v>
      </c>
      <c r="L33" s="470">
        <f t="shared" ca="1" si="19"/>
        <v>0</v>
      </c>
      <c r="M33" s="470">
        <f t="shared" si="19"/>
        <v>0</v>
      </c>
      <c r="N33" s="470">
        <f t="shared" ca="1" si="19"/>
        <v>0</v>
      </c>
      <c r="O33" s="470">
        <f t="shared" si="19"/>
        <v>0</v>
      </c>
      <c r="P33" s="470">
        <f t="shared" si="19"/>
        <v>0</v>
      </c>
      <c r="Q33" s="470">
        <f t="shared" ca="1" si="19"/>
        <v>50464.929157248727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1967.4937483000097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1967.4937483000097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0.21216226349728626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0.21216226349728626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2019-06-29T16:06:32Z</dcterms:modified>
</cp:coreProperties>
</file>