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D14" i="48"/>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Q76" i="14" l="1"/>
  <c r="P8" i="55" s="1"/>
  <c r="D8"/>
  <c r="L78" i="14"/>
  <c r="L8" i="55"/>
  <c r="G78" i="14"/>
  <c r="G9" i="55"/>
  <c r="O78" i="14"/>
  <c r="O9" i="55"/>
  <c r="O10" s="1"/>
  <c r="C77" i="14"/>
  <c r="C9" i="55" s="1"/>
  <c r="F9"/>
  <c r="N78" i="14"/>
  <c r="N9" i="55"/>
  <c r="N10" s="1"/>
  <c r="R25" i="14"/>
  <c r="P22"/>
  <c r="M76"/>
  <c r="M8" i="55" s="1"/>
  <c r="M10" s="1"/>
  <c r="L90" i="14"/>
  <c r="G20" i="55"/>
  <c r="O20"/>
  <c r="H101" i="18"/>
  <c r="J8" s="1"/>
  <c r="H90" i="14"/>
  <c r="Q52"/>
  <c r="O32" i="48"/>
  <c r="D101" i="18"/>
  <c r="Q22" i="14"/>
  <c r="M87"/>
  <c r="P32" i="48"/>
  <c r="G101" i="18"/>
  <c r="I8" s="1"/>
  <c r="E90" i="14"/>
  <c r="E18" i="55"/>
  <c r="E20" s="1"/>
  <c r="F90" i="14"/>
  <c r="F18" i="55"/>
  <c r="N90" i="14"/>
  <c r="N18" i="55"/>
  <c r="N20" s="1"/>
  <c r="F20"/>
  <c r="D22" i="14"/>
  <c r="L22"/>
  <c r="G10" i="55"/>
  <c r="L20"/>
  <c r="C101" i="18"/>
  <c r="F76" i="14"/>
  <c r="D10" i="55"/>
  <c r="L10"/>
  <c r="K20"/>
  <c r="F101" i="18"/>
  <c r="R9" i="14"/>
  <c r="E10" i="55"/>
  <c r="H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Q78" l="1"/>
  <c r="B9" i="6" s="1"/>
  <c r="P9" i="55"/>
  <c r="P10" s="1"/>
  <c r="M90" i="14"/>
  <c r="M17" i="55"/>
  <c r="M20" s="1"/>
  <c r="F8"/>
  <c r="F10" s="1"/>
  <c r="F78" i="14"/>
  <c r="O17" i="18"/>
  <c r="O20" s="1"/>
  <c r="M78" i="14"/>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B78" i="14" l="1"/>
  <c r="B4" i="6" s="1"/>
  <c r="B8" i="55"/>
  <c r="B10" s="1"/>
  <c r="C90" i="14"/>
  <c r="C17" i="55"/>
  <c r="C20" s="1"/>
  <c r="B90" i="14"/>
  <c r="B17" i="55"/>
  <c r="B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27"/>
  <c r="F30"/>
  <c r="F29"/>
  <c r="F24"/>
  <c r="F31"/>
  <c r="B7"/>
  <c r="C24" i="14"/>
  <c r="C26" s="1"/>
  <c r="E30" i="48"/>
  <c r="E24"/>
  <c r="E32"/>
  <c r="E31"/>
  <c r="E29"/>
  <c r="E28"/>
  <c r="M32"/>
  <c r="M26"/>
  <c r="M30"/>
  <c r="M24"/>
  <c r="M29"/>
  <c r="M25"/>
  <c r="M22"/>
  <c r="L10" i="14"/>
  <c r="L16" s="1"/>
  <c r="L27" s="1"/>
  <c r="K5" i="48"/>
  <c r="D22"/>
  <c r="D29"/>
  <c r="D30"/>
  <c r="D24"/>
  <c r="D32"/>
  <c r="D31"/>
  <c r="D28"/>
  <c r="L29"/>
  <c r="L27"/>
  <c r="L22"/>
  <c r="L30"/>
  <c r="L28"/>
  <c r="L24"/>
  <c r="L32"/>
  <c r="L31"/>
  <c r="Q10" i="14"/>
  <c r="P5" i="48"/>
  <c r="P23" s="1"/>
  <c r="K30"/>
  <c r="K32"/>
  <c r="K22"/>
  <c r="K27"/>
  <c r="K31"/>
  <c r="K25"/>
  <c r="K26"/>
  <c r="K24"/>
  <c r="K29"/>
  <c r="K28"/>
  <c r="B10"/>
  <c r="C19" i="14"/>
  <c r="I5" i="48"/>
  <c r="J10" i="14"/>
  <c r="J16" s="1"/>
  <c r="J27" s="1"/>
  <c r="J32" i="48"/>
  <c r="J28"/>
  <c r="J29"/>
  <c r="J27"/>
  <c r="J31"/>
  <c r="J24"/>
  <c r="J30"/>
  <c r="Q11" i="14"/>
  <c r="P4" i="48"/>
  <c r="B8" i="9"/>
  <c r="B6" i="48" s="1"/>
  <c r="Q6" s="1"/>
  <c r="B4"/>
  <c r="C11" i="14"/>
  <c r="N32" i="48"/>
  <c r="N27"/>
  <c r="N29"/>
  <c r="N28"/>
  <c r="N24"/>
  <c r="N31"/>
  <c r="N30"/>
  <c r="P11" i="14"/>
  <c r="O4" i="48"/>
  <c r="I31"/>
  <c r="I32"/>
  <c r="I30"/>
  <c r="I28"/>
  <c r="I24"/>
  <c r="I27"/>
  <c r="I25"/>
  <c r="I26"/>
  <c r="I29"/>
  <c r="I22"/>
  <c r="H12" i="22"/>
  <c r="H14" s="1"/>
  <c r="H13" i="48"/>
  <c r="H31" s="1"/>
  <c r="I18" i="14"/>
  <c r="D4" i="48"/>
  <c r="E11" i="14"/>
  <c r="H30" i="48"/>
  <c r="H32"/>
  <c r="H26"/>
  <c r="H22"/>
  <c r="H25"/>
  <c r="H24"/>
  <c r="H29"/>
  <c r="H28"/>
  <c r="H23"/>
  <c r="C4"/>
  <c r="D11" i="14"/>
  <c r="G30" i="48"/>
  <c r="G32"/>
  <c r="G24"/>
  <c r="G22"/>
  <c r="G29"/>
  <c r="G25"/>
  <c r="G26"/>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L46"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15" i="48"/>
  <c r="P22"/>
  <c r="P33" s="1"/>
  <c r="K15"/>
  <c r="K23"/>
  <c r="K33" s="1"/>
  <c r="M23"/>
  <c r="P10" i="14"/>
  <c r="O5" i="48"/>
  <c r="O23" s="1"/>
  <c r="N18" i="14"/>
  <c r="M13" i="48"/>
  <c r="M31" s="1"/>
  <c r="G11" i="14"/>
  <c r="F4" i="48"/>
  <c r="F22" s="1"/>
  <c r="P22" i="16"/>
  <c r="Q43" i="14" s="1"/>
  <c r="P8" i="48"/>
  <c r="P26" s="1"/>
  <c r="Q13" i="14"/>
  <c r="Q16" s="1"/>
  <c r="Q27" s="1"/>
  <c r="C8" i="48"/>
  <c r="D16" i="15"/>
  <c r="L61" i="14"/>
  <c r="L63" s="1"/>
  <c r="G12" i="22"/>
  <c r="G13" i="48"/>
  <c r="H18" i="14"/>
  <c r="O22" i="48"/>
  <c r="I23"/>
  <c r="I15"/>
  <c r="J63" i="14"/>
  <c r="G31" i="20"/>
  <c r="H48" i="14" s="1"/>
  <c r="I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F20"/>
  <c r="F22" s="1"/>
  <c r="E9" i="48"/>
  <c r="E27" s="1"/>
  <c r="O8"/>
  <c r="P13" i="14"/>
  <c r="N4" i="48"/>
  <c r="N22" s="1"/>
  <c r="O11" i="14"/>
  <c r="J4" i="48"/>
  <c r="J22" s="1"/>
  <c r="K11" i="14"/>
  <c r="G10" i="48"/>
  <c r="H19" i="14"/>
  <c r="H27" i="48"/>
  <c r="H33" s="1"/>
  <c r="H15"/>
  <c r="Q13"/>
  <c r="G31"/>
  <c r="C20" i="14"/>
  <c r="B9" i="48"/>
  <c r="P46" i="14"/>
  <c r="P61" s="1"/>
  <c r="P63" s="1"/>
  <c r="Q63"/>
  <c r="P16"/>
  <c r="P27" s="1"/>
  <c r="G14" i="22"/>
  <c r="R18" i="14"/>
  <c r="E20"/>
  <c r="E22" s="1"/>
  <c r="D9" i="48"/>
  <c r="D27" s="1"/>
  <c r="M10"/>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M9" i="48"/>
  <c r="G28"/>
  <c r="Q10"/>
  <c r="O26"/>
  <c r="O33" s="1"/>
  <c r="O15"/>
  <c r="Q9"/>
  <c r="R19" i="14"/>
  <c r="G9" i="48"/>
  <c r="H20" i="14"/>
  <c r="H22" s="1"/>
  <c r="H27" s="1"/>
  <c r="H63" s="1"/>
  <c r="E22" i="48"/>
  <c r="Q4"/>
  <c r="C22" i="14"/>
  <c r="D15" i="48"/>
  <c r="J5"/>
  <c r="K10" i="14"/>
  <c r="E20" i="15"/>
  <c r="F40" i="14" s="1"/>
  <c r="E5" i="48"/>
  <c r="F10" i="14"/>
  <c r="L15" i="48"/>
  <c r="Q7"/>
  <c r="R24" i="14"/>
  <c r="R26" s="1"/>
  <c r="J18" i="16"/>
  <c r="N18"/>
  <c r="E18"/>
  <c r="F18"/>
  <c r="F22" s="1"/>
  <c r="G43" i="14" s="1"/>
  <c r="G27" i="48" l="1"/>
  <c r="G33" s="1"/>
  <c r="G15"/>
  <c r="M27"/>
  <c r="M33" s="1"/>
  <c r="M15"/>
  <c r="R20" i="14"/>
  <c r="R22" s="1"/>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<sst xmlns="http://schemas.openxmlformats.org/spreadsheetml/2006/main" count="2502" uniqueCount="970">
  <si>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</si>
  <si>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</si>
  <si>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</si>
  <si>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</si>
  <si>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</si>
  <si>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</si>
  <si>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</si>
  <si>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</si>
  <si>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</si>
  <si>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</si>
  <si>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</si>
  <si>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</si>
  <si>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</si>
  <si>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</si>
  <si>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</si>
  <si>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</si>
  <si>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</si>
  <si>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</si>
  <si>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</si>
  <si>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</si>
  <si>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</si>
  <si>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</si>
  <si>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</si>
  <si>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</si>
  <si>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</si>
  <si>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</si>
  <si>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</si>
  <si>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</si>
  <si>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</si>
  <si>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</si>
  <si>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</si>
  <si>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</si>
  <si>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</si>
  <si>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</si>
  <si>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</si>
  <si>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</si>
  <si>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</si>
  <si>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</si>
  <si>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</si>
  <si>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</si>
  <si>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</si>
  <si>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</si>
  <si>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</si>
  <si>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</si>
  <si>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</si>
  <si>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</si>
  <si>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</si>
  <si>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</si>
  <si>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</si>
  <si>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</si>
  <si>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</si>
  <si>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</si>
  <si>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</si>
  <si>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</si>
  <si>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</si>
  <si>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</si>
  <si>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</si>
  <si>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</si>
  <si>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</si>
  <si>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</si>
  <si>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</si>
  <si>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</si>
  <si>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</si>
  <si>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</si>
  <si>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</si>
  <si>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</si>
  <si>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</si>
  <si>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</si>
  <si>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</si>
  <si>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</si>
  <si>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</si>
  <si>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</si>
  <si>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</si>
  <si>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</si>
  <si>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</si>
  <si>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</si>
  <si>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</si>
  <si>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</si>
  <si>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</si>
  <si>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</si>
  <si>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</si>
  <si>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</si>
  <si>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</si>
  <si>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</si>
  <si>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</si>
  <si>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</si>
  <si>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</si>
  <si>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</si>
  <si>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</si>
  <si>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</si>
  <si>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</si>
  <si>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</si>
  <si>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</si>
  <si>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</si>
  <si>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</si>
  <si>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</si>
  <si>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</si>
  <si>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</si>
  <si>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</si>
  <si>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</si>
  <si>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</si>
  <si>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</si>
  <si>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</si>
  <si>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</si>
  <si>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</si>
  <si>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</si>
  <si>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</si>
  <si>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</si>
  <si>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</si>
  <si>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</si>
  <si>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</si>
  <si>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</si>
  <si>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</si>
  <si>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</si>
  <si>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</si>
  <si>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</si>
  <si>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</si>
  <si>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</si>
  <si>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</si>
  <si>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</si>
  <si>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</si>
  <si>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</si>
  <si>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</si>
  <si>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</si>
  <si>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</si>
  <si>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</si>
  <si>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</si>
  <si>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</si>
  <si>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</si>
  <si>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</si>
  <si>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</si>
  <si>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</si>
  <si>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</si>
  <si>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</si>
  <si>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</si>
  <si>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</si>
  <si>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</si>
  <si>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</si>
  <si>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</si>
  <si>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</si>
  <si>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</si>
  <si>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</si>
  <si>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</si>
  <si>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</si>
  <si>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</si>
  <si>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</si>
  <si>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</si>
  <si>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</si>
  <si>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</si>
  <si>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</si>
  <si>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</si>
  <si>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</si>
  <si>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</si>
  <si>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</si>
  <si>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</si>
  <si>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</si>
  <si>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</si>
  <si>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</si>
  <si>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</si>
  <si>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</si>
  <si>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</si>
  <si>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</si>
  <si>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</si>
  <si>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</si>
  <si>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</si>
  <si>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</si>
  <si>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</si>
  <si>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</si>
  <si>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</si>
  <si>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</si>
  <si>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</si>
  <si>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</si>
  <si>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</si>
  <si>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</si>
  <si>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</si>
  <si>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</si>
  <si>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</si>
  <si>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</si>
  <si>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</si>
  <si>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</si>
  <si>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</si>
  <si>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</si>
  <si>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</si>
  <si>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</si>
  <si>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</si>
  <si>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</si>
  <si>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</si>
  <si>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</si>
  <si>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</si>
  <si>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</si>
  <si>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</si>
  <si>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</si>
  <si>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</si>
  <si>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</si>
  <si>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</si>
  <si>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</si>
  <si>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</si>
  <si>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</si>
  <si>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</si>
  <si>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</si>
  <si>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</si>
  <si>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</si>
  <si>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</si>
  <si>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</si>
  <si>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</si>
  <si>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</si>
  <si>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</si>
  <si>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</si>
  <si>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</si>
  <si>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</si>
  <si>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</si>
  <si>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</si>
  <si>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</si>
  <si>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</si>
  <si>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</si>
  <si>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</si>
  <si>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</si>
  <si>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</si>
  <si>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</si>
  <si>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</si>
  <si>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</si>
  <si>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</si>
  <si>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</si>
  <si>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</si>
  <si>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</si>
  <si>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</si>
  <si>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</si>
  <si>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</si>
  <si>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</si>
  <si>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</si>
  <si>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</si>
  <si>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</si>
  <si>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</si>
  <si>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</si>
  <si>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</si>
  <si>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</si>
  <si>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</si>
  <si>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</si>
  <si>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</si>
  <si>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</si>
  <si>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</si>
  <si>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</si>
  <si>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</si>
  <si>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</si>
  <si>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</si>
  <si>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</si>
  <si>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</si>
  <si>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</si>
  <si>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</si>
  <si>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</si>
  <si>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</si>
  <si>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</si>
  <si>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</si>
  <si>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</si>
  <si>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</si>
  <si>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</si>
  <si>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</si>
  <si>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</si>
  <si>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</si>
  <si>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</si>
  <si>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</si>
  <si>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</si>
  <si>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</si>
  <si>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</si>
  <si>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</si>
  <si>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</si>
  <si>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</si>
  <si>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</si>
  <si>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</si>
  <si>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</si>
  <si>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</si>
  <si>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</si>
  <si>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</si>
  <si>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</si>
  <si>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</si>
  <si>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</si>
  <si>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</si>
  <si>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</si>
  <si>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</si>
  <si>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</si>
  <si>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</si>
  <si>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</si>
  <si>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</si>
  <si>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</si>
  <si>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</si>
  <si>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</si>
  <si>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</si>
  <si>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</si>
  <si>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</si>
  <si>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</si>
  <si>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</si>
  <si>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</si>
  <si>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</si>
  <si>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</si>
  <si>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</si>
  <si>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</si>
  <si>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</si>
  <si>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</si>
  <si>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</si>
  <si>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</si>
  <si>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</si>
  <si>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</si>
  <si>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</si>
  <si>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</si>
  <si>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</si>
  <si>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</si>
  <si>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</si>
  <si>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</si>
  <si>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</si>
  <si>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</si>
  <si>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</si>
  <si>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</si>
  <si>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</si>
  <si>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</si>
  <si>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</si>
  <si>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</si>
  <si>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</si>
  <si>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</si>
  <si>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</si>
  <si>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</si>
  <si>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</si>
  <si>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</si>
  <si>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</si>
  <si>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</si>
  <si>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</si>
  <si>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</si>
  <si>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</si>
  <si>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</si>
  <si>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</si>
  <si>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</si>
  <si>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</si>
  <si>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</si>
  <si>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</si>
  <si>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</si>
  <si>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</si>
  <si>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</si>
  <si>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</si>
  <si>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</si>
  <si>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</si>
  <si>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</si>
  <si>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</si>
  <si>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</si>
  <si>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</si>
  <si>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</si>
  <si>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</si>
  <si>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</si>
  <si>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</si>
  <si>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</si>
  <si>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</si>
  <si>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</si>
  <si>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</si>
  <si>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</si>
  <si>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</si>
  <si>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</si>
  <si>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</si>
  <si>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</si>
  <si>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</si>
  <si>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</si>
  <si>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</si>
  <si>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</si>
  <si>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</si>
  <si>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</si>
  <si>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</si>
  <si>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</si>
  <si>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</si>
  <si>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</si>
  <si>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</si>
  <si>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</si>
  <si>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</si>
  <si>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</si>
  <si>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</si>
  <si>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</si>
  <si>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</si>
  <si>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</si>
  <si>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</si>
  <si>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</si>
  <si>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</si>
  <si>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</si>
  <si>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</si>
  <si>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</si>
  <si>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</si>
  <si>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</si>
  <si>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</si>
  <si>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</si>
  <si>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</si>
  <si>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</si>
  <si>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</si>
  <si>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</si>
  <si>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</si>
  <si>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</si>
  <si>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</si>
  <si>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</si>
  <si>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</si>
  <si>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</si>
  <si>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</si>
  <si>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</si>
  <si>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</si>
  <si>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</si>
  <si>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</si>
  <si>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</si>
  <si>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</si>
  <si>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</si>
  <si>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</si>
  <si>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</si>
  <si>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</si>
  <si>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</si>
  <si>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</si>
  <si>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</si>
  <si>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</si>
  <si>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</si>
  <si>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</si>
  <si>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</si>
  <si>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</si>
  <si>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</si>
  <si>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</si>
  <si>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</si>
  <si>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</si>
  <si>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</si>
  <si>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</si>
  <si>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</si>
  <si>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</si>
  <si>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</si>
  <si>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</si>
  <si>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</si>
  <si>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</si>
  <si>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</si>
  <si>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</si>
  <si>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</si>
  <si>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</si>
  <si>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</si>
  <si>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</si>
  <si>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</si>
  <si>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</si>
  <si>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</si>
  <si>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</si>
  <si>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</si>
  <si>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</si>
  <si>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</si>
  <si>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</si>
  <si>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</si>
  <si>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</si>
  <si>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</si>
  <si>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</si>
  <si>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</si>
  <si>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</si>
  <si>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</si>
  <si>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</si>
  <si>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</si>
  <si>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</si>
  <si>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</si>
  <si>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</si>
  <si>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</si>
  <si>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</si>
  <si>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</si>
  <si>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</si>
  <si>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</si>
  <si>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</si>
  <si>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</si>
  <si>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</si>
  <si>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</si>
  <si>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</si>
  <si>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</si>
  <si>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</si>
  <si>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</si>
  <si>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</si>
  <si>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</si>
  <si>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</si>
  <si>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</si>
  <si>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</si>
  <si>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</si>
  <si>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</si>
  <si>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</si>
  <si>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</si>
  <si>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</si>
  <si>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</si>
  <si>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</si>
  <si>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</si>
  <si>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</si>
  <si>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</si>
  <si>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</si>
  <si>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</si>
  <si>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</si>
  <si>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</si>
  <si>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</si>
  <si>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</si>
  <si>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</si>
  <si>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</si>
  <si>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</si>
  <si>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</si>
  <si>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</si>
  <si>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</si>
  <si>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</si>
  <si>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</si>
  <si>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</si>
  <si>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</si>
  <si>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</si>
  <si>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</si>
  <si>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</si>
  <si>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</si>
  <si>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</si>
  <si>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</si>
  <si>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</si>
  <si>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</si>
  <si>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</si>
  <si>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</si>
  <si>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</si>
  <si>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</si>
  <si>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</si>
  <si>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</si>
  <si>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</si>
  <si>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</si>
  <si>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</si>
  <si>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</si>
  <si>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</si>
  <si>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</si>
  <si>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</si>
  <si>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</si>
  <si>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</si>
  <si>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</si>
  <si>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</si>
  <si>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</si>
  <si>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</si>
  <si>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</si>
  <si>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</si>
  <si>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</si>
  <si>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</si>
  <si>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</si>
  <si>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</si>
  <si>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</si>
  <si>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</si>
  <si>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</si>
  <si>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</si>
  <si>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</si>
  <si>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</si>
  <si>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</si>
  <si>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</si>
  <si>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</si>
  <si>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</si>
  <si>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</si>
  <si>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</si>
  <si>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</si>
  <si>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</si>
  <si>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</si>
  <si>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</si>
  <si>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</si>
  <si>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</si>
  <si>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</si>
  <si>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</si>
  <si>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</si>
  <si>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</si>
  <si>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</si>
  <si>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</si>
  <si>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</si>
  <si>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</si>
  <si>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</si>
  <si>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</si>
  <si>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</si>
  <si>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</si>
  <si>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</si>
  <si>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</si>
  <si>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</si>
  <si>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</si>
  <si>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</si>
  <si>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</si>
  <si>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</si>
  <si>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</si>
  <si>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</si>
  <si>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</si>
  <si>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</si>
  <si>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</si>
  <si>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</si>
  <si>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</si>
  <si>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</si>
  <si>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</si>
  <si>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</si>
  <si>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</si>
  <si>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</si>
  <si>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</si>
  <si>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</si>
  <si>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</si>
  <si>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</si>
  <si>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</si>
  <si>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</si>
  <si>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</si>
  <si>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</si>
  <si>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</si>
  <si>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</si>
  <si>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</si>
  <si>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</si>
  <si>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</si>
  <si>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</si>
  <si>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</si>
  <si>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</si>
  <si>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</si>
  <si>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</si>
  <si>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</si>
  <si>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</si>
  <si>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</si>
  <si>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</si>
  <si>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</si>
  <si>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</si>
  <si>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</si>
  <si>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</si>
  <si>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</si>
  <si>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</si>
  <si>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</si>
  <si>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</si>
  <si>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</si>
  <si>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</si>
  <si>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</si>
  <si>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</si>
  <si>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</si>
  <si>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</si>
  <si>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</si>
  <si>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</si>
  <si>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</si>
  <si>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</si>
  <si>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</si>
  <si>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</si>
  <si>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</si>
  <si>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</si>
  <si>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</si>
  <si>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</si>
  <si>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</si>
  <si>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</si>
  <si>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</si>
  <si>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</si>
  <si>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</si>
  <si>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</si>
  <si>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</si>
  <si>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</si>
  <si>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</si>
  <si>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</si>
  <si>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</si>
  <si>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</si>
  <si>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</si>
  <si>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</si>
  <si>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</si>
  <si>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</si>
  <si>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</si>
  <si>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</si>
  <si>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</si>
  <si>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</si>
  <si>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</si>
  <si>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</si>
  <si>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</si>
  <si>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</si>
  <si>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</si>
  <si>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</si>
  <si>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</si>
  <si>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</si>
  <si>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</si>
  <si>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</si>
  <si>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</si>
  <si>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</si>
  <si>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</si>
  <si>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</si>
  <si>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</si>
  <si>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</si>
  <si>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</si>
  <si>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</si>
  <si>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</si>
  <si>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</si>
  <si>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</si>
  <si>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</si>
  <si>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</si>
  <si>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</si>
  <si>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</si>
  <si>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</si>
  <si>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</si>
  <si>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</si>
  <si>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</si>
  <si>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</si>
  <si>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</si>
  <si>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</si>
  <si>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</si>
  <si>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</si>
  <si>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</si>
  <si>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</si>
  <si>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</si>
  <si>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</si>
  <si>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</si>
  <si>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</si>
  <si>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</si>
  <si>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</si>
  <si>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</si>
  <si>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</si>
  <si>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</si>
  <si>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</si>
  <si>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</si>
  <si>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</si>
  <si>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</si>
  <si>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</si>
  <si>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</si>
  <si>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</si>
  <si>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</si>
  <si>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</si>
  <si>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</si>
  <si>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</si>
  <si>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</si>
  <si>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</si>
  <si>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</si>
  <si>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</si>
  <si>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</si>
  <si>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</si>
  <si>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</si>
  <si>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</si>
  <si>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</si>
  <si>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</si>
  <si>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</si>
  <si>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</si>
  <si>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</si>
  <si>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</si>
  <si>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</si>
  <si>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</si>
  <si>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</si>
  <si>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</si>
  <si>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</si>
  <si>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</si>
  <si>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</si>
  <si>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</si>
  <si>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</si>
  <si>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</si>
  <si>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</si>
  <si>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</si>
  <si>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</si>
  <si>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</si>
  <si>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</si>
  <si>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</si>
  <si>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</si>
  <si>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</si>
  <si>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</si>
  <si>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</si>
  <si>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</si>
  <si>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</si>
  <si>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</si>
  <si>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</si>
  <si>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</si>
  <si>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</si>
  <si>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</si>
  <si>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</si>
  <si>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</si>
  <si>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</si>
  <si>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</si>
  <si>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</si>
  <si>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</si>
  <si>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</si>
  <si>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</si>
  <si>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</si>
  <si>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</si>
  <si>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</si>
  <si>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</si>
  <si>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</si>
  <si>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</si>
  <si>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</si>
  <si>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</si>
  <si>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</si>
  <si>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</si>
  <si>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</si>
  <si>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</si>
  <si>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</si>
  <si>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</si>
  <si>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</si>
  <si>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</si>
  <si>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</si>
  <si>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</si>
  <si>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</si>
  <si>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</si>
  <si>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</si>
  <si>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</si>
  <si>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</si>
  <si>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</si>
  <si>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</si>
  <si>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</si>
  <si>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</si>
  <si>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</si>
  <si>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</si>
  <si>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</si>
  <si>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</si>
  <si>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</si>
  <si>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</si>
  <si>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</si>
  <si>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</si>
  <si>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</si>
  <si>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</si>
  <si>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</si>
  <si>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</si>
  <si>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</si>
  <si>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</si>
  <si>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</si>
  <si>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</si>
  <si>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</si>
  <si>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</si>
  <si>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</si>
  <si>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</si>
  <si>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</si>
  <si>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</si>
  <si>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</si>
  <si>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</si>
  <si>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</si>
  <si>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</si>
  <si>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</si>
  <si>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</si>
  <si>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</si>
  <si>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</si>
  <si>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</si>
  <si>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</si>
  <si>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</si>
  <si>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</si>
  <si>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</si>
  <si>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</si>
  <si>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</si>
  <si>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</si>
  <si>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</si>
  <si>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</si>
  <si>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</si>
  <si>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</si>
  <si>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</si>
  <si>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</si>
  <si>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</si>
  <si>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</si>
  <si>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</si>
  <si>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</si>
  <si>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</si>
  <si>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</si>
  <si>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</si>
  <si>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</si>
  <si>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</si>
  <si>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</si>
  <si>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</si>
  <si>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</si>
  <si>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</si>
  <si>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</si>
  <si>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</si>
  <si>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</si>
  <si>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</si>
  <si>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</si>
  <si>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</si>
  <si>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</si>
  <si>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</si>
  <si>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</si>
  <si>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</si>
  <si>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</si>
  <si>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</si>
  <si>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</si>
  <si>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</si>
  <si>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</si>
  <si>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</si>
  <si>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</si>
  <si>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</si>
  <si>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</si>
  <si>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</si>
  <si>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</si>
  <si>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</si>
  <si>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</si>
  <si>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</si>
  <si>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</si>
  <si>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</si>
  <si>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</si>
  <si>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</si>
  <si>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</si>
  <si>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</si>
  <si>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</si>
  <si>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</si>
  <si>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</si>
  <si>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</si>
  <si>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</si>
  <si>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</si>
  <si>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</si>
  <si>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</si>
  <si>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</si>
  <si>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</si>
  <si>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</si>
  <si>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</si>
  <si>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</si>
  <si>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</si>
  <si>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</si>
  <si>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</si>
  <si>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</si>
  <si>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</si>
  <si>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</si>
  <si>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</si>
  <si>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</si>
  <si>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</si>
  <si>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</si>
  <si>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</si>
  <si>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</si>
  <si>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</si>
  <si>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</si>
  <si>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</si>
  <si>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</si>
  <si>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</si>
  <si>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</si>
  <si>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</si>
  <si>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</si>
  <si>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</si>
  <si>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</si>
  <si>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</si>
  <si>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</si>
  <si>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</si>
  <si>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</si>
  <si>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</si>
  <si>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</si>
  <si>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</si>
  <si>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</si>
  <si>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</si>
  <si>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</si>
  <si>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</si>
  <si>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</si>
  <si>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</si>
  <si>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</si>
  <si>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</si>
  <si>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</si>
  <si>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</si>
  <si>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</si>
  <si>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</si>
  <si>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</si>
  <si>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</si>
  <si>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</si>
  <si>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</si>
  <si>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</si>
  <si>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</si>
  <si>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</si>
  <si>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</si>
  <si>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</si>
  <si>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</si>
  <si>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</si>
  <si>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</si>
  <si>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</si>
  <si>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</si>
  <si>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</si>
  <si>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</si>
  <si>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</si>
  <si>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</si>
  <si>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</si>
  <si>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</si>
  <si>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</si>
  <si>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</si>
  <si>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</si>
  <si>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</si>
  <si>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</si>
  <si>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</si>
  <si>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</si>
  <si>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</si>
  <si>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</si>
  <si>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</si>
  <si>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</si>
  <si>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</si>
  <si>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</si>
  <si>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</si>
  <si>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</si>
  <si>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</si>
  <si>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</si>
  <si>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</si>
  <si>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43005</t>
  </si>
  <si>
    <t>EEKLO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</si>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</sst>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43005</v>
      </c>
      <c r="B6" s="396"/>
      <c r="C6" s="397"/>
    </row>
    <row r="7" spans="1:7" s="394" customFormat="1" ht="15.75" customHeight="1">
      <c r="A7" s="398" t="str">
        <f>txtMunicipality</f>
        <v>EEKLO</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35239.879159421471</v>
      </c>
      <c r="D10" s="687">
        <f ca="1">tertiair!C16</f>
        <v>0</v>
      </c>
      <c r="E10" s="687">
        <f ca="1">tertiair!D16</f>
        <v>42188.1907043756</v>
      </c>
      <c r="F10" s="687">
        <f>tertiair!E16</f>
        <v>513.89201527651664</v>
      </c>
      <c r="G10" s="687">
        <f ca="1">tertiair!F16</f>
        <v>6711.3770932903835</v>
      </c>
      <c r="H10" s="687">
        <f>tertiair!G16</f>
        <v>0</v>
      </c>
      <c r="I10" s="687">
        <f>tertiair!H16</f>
        <v>0</v>
      </c>
      <c r="J10" s="687">
        <f>tertiair!I16</f>
        <v>0</v>
      </c>
      <c r="K10" s="687">
        <f>tertiair!J16</f>
        <v>0</v>
      </c>
      <c r="L10" s="687">
        <f>tertiair!K16</f>
        <v>0</v>
      </c>
      <c r="M10" s="687">
        <f ca="1">tertiair!L16</f>
        <v>0</v>
      </c>
      <c r="N10" s="687">
        <f>tertiair!M16</f>
        <v>0</v>
      </c>
      <c r="O10" s="687">
        <f ca="1">tertiair!N16</f>
        <v>952.71964766557801</v>
      </c>
      <c r="P10" s="687">
        <f>tertiair!O16</f>
        <v>0</v>
      </c>
      <c r="Q10" s="688">
        <f>tertiair!P16</f>
        <v>114.4</v>
      </c>
      <c r="R10" s="690">
        <f ca="1">SUM(C10:Q10)</f>
        <v>85720.45862002956</v>
      </c>
      <c r="S10" s="67"/>
    </row>
    <row r="11" spans="1:19" s="456" customFormat="1">
      <c r="A11" s="802" t="s">
        <v>225</v>
      </c>
      <c r="B11" s="807"/>
      <c r="C11" s="687">
        <f>huishoudens!B8</f>
        <v>36964.958945205064</v>
      </c>
      <c r="D11" s="687">
        <f>huishoudens!C8</f>
        <v>0</v>
      </c>
      <c r="E11" s="687">
        <f>huishoudens!D8</f>
        <v>89537.82345166961</v>
      </c>
      <c r="F11" s="687">
        <f>huishoudens!E8</f>
        <v>3715.7579842289456</v>
      </c>
      <c r="G11" s="687">
        <f>huishoudens!F8</f>
        <v>4603.7451732623749</v>
      </c>
      <c r="H11" s="687">
        <f>huishoudens!G8</f>
        <v>0</v>
      </c>
      <c r="I11" s="687">
        <f>huishoudens!H8</f>
        <v>0</v>
      </c>
      <c r="J11" s="687">
        <f>huishoudens!I8</f>
        <v>0</v>
      </c>
      <c r="K11" s="687">
        <f>huishoudens!J8</f>
        <v>0</v>
      </c>
      <c r="L11" s="687">
        <f>huishoudens!K8</f>
        <v>0</v>
      </c>
      <c r="M11" s="687">
        <f>huishoudens!L8</f>
        <v>0</v>
      </c>
      <c r="N11" s="687">
        <f>huishoudens!M8</f>
        <v>0</v>
      </c>
      <c r="O11" s="687">
        <f>huishoudens!N8</f>
        <v>9486.1428047288464</v>
      </c>
      <c r="P11" s="687">
        <f>huishoudens!O8</f>
        <v>54.716666666666669</v>
      </c>
      <c r="Q11" s="688">
        <f>huishoudens!P8</f>
        <v>228.8</v>
      </c>
      <c r="R11" s="690">
        <f>SUM(C11:Q11)</f>
        <v>144591.94502576152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49331.637262819691</v>
      </c>
      <c r="D13" s="687">
        <f>industrie!C18</f>
        <v>0</v>
      </c>
      <c r="E13" s="687">
        <f>industrie!D18</f>
        <v>20028.125873409947</v>
      </c>
      <c r="F13" s="687">
        <f>industrie!E18</f>
        <v>960.57490215063899</v>
      </c>
      <c r="G13" s="687">
        <f>industrie!F18</f>
        <v>11341.235311406635</v>
      </c>
      <c r="H13" s="687">
        <f>industrie!G18</f>
        <v>0</v>
      </c>
      <c r="I13" s="687">
        <f>industrie!H18</f>
        <v>0</v>
      </c>
      <c r="J13" s="687">
        <f>industrie!I18</f>
        <v>0</v>
      </c>
      <c r="K13" s="687">
        <f>industrie!J18</f>
        <v>203.39373598480233</v>
      </c>
      <c r="L13" s="687">
        <f>industrie!K18</f>
        <v>0</v>
      </c>
      <c r="M13" s="687">
        <f>industrie!L18</f>
        <v>0</v>
      </c>
      <c r="N13" s="687">
        <f>industrie!M18</f>
        <v>0</v>
      </c>
      <c r="O13" s="687">
        <f>industrie!N18</f>
        <v>569.11394943151981</v>
      </c>
      <c r="P13" s="687">
        <f>industrie!O18</f>
        <v>0</v>
      </c>
      <c r="Q13" s="688">
        <f>industrie!P18</f>
        <v>0</v>
      </c>
      <c r="R13" s="690">
        <f>SUM(C13:Q13)</f>
        <v>82434.081035203228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121536.47536744623</v>
      </c>
      <c r="D16" s="720">
        <f t="shared" ref="D16:R16" ca="1" si="0">SUM(D9:D15)</f>
        <v>0</v>
      </c>
      <c r="E16" s="720">
        <f t="shared" ca="1" si="0"/>
        <v>151754.14002945516</v>
      </c>
      <c r="F16" s="720">
        <f t="shared" si="0"/>
        <v>5190.2249016561009</v>
      </c>
      <c r="G16" s="720">
        <f t="shared" ca="1" si="0"/>
        <v>22656.357577959396</v>
      </c>
      <c r="H16" s="720">
        <f t="shared" si="0"/>
        <v>0</v>
      </c>
      <c r="I16" s="720">
        <f t="shared" si="0"/>
        <v>0</v>
      </c>
      <c r="J16" s="720">
        <f t="shared" si="0"/>
        <v>0</v>
      </c>
      <c r="K16" s="720">
        <f t="shared" si="0"/>
        <v>203.39373598480233</v>
      </c>
      <c r="L16" s="720">
        <f t="shared" si="0"/>
        <v>0</v>
      </c>
      <c r="M16" s="720">
        <f t="shared" ca="1" si="0"/>
        <v>0</v>
      </c>
      <c r="N16" s="720">
        <f t="shared" si="0"/>
        <v>0</v>
      </c>
      <c r="O16" s="720">
        <f t="shared" ca="1" si="0"/>
        <v>11007.976401825943</v>
      </c>
      <c r="P16" s="720">
        <f t="shared" si="0"/>
        <v>54.716666666666669</v>
      </c>
      <c r="Q16" s="720">
        <f t="shared" si="0"/>
        <v>343.20000000000005</v>
      </c>
      <c r="R16" s="720">
        <f t="shared" ca="1" si="0"/>
        <v>312746.4846809943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1508.1120540180759</v>
      </c>
      <c r="I19" s="687">
        <f>transport!H54</f>
        <v>0</v>
      </c>
      <c r="J19" s="687">
        <f>transport!I54</f>
        <v>0</v>
      </c>
      <c r="K19" s="687">
        <f>transport!J54</f>
        <v>0</v>
      </c>
      <c r="L19" s="687">
        <f>transport!K54</f>
        <v>0</v>
      </c>
      <c r="M19" s="687">
        <f>transport!L54</f>
        <v>0</v>
      </c>
      <c r="N19" s="687">
        <f>transport!M54</f>
        <v>64.284264905311787</v>
      </c>
      <c r="O19" s="687">
        <f>transport!N54</f>
        <v>0</v>
      </c>
      <c r="P19" s="687">
        <f>transport!O54</f>
        <v>0</v>
      </c>
      <c r="Q19" s="688">
        <f>transport!P54</f>
        <v>0</v>
      </c>
      <c r="R19" s="690">
        <f>SUM(C19:Q19)</f>
        <v>1572.3963189233878</v>
      </c>
      <c r="S19" s="67"/>
    </row>
    <row r="20" spans="1:19" s="456" customFormat="1">
      <c r="A20" s="802" t="s">
        <v>307</v>
      </c>
      <c r="B20" s="807"/>
      <c r="C20" s="687">
        <f>transport!B14</f>
        <v>0.84749069766781593</v>
      </c>
      <c r="D20" s="687">
        <f>transport!C14</f>
        <v>0</v>
      </c>
      <c r="E20" s="687">
        <f>transport!D14</f>
        <v>4.0691193511303192</v>
      </c>
      <c r="F20" s="687">
        <f>transport!E14</f>
        <v>414.87265807198702</v>
      </c>
      <c r="G20" s="687">
        <f>transport!F14</f>
        <v>0</v>
      </c>
      <c r="H20" s="687">
        <f>transport!G14</f>
        <v>92273.59005109928</v>
      </c>
      <c r="I20" s="687">
        <f>transport!H14</f>
        <v>13580.694633871461</v>
      </c>
      <c r="J20" s="687">
        <f>transport!I14</f>
        <v>0</v>
      </c>
      <c r="K20" s="687">
        <f>transport!J14</f>
        <v>0</v>
      </c>
      <c r="L20" s="687">
        <f>transport!K14</f>
        <v>0</v>
      </c>
      <c r="M20" s="687">
        <f>transport!L14</f>
        <v>0</v>
      </c>
      <c r="N20" s="687">
        <f>transport!M14</f>
        <v>4612.8971520815794</v>
      </c>
      <c r="O20" s="687">
        <f>transport!N14</f>
        <v>0</v>
      </c>
      <c r="P20" s="687">
        <f>transport!O14</f>
        <v>0</v>
      </c>
      <c r="Q20" s="688">
        <f>transport!P14</f>
        <v>0</v>
      </c>
      <c r="R20" s="690">
        <f>SUM(C20:Q20)</f>
        <v>110886.97110517311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0.84749069766781593</v>
      </c>
      <c r="D22" s="805">
        <f t="shared" ref="D22:R22" si="1">SUM(D18:D21)</f>
        <v>0</v>
      </c>
      <c r="E22" s="805">
        <f t="shared" si="1"/>
        <v>4.0691193511303192</v>
      </c>
      <c r="F22" s="805">
        <f t="shared" si="1"/>
        <v>414.87265807198702</v>
      </c>
      <c r="G22" s="805">
        <f t="shared" si="1"/>
        <v>0</v>
      </c>
      <c r="H22" s="805">
        <f t="shared" si="1"/>
        <v>93781.702105117351</v>
      </c>
      <c r="I22" s="805">
        <f t="shared" si="1"/>
        <v>13580.694633871461</v>
      </c>
      <c r="J22" s="805">
        <f t="shared" si="1"/>
        <v>0</v>
      </c>
      <c r="K22" s="805">
        <f t="shared" si="1"/>
        <v>0</v>
      </c>
      <c r="L22" s="805">
        <f t="shared" si="1"/>
        <v>0</v>
      </c>
      <c r="M22" s="805">
        <f t="shared" si="1"/>
        <v>0</v>
      </c>
      <c r="N22" s="805">
        <f t="shared" si="1"/>
        <v>4677.1814169868912</v>
      </c>
      <c r="O22" s="805">
        <f t="shared" si="1"/>
        <v>0</v>
      </c>
      <c r="P22" s="805">
        <f t="shared" si="1"/>
        <v>0</v>
      </c>
      <c r="Q22" s="805">
        <f t="shared" si="1"/>
        <v>0</v>
      </c>
      <c r="R22" s="805">
        <f t="shared" si="1"/>
        <v>112459.3674240965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2171.643422657156</v>
      </c>
      <c r="D24" s="687">
        <f>+landbouw!C8</f>
        <v>0</v>
      </c>
      <c r="E24" s="687">
        <f>+landbouw!D8</f>
        <v>232.57345221027987</v>
      </c>
      <c r="F24" s="687">
        <f>+landbouw!E8</f>
        <v>22.741920063694476</v>
      </c>
      <c r="G24" s="687">
        <f>+landbouw!F8</f>
        <v>9296.2839475270648</v>
      </c>
      <c r="H24" s="687">
        <f>+landbouw!G8</f>
        <v>0</v>
      </c>
      <c r="I24" s="687">
        <f>+landbouw!H8</f>
        <v>0</v>
      </c>
      <c r="J24" s="687">
        <f>+landbouw!I8</f>
        <v>0</v>
      </c>
      <c r="K24" s="687">
        <f>+landbouw!J8</f>
        <v>193.9472224153437</v>
      </c>
      <c r="L24" s="687">
        <f>+landbouw!K8</f>
        <v>0</v>
      </c>
      <c r="M24" s="687">
        <f>+landbouw!L8</f>
        <v>0</v>
      </c>
      <c r="N24" s="687">
        <f>+landbouw!M8</f>
        <v>0</v>
      </c>
      <c r="O24" s="687">
        <f>+landbouw!N8</f>
        <v>0</v>
      </c>
      <c r="P24" s="687">
        <f>+landbouw!O8</f>
        <v>0</v>
      </c>
      <c r="Q24" s="688">
        <f>+landbouw!P8</f>
        <v>0</v>
      </c>
      <c r="R24" s="690">
        <f>SUM(C24:Q24)</f>
        <v>11917.189964873538</v>
      </c>
      <c r="S24" s="67"/>
    </row>
    <row r="25" spans="1:19" s="456" customFormat="1" ht="15" thickBot="1">
      <c r="A25" s="824" t="s">
        <v>925</v>
      </c>
      <c r="B25" s="988"/>
      <c r="C25" s="989">
        <f>IF(Onbekend_ele_kWh="---",0,Onbekend_ele_kWh)/1000+IF(REST_rest_ele_kWh="---",0,REST_rest_ele_kWh)/1000</f>
        <v>2257.78067649988</v>
      </c>
      <c r="D25" s="989"/>
      <c r="E25" s="989">
        <f>IF(onbekend_gas_kWh="---",0,onbekend_gas_kWh)/1000+IF(REST_rest_gas_kWh="---",0,REST_rest_gas_kWh)/1000</f>
        <v>5479.5904219121703</v>
      </c>
      <c r="F25" s="989"/>
      <c r="G25" s="989"/>
      <c r="H25" s="989"/>
      <c r="I25" s="989"/>
      <c r="J25" s="989"/>
      <c r="K25" s="989"/>
      <c r="L25" s="989"/>
      <c r="M25" s="989"/>
      <c r="N25" s="989"/>
      <c r="O25" s="989"/>
      <c r="P25" s="989"/>
      <c r="Q25" s="990"/>
      <c r="R25" s="690">
        <f>SUM(C25:Q25)</f>
        <v>7737.3710984120498</v>
      </c>
      <c r="S25" s="67"/>
    </row>
    <row r="26" spans="1:19" s="456" customFormat="1" ht="15.75" thickBot="1">
      <c r="A26" s="693" t="s">
        <v>926</v>
      </c>
      <c r="B26" s="810"/>
      <c r="C26" s="805">
        <f>SUM(C24:C25)</f>
        <v>4429.4240991570359</v>
      </c>
      <c r="D26" s="805">
        <f t="shared" ref="D26:R26" si="2">SUM(D24:D25)</f>
        <v>0</v>
      </c>
      <c r="E26" s="805">
        <f t="shared" si="2"/>
        <v>5712.1638741224506</v>
      </c>
      <c r="F26" s="805">
        <f t="shared" si="2"/>
        <v>22.741920063694476</v>
      </c>
      <c r="G26" s="805">
        <f t="shared" si="2"/>
        <v>9296.2839475270648</v>
      </c>
      <c r="H26" s="805">
        <f t="shared" si="2"/>
        <v>0</v>
      </c>
      <c r="I26" s="805">
        <f t="shared" si="2"/>
        <v>0</v>
      </c>
      <c r="J26" s="805">
        <f t="shared" si="2"/>
        <v>0</v>
      </c>
      <c r="K26" s="805">
        <f t="shared" si="2"/>
        <v>193.9472224153437</v>
      </c>
      <c r="L26" s="805">
        <f t="shared" si="2"/>
        <v>0</v>
      </c>
      <c r="M26" s="805">
        <f t="shared" si="2"/>
        <v>0</v>
      </c>
      <c r="N26" s="805">
        <f t="shared" si="2"/>
        <v>0</v>
      </c>
      <c r="O26" s="805">
        <f t="shared" si="2"/>
        <v>0</v>
      </c>
      <c r="P26" s="805">
        <f t="shared" si="2"/>
        <v>0</v>
      </c>
      <c r="Q26" s="805">
        <f t="shared" si="2"/>
        <v>0</v>
      </c>
      <c r="R26" s="805">
        <f t="shared" si="2"/>
        <v>19654.56106328559</v>
      </c>
      <c r="S26" s="67"/>
    </row>
    <row r="27" spans="1:19" s="456" customFormat="1" ht="17.25" thickTop="1" thickBot="1">
      <c r="A27" s="694" t="s">
        <v>116</v>
      </c>
      <c r="B27" s="797"/>
      <c r="C27" s="695">
        <f ca="1">C22+C16+C26</f>
        <v>125966.74695730093</v>
      </c>
      <c r="D27" s="695">
        <f t="shared" ref="D27:R27" ca="1" si="3">D22+D16+D26</f>
        <v>0</v>
      </c>
      <c r="E27" s="695">
        <f t="shared" ca="1" si="3"/>
        <v>157470.37302292875</v>
      </c>
      <c r="F27" s="695">
        <f t="shared" si="3"/>
        <v>5627.8394797917817</v>
      </c>
      <c r="G27" s="695">
        <f t="shared" ca="1" si="3"/>
        <v>31952.641525486462</v>
      </c>
      <c r="H27" s="695">
        <f t="shared" si="3"/>
        <v>93781.702105117351</v>
      </c>
      <c r="I27" s="695">
        <f t="shared" si="3"/>
        <v>13580.694633871461</v>
      </c>
      <c r="J27" s="695">
        <f t="shared" si="3"/>
        <v>0</v>
      </c>
      <c r="K27" s="695">
        <f t="shared" si="3"/>
        <v>397.34095840014606</v>
      </c>
      <c r="L27" s="695">
        <f t="shared" si="3"/>
        <v>0</v>
      </c>
      <c r="M27" s="695">
        <f t="shared" ca="1" si="3"/>
        <v>0</v>
      </c>
      <c r="N27" s="695">
        <f t="shared" si="3"/>
        <v>4677.1814169868912</v>
      </c>
      <c r="O27" s="695">
        <f t="shared" ca="1" si="3"/>
        <v>11007.976401825943</v>
      </c>
      <c r="P27" s="695">
        <f t="shared" si="3"/>
        <v>54.716666666666669</v>
      </c>
      <c r="Q27" s="695">
        <f t="shared" si="3"/>
        <v>343.20000000000005</v>
      </c>
      <c r="R27" s="695">
        <f t="shared" ca="1" si="3"/>
        <v>444860.41316837637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6554.3324563522965</v>
      </c>
      <c r="D40" s="687">
        <f ca="1">tertiair!C20</f>
        <v>0</v>
      </c>
      <c r="E40" s="687">
        <f ca="1">tertiair!D20</f>
        <v>8522.014522283871</v>
      </c>
      <c r="F40" s="687">
        <f>tertiair!E20</f>
        <v>116.65348746776928</v>
      </c>
      <c r="G40" s="687">
        <f ca="1">tertiair!F20</f>
        <v>1791.9376839085326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16984.938150012469</v>
      </c>
    </row>
    <row r="41" spans="1:18">
      <c r="A41" s="815" t="s">
        <v>225</v>
      </c>
      <c r="B41" s="822"/>
      <c r="C41" s="687">
        <f ca="1">huishoudens!B12</f>
        <v>6875.1833417542621</v>
      </c>
      <c r="D41" s="687">
        <f ca="1">huishoudens!C12</f>
        <v>0</v>
      </c>
      <c r="E41" s="687">
        <f>huishoudens!D12</f>
        <v>18086.640337237262</v>
      </c>
      <c r="F41" s="687">
        <f>huishoudens!E12</f>
        <v>843.47706241997071</v>
      </c>
      <c r="G41" s="687">
        <f>huishoudens!F12</f>
        <v>1229.1999612610541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27034.500702672547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9175.2854705874543</v>
      </c>
      <c r="D43" s="687">
        <f ca="1">industrie!C22</f>
        <v>0</v>
      </c>
      <c r="E43" s="687">
        <f>industrie!D22</f>
        <v>4045.6814264288096</v>
      </c>
      <c r="F43" s="687">
        <f>industrie!E22</f>
        <v>218.05050278819505</v>
      </c>
      <c r="G43" s="687">
        <f>industrie!F22</f>
        <v>3028.109828145572</v>
      </c>
      <c r="H43" s="687">
        <f>industrie!G22</f>
        <v>0</v>
      </c>
      <c r="I43" s="687">
        <f>industrie!H22</f>
        <v>0</v>
      </c>
      <c r="J43" s="687">
        <f>industrie!I22</f>
        <v>0</v>
      </c>
      <c r="K43" s="687">
        <f>industrie!J22</f>
        <v>72.001382538620021</v>
      </c>
      <c r="L43" s="687">
        <f>industrie!K22</f>
        <v>0</v>
      </c>
      <c r="M43" s="687">
        <f>industrie!L22</f>
        <v>0</v>
      </c>
      <c r="N43" s="687">
        <f>industrie!M22</f>
        <v>0</v>
      </c>
      <c r="O43" s="687">
        <f>industrie!N22</f>
        <v>0</v>
      </c>
      <c r="P43" s="687">
        <f>industrie!O22</f>
        <v>0</v>
      </c>
      <c r="Q43" s="762">
        <f>industrie!P22</f>
        <v>0</v>
      </c>
      <c r="R43" s="842">
        <f t="shared" ca="1" si="4"/>
        <v>16539.128610488649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22604.801268694013</v>
      </c>
      <c r="D46" s="720">
        <f t="shared" ref="D46:Q46" ca="1" si="5">SUM(D39:D45)</f>
        <v>0</v>
      </c>
      <c r="E46" s="720">
        <f t="shared" ca="1" si="5"/>
        <v>30654.336285949947</v>
      </c>
      <c r="F46" s="720">
        <f t="shared" si="5"/>
        <v>1178.181052675935</v>
      </c>
      <c r="G46" s="720">
        <f t="shared" ca="1" si="5"/>
        <v>6049.2474733151594</v>
      </c>
      <c r="H46" s="720">
        <f t="shared" si="5"/>
        <v>0</v>
      </c>
      <c r="I46" s="720">
        <f t="shared" si="5"/>
        <v>0</v>
      </c>
      <c r="J46" s="720">
        <f t="shared" si="5"/>
        <v>0</v>
      </c>
      <c r="K46" s="720">
        <f t="shared" si="5"/>
        <v>72.001382538620021</v>
      </c>
      <c r="L46" s="720">
        <f t="shared" si="5"/>
        <v>0</v>
      </c>
      <c r="M46" s="720">
        <f t="shared" ca="1" si="5"/>
        <v>0</v>
      </c>
      <c r="N46" s="720">
        <f t="shared" si="5"/>
        <v>0</v>
      </c>
      <c r="O46" s="720">
        <f t="shared" ca="1" si="5"/>
        <v>0</v>
      </c>
      <c r="P46" s="720">
        <f t="shared" si="5"/>
        <v>0</v>
      </c>
      <c r="Q46" s="720">
        <f t="shared" si="5"/>
        <v>0</v>
      </c>
      <c r="R46" s="720">
        <f ca="1">SUM(R39:R45)</f>
        <v>60558.567463173662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402.66591842282628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402.66591842282628</v>
      </c>
    </row>
    <row r="50" spans="1:18">
      <c r="A50" s="818" t="s">
        <v>307</v>
      </c>
      <c r="B50" s="828"/>
      <c r="C50" s="995">
        <f ca="1">transport!B18</f>
        <v>0.1576264141273522</v>
      </c>
      <c r="D50" s="995">
        <f>transport!C18</f>
        <v>0</v>
      </c>
      <c r="E50" s="995">
        <f>transport!D18</f>
        <v>0.82196210892832455</v>
      </c>
      <c r="F50" s="995">
        <f>transport!E18</f>
        <v>94.176093382341051</v>
      </c>
      <c r="G50" s="995">
        <f>transport!F18</f>
        <v>0</v>
      </c>
      <c r="H50" s="995">
        <f>transport!G18</f>
        <v>24637.048543643508</v>
      </c>
      <c r="I50" s="995">
        <f>transport!H18</f>
        <v>3381.5929638339935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28113.797189382902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0.1576264141273522</v>
      </c>
      <c r="D52" s="720">
        <f t="shared" ref="D52:Q52" ca="1" si="6">SUM(D48:D51)</f>
        <v>0</v>
      </c>
      <c r="E52" s="720">
        <f t="shared" si="6"/>
        <v>0.82196210892832455</v>
      </c>
      <c r="F52" s="720">
        <f t="shared" si="6"/>
        <v>94.176093382341051</v>
      </c>
      <c r="G52" s="720">
        <f t="shared" si="6"/>
        <v>0</v>
      </c>
      <c r="H52" s="720">
        <f t="shared" si="6"/>
        <v>25039.714462066335</v>
      </c>
      <c r="I52" s="720">
        <f t="shared" si="6"/>
        <v>3381.5929638339935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28516.463107805728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403.90810945616926</v>
      </c>
      <c r="D54" s="995">
        <f ca="1">+landbouw!C12</f>
        <v>0</v>
      </c>
      <c r="E54" s="995">
        <f>+landbouw!D12</f>
        <v>46.979837346476536</v>
      </c>
      <c r="F54" s="995">
        <f>+landbouw!E12</f>
        <v>5.1624158544586463</v>
      </c>
      <c r="G54" s="995">
        <f>+landbouw!F12</f>
        <v>2482.1078139897263</v>
      </c>
      <c r="H54" s="995">
        <f>+landbouw!G12</f>
        <v>0</v>
      </c>
      <c r="I54" s="995">
        <f>+landbouw!H12</f>
        <v>0</v>
      </c>
      <c r="J54" s="995">
        <f>+landbouw!I12</f>
        <v>0</v>
      </c>
      <c r="K54" s="995">
        <f>+landbouw!J12</f>
        <v>68.657316735031671</v>
      </c>
      <c r="L54" s="995">
        <f>+landbouw!K12</f>
        <v>0</v>
      </c>
      <c r="M54" s="995">
        <f>+landbouw!L12</f>
        <v>0</v>
      </c>
      <c r="N54" s="995">
        <f>+landbouw!M12</f>
        <v>0</v>
      </c>
      <c r="O54" s="995">
        <f>+landbouw!N12</f>
        <v>0</v>
      </c>
      <c r="P54" s="995">
        <f>+landbouw!O12</f>
        <v>0</v>
      </c>
      <c r="Q54" s="996">
        <f>+landbouw!P12</f>
        <v>0</v>
      </c>
      <c r="R54" s="719">
        <f ca="1">SUM(C54:Q54)</f>
        <v>3006.8154933818623</v>
      </c>
    </row>
    <row r="55" spans="1:18" ht="15" thickBot="1">
      <c r="A55" s="818" t="s">
        <v>925</v>
      </c>
      <c r="B55" s="828"/>
      <c r="C55" s="995">
        <f ca="1">C25*'EF ele_warmte'!B12</f>
        <v>419.92894187753927</v>
      </c>
      <c r="D55" s="995"/>
      <c r="E55" s="995">
        <f>E25*EF_CO2_aardgas</f>
        <v>1106.8772652262585</v>
      </c>
      <c r="F55" s="995"/>
      <c r="G55" s="995"/>
      <c r="H55" s="995"/>
      <c r="I55" s="995"/>
      <c r="J55" s="995"/>
      <c r="K55" s="995"/>
      <c r="L55" s="995"/>
      <c r="M55" s="995"/>
      <c r="N55" s="995"/>
      <c r="O55" s="995"/>
      <c r="P55" s="995"/>
      <c r="Q55" s="996"/>
      <c r="R55" s="719">
        <f ca="1">SUM(C55:Q55)</f>
        <v>1526.8062071037978</v>
      </c>
    </row>
    <row r="56" spans="1:18" ht="15.75" thickBot="1">
      <c r="A56" s="816" t="s">
        <v>926</v>
      </c>
      <c r="B56" s="829"/>
      <c r="C56" s="720">
        <f ca="1">SUM(C54:C55)</f>
        <v>823.83705133370859</v>
      </c>
      <c r="D56" s="720">
        <f t="shared" ref="D56:Q56" ca="1" si="7">SUM(D54:D55)</f>
        <v>0</v>
      </c>
      <c r="E56" s="720">
        <f t="shared" si="7"/>
        <v>1153.8571025727351</v>
      </c>
      <c r="F56" s="720">
        <f t="shared" si="7"/>
        <v>5.1624158544586463</v>
      </c>
      <c r="G56" s="720">
        <f t="shared" si="7"/>
        <v>2482.1078139897263</v>
      </c>
      <c r="H56" s="720">
        <f t="shared" si="7"/>
        <v>0</v>
      </c>
      <c r="I56" s="720">
        <f t="shared" si="7"/>
        <v>0</v>
      </c>
      <c r="J56" s="720">
        <f t="shared" si="7"/>
        <v>0</v>
      </c>
      <c r="K56" s="720">
        <f t="shared" si="7"/>
        <v>68.657316735031671</v>
      </c>
      <c r="L56" s="720">
        <f t="shared" si="7"/>
        <v>0</v>
      </c>
      <c r="M56" s="720">
        <f t="shared" si="7"/>
        <v>0</v>
      </c>
      <c r="N56" s="720">
        <f t="shared" si="7"/>
        <v>0</v>
      </c>
      <c r="O56" s="720">
        <f t="shared" si="7"/>
        <v>0</v>
      </c>
      <c r="P56" s="720">
        <f t="shared" si="7"/>
        <v>0</v>
      </c>
      <c r="Q56" s="721">
        <f t="shared" si="7"/>
        <v>0</v>
      </c>
      <c r="R56" s="722">
        <f ca="1">SUM(R54:R55)</f>
        <v>4533.6217004856599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23428.795946441845</v>
      </c>
      <c r="D61" s="728">
        <f t="shared" ref="D61:Q61" ca="1" si="8">D46+D52+D56</f>
        <v>0</v>
      </c>
      <c r="E61" s="728">
        <f t="shared" ca="1" si="8"/>
        <v>31809.015350631609</v>
      </c>
      <c r="F61" s="728">
        <f t="shared" si="8"/>
        <v>1277.5195619127348</v>
      </c>
      <c r="G61" s="728">
        <f t="shared" ca="1" si="8"/>
        <v>8531.3552873048866</v>
      </c>
      <c r="H61" s="728">
        <f t="shared" si="8"/>
        <v>25039.714462066335</v>
      </c>
      <c r="I61" s="728">
        <f t="shared" si="8"/>
        <v>3381.5929638339935</v>
      </c>
      <c r="J61" s="728">
        <f t="shared" si="8"/>
        <v>0</v>
      </c>
      <c r="K61" s="728">
        <f t="shared" si="8"/>
        <v>140.65869927365168</v>
      </c>
      <c r="L61" s="728">
        <f t="shared" si="8"/>
        <v>0</v>
      </c>
      <c r="M61" s="728">
        <f t="shared" ca="1" si="8"/>
        <v>0</v>
      </c>
      <c r="N61" s="728">
        <f t="shared" si="8"/>
        <v>0</v>
      </c>
      <c r="O61" s="728">
        <f t="shared" ca="1" si="8"/>
        <v>0</v>
      </c>
      <c r="P61" s="728">
        <f t="shared" si="8"/>
        <v>0</v>
      </c>
      <c r="Q61" s="728">
        <f t="shared" si="8"/>
        <v>0</v>
      </c>
      <c r="R61" s="728">
        <f ca="1">R46+R52+R56</f>
        <v>93608.652271465049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0.18599191066181558</v>
      </c>
      <c r="D63" s="772">
        <f t="shared" ca="1" si="9"/>
        <v>0</v>
      </c>
      <c r="E63" s="997">
        <f t="shared" ca="1" si="9"/>
        <v>0.20200000000000001</v>
      </c>
      <c r="F63" s="772">
        <f t="shared" si="9"/>
        <v>0.22700000000000006</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17509.807786802328</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1544.2878291327602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900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2250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19954.09561593509</v>
      </c>
      <c r="C78" s="743">
        <f>SUM(C72:C77)</f>
        <v>0</v>
      </c>
      <c r="D78" s="744">
        <f t="shared" ref="D78:H78" si="10">SUM(D76:D77)</f>
        <v>0</v>
      </c>
      <c r="E78" s="744">
        <f t="shared" si="10"/>
        <v>0</v>
      </c>
      <c r="F78" s="744">
        <f t="shared" si="10"/>
        <v>0</v>
      </c>
      <c r="G78" s="744">
        <f t="shared" si="10"/>
        <v>0</v>
      </c>
      <c r="H78" s="744">
        <f t="shared" si="10"/>
        <v>0</v>
      </c>
      <c r="I78" s="744">
        <f>SUM(I76:I77)</f>
        <v>2250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36964.958945205064</v>
      </c>
      <c r="C4" s="460">
        <f>huishoudens!C8</f>
        <v>0</v>
      </c>
      <c r="D4" s="460">
        <f>huishoudens!D8</f>
        <v>89537.82345166961</v>
      </c>
      <c r="E4" s="460">
        <f>huishoudens!E8</f>
        <v>3715.7579842289456</v>
      </c>
      <c r="F4" s="460">
        <f>huishoudens!F8</f>
        <v>4603.7451732623749</v>
      </c>
      <c r="G4" s="460">
        <f>huishoudens!G8</f>
        <v>0</v>
      </c>
      <c r="H4" s="460">
        <f>huishoudens!H8</f>
        <v>0</v>
      </c>
      <c r="I4" s="460">
        <f>huishoudens!I8</f>
        <v>0</v>
      </c>
      <c r="J4" s="460">
        <f>huishoudens!J8</f>
        <v>0</v>
      </c>
      <c r="K4" s="460">
        <f>huishoudens!K8</f>
        <v>0</v>
      </c>
      <c r="L4" s="460">
        <f>huishoudens!L8</f>
        <v>0</v>
      </c>
      <c r="M4" s="460">
        <f>huishoudens!M8</f>
        <v>0</v>
      </c>
      <c r="N4" s="460">
        <f>huishoudens!N8</f>
        <v>9486.1428047288464</v>
      </c>
      <c r="O4" s="460">
        <f>huishoudens!O8</f>
        <v>54.716666666666669</v>
      </c>
      <c r="P4" s="461">
        <f>huishoudens!P8</f>
        <v>228.8</v>
      </c>
      <c r="Q4" s="462">
        <f>SUM(B4:P4)</f>
        <v>144591.94502576152</v>
      </c>
    </row>
    <row r="5" spans="1:17">
      <c r="A5" s="459" t="s">
        <v>156</v>
      </c>
      <c r="B5" s="460">
        <f ca="1">tertiair!B16</f>
        <v>33743.933159421475</v>
      </c>
      <c r="C5" s="460">
        <f ca="1">tertiair!C16</f>
        <v>0</v>
      </c>
      <c r="D5" s="460">
        <f ca="1">tertiair!D16</f>
        <v>42188.1907043756</v>
      </c>
      <c r="E5" s="460">
        <f>tertiair!E16</f>
        <v>513.89201527651664</v>
      </c>
      <c r="F5" s="460">
        <f ca="1">tertiair!F16</f>
        <v>6711.3770932903835</v>
      </c>
      <c r="G5" s="460">
        <f>tertiair!G16</f>
        <v>0</v>
      </c>
      <c r="H5" s="460">
        <f>tertiair!H16</f>
        <v>0</v>
      </c>
      <c r="I5" s="460">
        <f>tertiair!I16</f>
        <v>0</v>
      </c>
      <c r="J5" s="460">
        <f>tertiair!J16</f>
        <v>0</v>
      </c>
      <c r="K5" s="460">
        <f>tertiair!K16</f>
        <v>0</v>
      </c>
      <c r="L5" s="460">
        <f ca="1">tertiair!L16</f>
        <v>0</v>
      </c>
      <c r="M5" s="460">
        <f>tertiair!M16</f>
        <v>0</v>
      </c>
      <c r="N5" s="460">
        <f ca="1">tertiair!N16</f>
        <v>952.71964766557801</v>
      </c>
      <c r="O5" s="460">
        <f>tertiair!O16</f>
        <v>0</v>
      </c>
      <c r="P5" s="461">
        <f>tertiair!P16</f>
        <v>114.4</v>
      </c>
      <c r="Q5" s="459">
        <f t="shared" ref="Q5:Q14" ca="1" si="0">SUM(B5:P5)</f>
        <v>84224.512620029564</v>
      </c>
    </row>
    <row r="6" spans="1:17">
      <c r="A6" s="459" t="s">
        <v>194</v>
      </c>
      <c r="B6" s="460">
        <f>'openbare verlichting'!B8</f>
        <v>1495.9459999999999</v>
      </c>
      <c r="C6" s="460"/>
      <c r="D6" s="460"/>
      <c r="E6" s="460"/>
      <c r="F6" s="460"/>
      <c r="G6" s="460"/>
      <c r="H6" s="460"/>
      <c r="I6" s="460"/>
      <c r="J6" s="460"/>
      <c r="K6" s="460"/>
      <c r="L6" s="460"/>
      <c r="M6" s="460"/>
      <c r="N6" s="460"/>
      <c r="O6" s="460"/>
      <c r="P6" s="461"/>
      <c r="Q6" s="459">
        <f t="shared" si="0"/>
        <v>1495.9459999999999</v>
      </c>
    </row>
    <row r="7" spans="1:17">
      <c r="A7" s="459" t="s">
        <v>112</v>
      </c>
      <c r="B7" s="460">
        <f>landbouw!B8</f>
        <v>2171.643422657156</v>
      </c>
      <c r="C7" s="460">
        <f>landbouw!C8</f>
        <v>0</v>
      </c>
      <c r="D7" s="460">
        <f>landbouw!D8</f>
        <v>232.57345221027987</v>
      </c>
      <c r="E7" s="460">
        <f>landbouw!E8</f>
        <v>22.741920063694476</v>
      </c>
      <c r="F7" s="460">
        <f>landbouw!F8</f>
        <v>9296.2839475270648</v>
      </c>
      <c r="G7" s="460">
        <f>landbouw!G8</f>
        <v>0</v>
      </c>
      <c r="H7" s="460">
        <f>landbouw!H8</f>
        <v>0</v>
      </c>
      <c r="I7" s="460">
        <f>landbouw!I8</f>
        <v>0</v>
      </c>
      <c r="J7" s="460">
        <f>landbouw!J8</f>
        <v>193.9472224153437</v>
      </c>
      <c r="K7" s="460">
        <f>landbouw!K8</f>
        <v>0</v>
      </c>
      <c r="L7" s="460">
        <f>landbouw!L8</f>
        <v>0</v>
      </c>
      <c r="M7" s="460">
        <f>landbouw!M8</f>
        <v>0</v>
      </c>
      <c r="N7" s="460">
        <f>landbouw!N8</f>
        <v>0</v>
      </c>
      <c r="O7" s="460">
        <f>landbouw!O8</f>
        <v>0</v>
      </c>
      <c r="P7" s="461">
        <f>landbouw!P8</f>
        <v>0</v>
      </c>
      <c r="Q7" s="459">
        <f t="shared" si="0"/>
        <v>11917.189964873538</v>
      </c>
    </row>
    <row r="8" spans="1:17">
      <c r="A8" s="459" t="s">
        <v>655</v>
      </c>
      <c r="B8" s="460">
        <f>industrie!B18</f>
        <v>49331.637262819691</v>
      </c>
      <c r="C8" s="460">
        <f>industrie!C18</f>
        <v>0</v>
      </c>
      <c r="D8" s="460">
        <f>industrie!D18</f>
        <v>20028.125873409947</v>
      </c>
      <c r="E8" s="460">
        <f>industrie!E18</f>
        <v>960.57490215063899</v>
      </c>
      <c r="F8" s="460">
        <f>industrie!F18</f>
        <v>11341.235311406635</v>
      </c>
      <c r="G8" s="460">
        <f>industrie!G18</f>
        <v>0</v>
      </c>
      <c r="H8" s="460">
        <f>industrie!H18</f>
        <v>0</v>
      </c>
      <c r="I8" s="460">
        <f>industrie!I18</f>
        <v>0</v>
      </c>
      <c r="J8" s="460">
        <f>industrie!J18</f>
        <v>203.39373598480233</v>
      </c>
      <c r="K8" s="460">
        <f>industrie!K18</f>
        <v>0</v>
      </c>
      <c r="L8" s="460">
        <f>industrie!L18</f>
        <v>0</v>
      </c>
      <c r="M8" s="460">
        <f>industrie!M18</f>
        <v>0</v>
      </c>
      <c r="N8" s="460">
        <f>industrie!N18</f>
        <v>569.11394943151981</v>
      </c>
      <c r="O8" s="460">
        <f>industrie!O18</f>
        <v>0</v>
      </c>
      <c r="P8" s="461">
        <f>industrie!P18</f>
        <v>0</v>
      </c>
      <c r="Q8" s="459">
        <f t="shared" si="0"/>
        <v>82434.081035203228</v>
      </c>
    </row>
    <row r="9" spans="1:17" s="465" customFormat="1">
      <c r="A9" s="463" t="s">
        <v>573</v>
      </c>
      <c r="B9" s="464">
        <f>transport!B14</f>
        <v>0.84749069766781593</v>
      </c>
      <c r="C9" s="464">
        <f>transport!C14</f>
        <v>0</v>
      </c>
      <c r="D9" s="464">
        <f>transport!D14</f>
        <v>4.0691193511303192</v>
      </c>
      <c r="E9" s="464">
        <f>transport!E14</f>
        <v>414.87265807198702</v>
      </c>
      <c r="F9" s="464">
        <f>transport!F14</f>
        <v>0</v>
      </c>
      <c r="G9" s="464">
        <f>transport!G14</f>
        <v>92273.59005109928</v>
      </c>
      <c r="H9" s="464">
        <f>transport!H14</f>
        <v>13580.694633871461</v>
      </c>
      <c r="I9" s="464">
        <f>transport!I14</f>
        <v>0</v>
      </c>
      <c r="J9" s="464">
        <f>transport!J14</f>
        <v>0</v>
      </c>
      <c r="K9" s="464">
        <f>transport!K14</f>
        <v>0</v>
      </c>
      <c r="L9" s="464">
        <f>transport!L14</f>
        <v>0</v>
      </c>
      <c r="M9" s="464">
        <f>transport!M14</f>
        <v>4612.8971520815794</v>
      </c>
      <c r="N9" s="464">
        <f>transport!N14</f>
        <v>0</v>
      </c>
      <c r="O9" s="464">
        <f>transport!O14</f>
        <v>0</v>
      </c>
      <c r="P9" s="464">
        <f>transport!P14</f>
        <v>0</v>
      </c>
      <c r="Q9" s="463">
        <f>SUM(B9:P9)</f>
        <v>110886.97110517311</v>
      </c>
    </row>
    <row r="10" spans="1:17">
      <c r="A10" s="459" t="s">
        <v>563</v>
      </c>
      <c r="B10" s="460">
        <f>transport!B54</f>
        <v>0</v>
      </c>
      <c r="C10" s="460">
        <f>transport!C54</f>
        <v>0</v>
      </c>
      <c r="D10" s="460">
        <f>transport!D54</f>
        <v>0</v>
      </c>
      <c r="E10" s="460">
        <f>transport!E54</f>
        <v>0</v>
      </c>
      <c r="F10" s="460">
        <f>transport!F54</f>
        <v>0</v>
      </c>
      <c r="G10" s="460">
        <f>transport!G54</f>
        <v>1508.1120540180759</v>
      </c>
      <c r="H10" s="460">
        <f>transport!H54</f>
        <v>0</v>
      </c>
      <c r="I10" s="460">
        <f>transport!I54</f>
        <v>0</v>
      </c>
      <c r="J10" s="460">
        <f>transport!J54</f>
        <v>0</v>
      </c>
      <c r="K10" s="460">
        <f>transport!K54</f>
        <v>0</v>
      </c>
      <c r="L10" s="460">
        <f>transport!L54</f>
        <v>0</v>
      </c>
      <c r="M10" s="460">
        <f>transport!M54</f>
        <v>64.284264905311787</v>
      </c>
      <c r="N10" s="460">
        <f>transport!N54</f>
        <v>0</v>
      </c>
      <c r="O10" s="460">
        <f>transport!O54</f>
        <v>0</v>
      </c>
      <c r="P10" s="461">
        <f>transport!P54</f>
        <v>0</v>
      </c>
      <c r="Q10" s="459">
        <f t="shared" si="0"/>
        <v>1572.3963189233878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2257.78067649988</v>
      </c>
      <c r="C14" s="467"/>
      <c r="D14" s="467">
        <f>'SEAP template'!E25</f>
        <v>5479.5904219121703</v>
      </c>
      <c r="E14" s="467"/>
      <c r="F14" s="467"/>
      <c r="G14" s="467"/>
      <c r="H14" s="467"/>
      <c r="I14" s="467"/>
      <c r="J14" s="467"/>
      <c r="K14" s="467"/>
      <c r="L14" s="467"/>
      <c r="M14" s="467"/>
      <c r="N14" s="467"/>
      <c r="O14" s="467"/>
      <c r="P14" s="468"/>
      <c r="Q14" s="459">
        <f t="shared" si="0"/>
        <v>7737.3710984120498</v>
      </c>
    </row>
    <row r="15" spans="1:17" s="472" customFormat="1">
      <c r="A15" s="469" t="s">
        <v>567</v>
      </c>
      <c r="B15" s="470">
        <f ca="1">SUM(B4:B14)</f>
        <v>125966.74695730093</v>
      </c>
      <c r="C15" s="470">
        <f t="shared" ref="C15:Q15" ca="1" si="1">SUM(C4:C14)</f>
        <v>0</v>
      </c>
      <c r="D15" s="470">
        <f t="shared" ca="1" si="1"/>
        <v>157470.37302292875</v>
      </c>
      <c r="E15" s="470">
        <f t="shared" si="1"/>
        <v>5627.8394797917817</v>
      </c>
      <c r="F15" s="470">
        <f t="shared" ca="1" si="1"/>
        <v>31952.641525486459</v>
      </c>
      <c r="G15" s="470">
        <f t="shared" si="1"/>
        <v>93781.702105117351</v>
      </c>
      <c r="H15" s="470">
        <f t="shared" si="1"/>
        <v>13580.694633871461</v>
      </c>
      <c r="I15" s="470">
        <f t="shared" si="1"/>
        <v>0</v>
      </c>
      <c r="J15" s="470">
        <f t="shared" si="1"/>
        <v>397.34095840014606</v>
      </c>
      <c r="K15" s="470">
        <f t="shared" si="1"/>
        <v>0</v>
      </c>
      <c r="L15" s="470">
        <f t="shared" ca="1" si="1"/>
        <v>0</v>
      </c>
      <c r="M15" s="470">
        <f t="shared" si="1"/>
        <v>4677.1814169868912</v>
      </c>
      <c r="N15" s="470">
        <f t="shared" ca="1" si="1"/>
        <v>11007.976401825943</v>
      </c>
      <c r="O15" s="470">
        <f t="shared" si="1"/>
        <v>54.716666666666669</v>
      </c>
      <c r="P15" s="470">
        <f t="shared" si="1"/>
        <v>343.20000000000005</v>
      </c>
      <c r="Q15" s="470">
        <f t="shared" ca="1" si="1"/>
        <v>444860.41316837637</v>
      </c>
    </row>
    <row r="17" spans="1:17">
      <c r="A17" s="473" t="s">
        <v>568</v>
      </c>
      <c r="B17" s="777">
        <f ca="1">huishoudens!B10</f>
        <v>0.18599191066181561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6875.1833417542621</v>
      </c>
      <c r="C22" s="460">
        <f t="shared" ref="C22:C32" ca="1" si="3">C4*$C$17</f>
        <v>0</v>
      </c>
      <c r="D22" s="460">
        <f t="shared" ref="D22:D32" si="4">D4*$D$17</f>
        <v>18086.640337237262</v>
      </c>
      <c r="E22" s="460">
        <f t="shared" ref="E22:E32" si="5">E4*$E$17</f>
        <v>843.47706241997071</v>
      </c>
      <c r="F22" s="460">
        <f t="shared" ref="F22:F32" si="6">F4*$F$17</f>
        <v>1229.1999612610541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27034.500702672547</v>
      </c>
    </row>
    <row r="23" spans="1:17">
      <c r="A23" s="459" t="s">
        <v>156</v>
      </c>
      <c r="B23" s="460">
        <f t="shared" ca="1" si="2"/>
        <v>6276.0986015653962</v>
      </c>
      <c r="C23" s="460">
        <f t="shared" ca="1" si="3"/>
        <v>0</v>
      </c>
      <c r="D23" s="460">
        <f t="shared" ca="1" si="4"/>
        <v>8522.014522283871</v>
      </c>
      <c r="E23" s="460">
        <f t="shared" si="5"/>
        <v>116.65348746776928</v>
      </c>
      <c r="F23" s="460">
        <f t="shared" ca="1" si="6"/>
        <v>1791.9376839085326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16706.704295225569</v>
      </c>
    </row>
    <row r="24" spans="1:17">
      <c r="A24" s="459" t="s">
        <v>194</v>
      </c>
      <c r="B24" s="460">
        <f t="shared" ca="1" si="2"/>
        <v>278.23385478690039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278.23385478690039</v>
      </c>
    </row>
    <row r="25" spans="1:17">
      <c r="A25" s="459" t="s">
        <v>112</v>
      </c>
      <c r="B25" s="460">
        <f t="shared" ca="1" si="2"/>
        <v>403.90810945616926</v>
      </c>
      <c r="C25" s="460">
        <f t="shared" ca="1" si="3"/>
        <v>0</v>
      </c>
      <c r="D25" s="460">
        <f t="shared" si="4"/>
        <v>46.979837346476536</v>
      </c>
      <c r="E25" s="460">
        <f t="shared" si="5"/>
        <v>5.1624158544586463</v>
      </c>
      <c r="F25" s="460">
        <f t="shared" si="6"/>
        <v>2482.1078139897263</v>
      </c>
      <c r="G25" s="460">
        <f t="shared" si="7"/>
        <v>0</v>
      </c>
      <c r="H25" s="460">
        <f t="shared" si="8"/>
        <v>0</v>
      </c>
      <c r="I25" s="460">
        <f t="shared" si="9"/>
        <v>0</v>
      </c>
      <c r="J25" s="460">
        <f t="shared" si="10"/>
        <v>68.657316735031671</v>
      </c>
      <c r="K25" s="460">
        <f t="shared" si="11"/>
        <v>0</v>
      </c>
      <c r="L25" s="460">
        <f t="shared" si="12"/>
        <v>0</v>
      </c>
      <c r="M25" s="460">
        <f t="shared" si="13"/>
        <v>0</v>
      </c>
      <c r="N25" s="460">
        <f t="shared" si="14"/>
        <v>0</v>
      </c>
      <c r="O25" s="460">
        <f t="shared" si="15"/>
        <v>0</v>
      </c>
      <c r="P25" s="461">
        <f t="shared" si="16"/>
        <v>0</v>
      </c>
      <c r="Q25" s="459">
        <f t="shared" ca="1" si="17"/>
        <v>3006.8154933818623</v>
      </c>
    </row>
    <row r="26" spans="1:17">
      <c r="A26" s="459" t="s">
        <v>655</v>
      </c>
      <c r="B26" s="460">
        <f t="shared" ca="1" si="2"/>
        <v>9175.2854705874543</v>
      </c>
      <c r="C26" s="460">
        <f t="shared" ca="1" si="3"/>
        <v>0</v>
      </c>
      <c r="D26" s="460">
        <f t="shared" si="4"/>
        <v>4045.6814264288096</v>
      </c>
      <c r="E26" s="460">
        <f t="shared" si="5"/>
        <v>218.05050278819505</v>
      </c>
      <c r="F26" s="460">
        <f t="shared" si="6"/>
        <v>3028.109828145572</v>
      </c>
      <c r="G26" s="460">
        <f t="shared" si="7"/>
        <v>0</v>
      </c>
      <c r="H26" s="460">
        <f t="shared" si="8"/>
        <v>0</v>
      </c>
      <c r="I26" s="460">
        <f t="shared" si="9"/>
        <v>0</v>
      </c>
      <c r="J26" s="460">
        <f t="shared" si="10"/>
        <v>72.001382538620021</v>
      </c>
      <c r="K26" s="460">
        <f t="shared" si="11"/>
        <v>0</v>
      </c>
      <c r="L26" s="460">
        <f t="shared" si="12"/>
        <v>0</v>
      </c>
      <c r="M26" s="460">
        <f t="shared" si="13"/>
        <v>0</v>
      </c>
      <c r="N26" s="460">
        <f t="shared" si="14"/>
        <v>0</v>
      </c>
      <c r="O26" s="460">
        <f t="shared" si="15"/>
        <v>0</v>
      </c>
      <c r="P26" s="461">
        <f t="shared" si="16"/>
        <v>0</v>
      </c>
      <c r="Q26" s="459">
        <f t="shared" ca="1" si="17"/>
        <v>16539.128610488649</v>
      </c>
    </row>
    <row r="27" spans="1:17" s="465" customFormat="1">
      <c r="A27" s="463" t="s">
        <v>573</v>
      </c>
      <c r="B27" s="771">
        <f t="shared" ca="1" si="2"/>
        <v>0.1576264141273522</v>
      </c>
      <c r="C27" s="464">
        <f t="shared" ca="1" si="3"/>
        <v>0</v>
      </c>
      <c r="D27" s="464">
        <f t="shared" si="4"/>
        <v>0.82196210892832455</v>
      </c>
      <c r="E27" s="464">
        <f t="shared" si="5"/>
        <v>94.176093382341051</v>
      </c>
      <c r="F27" s="464">
        <f t="shared" si="6"/>
        <v>0</v>
      </c>
      <c r="G27" s="464">
        <f t="shared" si="7"/>
        <v>24637.048543643508</v>
      </c>
      <c r="H27" s="464">
        <f t="shared" si="8"/>
        <v>3381.5929638339935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28113.797189382902</v>
      </c>
    </row>
    <row r="28" spans="1:17">
      <c r="A28" s="459" t="s">
        <v>563</v>
      </c>
      <c r="B28" s="460">
        <f t="shared" ca="1" si="2"/>
        <v>0</v>
      </c>
      <c r="C28" s="460">
        <f t="shared" ca="1" si="3"/>
        <v>0</v>
      </c>
      <c r="D28" s="460">
        <f t="shared" si="4"/>
        <v>0</v>
      </c>
      <c r="E28" s="460">
        <f t="shared" si="5"/>
        <v>0</v>
      </c>
      <c r="F28" s="460">
        <f t="shared" si="6"/>
        <v>0</v>
      </c>
      <c r="G28" s="460">
        <f t="shared" si="7"/>
        <v>402.66591842282628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402.66591842282628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419.92894187753927</v>
      </c>
      <c r="C32" s="460">
        <f t="shared" ca="1" si="3"/>
        <v>0</v>
      </c>
      <c r="D32" s="460">
        <f t="shared" si="4"/>
        <v>1106.8772652262585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1526.8062071037978</v>
      </c>
    </row>
    <row r="33" spans="1:17" s="472" customFormat="1">
      <c r="A33" s="469" t="s">
        <v>567</v>
      </c>
      <c r="B33" s="470">
        <f ca="1">SUM(B22:B32)</f>
        <v>23428.795946441849</v>
      </c>
      <c r="C33" s="470">
        <f t="shared" ref="C33:Q33" ca="1" si="19">SUM(C22:C32)</f>
        <v>0</v>
      </c>
      <c r="D33" s="470">
        <f t="shared" ca="1" si="19"/>
        <v>31809.015350631606</v>
      </c>
      <c r="E33" s="470">
        <f t="shared" si="19"/>
        <v>1277.5195619127348</v>
      </c>
      <c r="F33" s="470">
        <f t="shared" ca="1" si="19"/>
        <v>8531.3552873048848</v>
      </c>
      <c r="G33" s="470">
        <f t="shared" si="19"/>
        <v>25039.714462066335</v>
      </c>
      <c r="H33" s="470">
        <f t="shared" si="19"/>
        <v>3381.5929638339935</v>
      </c>
      <c r="I33" s="470">
        <f t="shared" si="19"/>
        <v>0</v>
      </c>
      <c r="J33" s="470">
        <f t="shared" si="19"/>
        <v>140.65869927365168</v>
      </c>
      <c r="K33" s="470">
        <f t="shared" si="19"/>
        <v>0</v>
      </c>
      <c r="L33" s="470">
        <f t="shared" ca="1" si="19"/>
        <v>0</v>
      </c>
      <c r="M33" s="470">
        <f t="shared" si="19"/>
        <v>0</v>
      </c>
      <c r="N33" s="470">
        <f t="shared" ca="1" si="19"/>
        <v>0</v>
      </c>
      <c r="O33" s="470">
        <f t="shared" si="19"/>
        <v>0</v>
      </c>
      <c r="P33" s="470">
        <f t="shared" si="19"/>
        <v>0</v>
      </c>
      <c r="Q33" s="470">
        <f t="shared" ca="1" si="19"/>
        <v>93608.652271465064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17509.807786802328</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1544.2878291327602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900</v>
      </c>
      <c r="C9" s="1028">
        <f>'SEAP template'!C77</f>
        <v>0</v>
      </c>
      <c r="D9" s="1028">
        <f>'SEAP template'!D77</f>
        <v>0</v>
      </c>
      <c r="E9" s="1028">
        <f>'SEAP template'!E77</f>
        <v>0</v>
      </c>
      <c r="F9" s="1028">
        <f>'SEAP template'!F77</f>
        <v>0</v>
      </c>
      <c r="G9" s="1028">
        <f>'SEAP template'!G77</f>
        <v>0</v>
      </c>
      <c r="H9" s="1028">
        <f>'SEAP template'!H77</f>
        <v>0</v>
      </c>
      <c r="I9" s="1028">
        <f>'SEAP template'!I77</f>
        <v>2250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19954.09561593509</v>
      </c>
      <c r="C10" s="1032">
        <f>SUM(C4:C9)</f>
        <v>0</v>
      </c>
      <c r="D10" s="1032">
        <f t="shared" ref="D10:H10" si="0">SUM(D8:D9)</f>
        <v>0</v>
      </c>
      <c r="E10" s="1032">
        <f t="shared" si="0"/>
        <v>0</v>
      </c>
      <c r="F10" s="1032">
        <f t="shared" si="0"/>
        <v>0</v>
      </c>
      <c r="G10" s="1032">
        <f t="shared" si="0"/>
        <v>0</v>
      </c>
      <c r="H10" s="1032">
        <f t="shared" si="0"/>
        <v>0</v>
      </c>
      <c r="I10" s="1032">
        <f>SUM(I8:I9)</f>
        <v>2250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0.18599191066181561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0.18599191066181561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0.18599191066181561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0.18599191066181561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43005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9067</v>
      </c>
      <c r="C9" s="336">
        <v>9763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1633</v>
      </c>
    </row>
    <row r="15" spans="1:6">
      <c r="A15" s="1277" t="s">
        <v>184</v>
      </c>
      <c r="B15" s="333">
        <v>33</v>
      </c>
    </row>
    <row r="16" spans="1:6">
      <c r="A16" s="1277" t="s">
        <v>6</v>
      </c>
      <c r="B16" s="333">
        <v>1117</v>
      </c>
    </row>
    <row r="17" spans="1:6">
      <c r="A17" s="1277" t="s">
        <v>7</v>
      </c>
      <c r="B17" s="333">
        <v>479</v>
      </c>
    </row>
    <row r="18" spans="1:6">
      <c r="A18" s="1277" t="s">
        <v>8</v>
      </c>
      <c r="B18" s="333">
        <v>930</v>
      </c>
    </row>
    <row r="19" spans="1:6">
      <c r="A19" s="1277" t="s">
        <v>9</v>
      </c>
      <c r="B19" s="333">
        <v>1003</v>
      </c>
    </row>
    <row r="20" spans="1:6">
      <c r="A20" s="1277" t="s">
        <v>10</v>
      </c>
      <c r="B20" s="333">
        <v>763</v>
      </c>
    </row>
    <row r="21" spans="1:6">
      <c r="A21" s="1277" t="s">
        <v>11</v>
      </c>
      <c r="B21" s="333">
        <v>13351</v>
      </c>
    </row>
    <row r="22" spans="1:6">
      <c r="A22" s="1277" t="s">
        <v>12</v>
      </c>
      <c r="B22" s="333">
        <v>24432</v>
      </c>
    </row>
    <row r="23" spans="1:6">
      <c r="A23" s="1277" t="s">
        <v>13</v>
      </c>
      <c r="B23" s="333">
        <v>572</v>
      </c>
    </row>
    <row r="24" spans="1:6">
      <c r="A24" s="1277" t="s">
        <v>14</v>
      </c>
      <c r="B24" s="333">
        <v>37</v>
      </c>
    </row>
    <row r="25" spans="1:6">
      <c r="A25" s="1277" t="s">
        <v>15</v>
      </c>
      <c r="B25" s="333">
        <v>3100</v>
      </c>
    </row>
    <row r="26" spans="1:6">
      <c r="A26" s="1277" t="s">
        <v>16</v>
      </c>
      <c r="B26" s="333">
        <v>354</v>
      </c>
    </row>
    <row r="27" spans="1:6">
      <c r="A27" s="1277" t="s">
        <v>17</v>
      </c>
      <c r="B27" s="333">
        <v>4</v>
      </c>
    </row>
    <row r="28" spans="1:6">
      <c r="A28" s="1277" t="s">
        <v>18</v>
      </c>
      <c r="B28" s="333">
        <v>50550</v>
      </c>
    </row>
    <row r="29" spans="1:6">
      <c r="A29" s="1277" t="s">
        <v>957</v>
      </c>
      <c r="B29" s="333">
        <v>66</v>
      </c>
    </row>
    <row r="30" spans="1:6">
      <c r="A30" s="1273" t="s">
        <v>958</v>
      </c>
      <c r="B30" s="1273">
        <v>13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12275.109508330201</v>
      </c>
    </row>
    <row r="37" spans="1:6">
      <c r="A37" s="1277" t="s">
        <v>25</v>
      </c>
      <c r="B37" s="1277" t="s">
        <v>28</v>
      </c>
      <c r="C37" s="333">
        <v>0</v>
      </c>
      <c r="D37" s="333">
        <v>0</v>
      </c>
      <c r="E37" s="333">
        <v>0</v>
      </c>
      <c r="F37" s="333">
        <v>0</v>
      </c>
    </row>
    <row r="38" spans="1:6">
      <c r="A38" s="1277" t="s">
        <v>25</v>
      </c>
      <c r="B38" s="1277" t="s">
        <v>29</v>
      </c>
      <c r="C38" s="333">
        <v>1</v>
      </c>
      <c r="D38" s="333">
        <v>35052.7251282625</v>
      </c>
      <c r="E38" s="333">
        <v>3</v>
      </c>
      <c r="F38" s="333">
        <v>6779.6464185533996</v>
      </c>
    </row>
    <row r="39" spans="1:6">
      <c r="A39" s="1277" t="s">
        <v>30</v>
      </c>
      <c r="B39" s="1277" t="s">
        <v>31</v>
      </c>
      <c r="C39" s="333">
        <v>6526</v>
      </c>
      <c r="D39" s="333">
        <v>99265879.658170298</v>
      </c>
      <c r="E39" s="333">
        <v>8820</v>
      </c>
      <c r="F39" s="333">
        <v>35721328.929810002</v>
      </c>
    </row>
    <row r="40" spans="1:6">
      <c r="A40" s="1277" t="s">
        <v>30</v>
      </c>
      <c r="B40" s="1277" t="s">
        <v>29</v>
      </c>
      <c r="C40" s="333">
        <v>0</v>
      </c>
      <c r="D40" s="333">
        <v>0</v>
      </c>
      <c r="E40" s="333">
        <v>0</v>
      </c>
      <c r="F40" s="333">
        <v>0</v>
      </c>
    </row>
    <row r="41" spans="1:6">
      <c r="A41" s="1277" t="s">
        <v>32</v>
      </c>
      <c r="B41" s="1277" t="s">
        <v>33</v>
      </c>
      <c r="C41" s="333">
        <v>71</v>
      </c>
      <c r="D41" s="333">
        <v>3119414.80088659</v>
      </c>
      <c r="E41" s="333">
        <v>188</v>
      </c>
      <c r="F41" s="333">
        <v>2871007.3972460302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13</v>
      </c>
      <c r="D44" s="333">
        <v>4724529.4284736495</v>
      </c>
      <c r="E44" s="333">
        <v>24</v>
      </c>
      <c r="F44" s="333">
        <v>3809171.40684648</v>
      </c>
    </row>
    <row r="45" spans="1:6">
      <c r="A45" s="1277" t="s">
        <v>32</v>
      </c>
      <c r="B45" s="1277" t="s">
        <v>37</v>
      </c>
      <c r="C45" s="333">
        <v>0</v>
      </c>
      <c r="D45" s="333">
        <v>0</v>
      </c>
      <c r="E45" s="333">
        <v>3</v>
      </c>
      <c r="F45" s="333">
        <v>106287.872466368</v>
      </c>
    </row>
    <row r="46" spans="1:6">
      <c r="A46" s="1277" t="s">
        <v>32</v>
      </c>
      <c r="B46" s="1277" t="s">
        <v>38</v>
      </c>
      <c r="C46" s="333">
        <v>0</v>
      </c>
      <c r="D46" s="333">
        <v>0</v>
      </c>
      <c r="E46" s="333">
        <v>0</v>
      </c>
      <c r="F46" s="333">
        <v>0</v>
      </c>
    </row>
    <row r="47" spans="1:6">
      <c r="A47" s="1277" t="s">
        <v>32</v>
      </c>
      <c r="B47" s="1277" t="s">
        <v>39</v>
      </c>
      <c r="C47" s="333">
        <v>0</v>
      </c>
      <c r="D47" s="333">
        <v>0</v>
      </c>
      <c r="E47" s="333">
        <v>8</v>
      </c>
      <c r="F47" s="333">
        <v>22961281.709046699</v>
      </c>
    </row>
    <row r="48" spans="1:6">
      <c r="A48" s="1277" t="s">
        <v>32</v>
      </c>
      <c r="B48" s="1277" t="s">
        <v>29</v>
      </c>
      <c r="C48" s="333">
        <v>38</v>
      </c>
      <c r="D48" s="333">
        <v>12539518.944683</v>
      </c>
      <c r="E48" s="333">
        <v>43</v>
      </c>
      <c r="F48" s="333">
        <v>16676028.1130055</v>
      </c>
    </row>
    <row r="49" spans="1:6">
      <c r="A49" s="1277" t="s">
        <v>32</v>
      </c>
      <c r="B49" s="1277" t="s">
        <v>40</v>
      </c>
      <c r="C49" s="333">
        <v>0</v>
      </c>
      <c r="D49" s="333">
        <v>0</v>
      </c>
      <c r="E49" s="333">
        <v>3</v>
      </c>
      <c r="F49" s="333">
        <v>78289.011181774302</v>
      </c>
    </row>
    <row r="50" spans="1:6">
      <c r="A50" s="1277" t="s">
        <v>32</v>
      </c>
      <c r="B50" s="1277" t="s">
        <v>41</v>
      </c>
      <c r="C50" s="333">
        <v>14</v>
      </c>
      <c r="D50" s="333">
        <v>1820667.5060121301</v>
      </c>
      <c r="E50" s="333">
        <v>25</v>
      </c>
      <c r="F50" s="333">
        <v>2829571.7530268398</v>
      </c>
    </row>
    <row r="51" spans="1:6">
      <c r="A51" s="1277" t="s">
        <v>42</v>
      </c>
      <c r="B51" s="1277" t="s">
        <v>43</v>
      </c>
      <c r="C51" s="333">
        <v>8</v>
      </c>
      <c r="D51" s="333">
        <v>180656.02212572601</v>
      </c>
      <c r="E51" s="333">
        <v>81</v>
      </c>
      <c r="F51" s="333">
        <v>2069253.8581091501</v>
      </c>
    </row>
    <row r="52" spans="1:6">
      <c r="A52" s="1277" t="s">
        <v>42</v>
      </c>
      <c r="B52" s="1277" t="s">
        <v>29</v>
      </c>
      <c r="C52" s="333">
        <v>5</v>
      </c>
      <c r="D52" s="333">
        <v>77185.942630681806</v>
      </c>
      <c r="E52" s="333">
        <v>7</v>
      </c>
      <c r="F52" s="333">
        <v>102389.564548006</v>
      </c>
    </row>
    <row r="53" spans="1:6">
      <c r="A53" s="1277" t="s">
        <v>44</v>
      </c>
      <c r="B53" s="1277" t="s">
        <v>45</v>
      </c>
      <c r="C53" s="333">
        <v>268</v>
      </c>
      <c r="D53" s="333">
        <v>5479590.42191217</v>
      </c>
      <c r="E53" s="333">
        <v>431</v>
      </c>
      <c r="F53" s="333">
        <v>2257780.6764998799</v>
      </c>
    </row>
    <row r="54" spans="1:6">
      <c r="A54" s="1277" t="s">
        <v>46</v>
      </c>
      <c r="B54" s="1277" t="s">
        <v>47</v>
      </c>
      <c r="C54" s="333">
        <v>0</v>
      </c>
      <c r="D54" s="333">
        <v>0</v>
      </c>
      <c r="E54" s="333">
        <v>1</v>
      </c>
      <c r="F54" s="333">
        <v>1495946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50</v>
      </c>
      <c r="D57" s="333">
        <v>5072665.9700603597</v>
      </c>
      <c r="E57" s="333">
        <v>98</v>
      </c>
      <c r="F57" s="333">
        <v>3279746.5219666101</v>
      </c>
    </row>
    <row r="58" spans="1:6">
      <c r="A58" s="1277" t="s">
        <v>49</v>
      </c>
      <c r="B58" s="1277" t="s">
        <v>51</v>
      </c>
      <c r="C58" s="333">
        <v>37</v>
      </c>
      <c r="D58" s="333">
        <v>9975355.4880493097</v>
      </c>
      <c r="E58" s="333">
        <v>58</v>
      </c>
      <c r="F58" s="333">
        <v>5512535.3556800596</v>
      </c>
    </row>
    <row r="59" spans="1:6">
      <c r="A59" s="1277" t="s">
        <v>49</v>
      </c>
      <c r="B59" s="1277" t="s">
        <v>52</v>
      </c>
      <c r="C59" s="333">
        <v>162</v>
      </c>
      <c r="D59" s="333">
        <v>5622251.5765075004</v>
      </c>
      <c r="E59" s="333">
        <v>355</v>
      </c>
      <c r="F59" s="333">
        <v>10494514.712232901</v>
      </c>
    </row>
    <row r="60" spans="1:6">
      <c r="A60" s="1277" t="s">
        <v>49</v>
      </c>
      <c r="B60" s="1277" t="s">
        <v>53</v>
      </c>
      <c r="C60" s="333">
        <v>60</v>
      </c>
      <c r="D60" s="333">
        <v>2547849.66421175</v>
      </c>
      <c r="E60" s="333">
        <v>82</v>
      </c>
      <c r="F60" s="333">
        <v>1881310.6696144801</v>
      </c>
    </row>
    <row r="61" spans="1:6">
      <c r="A61" s="1277" t="s">
        <v>49</v>
      </c>
      <c r="B61" s="1277" t="s">
        <v>54</v>
      </c>
      <c r="C61" s="333">
        <v>185</v>
      </c>
      <c r="D61" s="333">
        <v>15668790.6419328</v>
      </c>
      <c r="E61" s="333">
        <v>447</v>
      </c>
      <c r="F61" s="333">
        <v>7687280.6543050101</v>
      </c>
    </row>
    <row r="62" spans="1:6">
      <c r="A62" s="1277" t="s">
        <v>49</v>
      </c>
      <c r="B62" s="1277" t="s">
        <v>55</v>
      </c>
      <c r="C62" s="333">
        <v>6</v>
      </c>
      <c r="D62" s="333">
        <v>2540797.3877686402</v>
      </c>
      <c r="E62" s="333">
        <v>14</v>
      </c>
      <c r="F62" s="333">
        <v>1113010.4621697499</v>
      </c>
    </row>
    <row r="63" spans="1:6">
      <c r="A63" s="1277" t="s">
        <v>49</v>
      </c>
      <c r="B63" s="1277" t="s">
        <v>29</v>
      </c>
      <c r="C63" s="333">
        <v>110</v>
      </c>
      <c r="D63" s="333">
        <v>5344119.3206665302</v>
      </c>
      <c r="E63" s="333">
        <v>103</v>
      </c>
      <c r="F63" s="333">
        <v>2875534.7834526598</v>
      </c>
    </row>
    <row r="64" spans="1:6">
      <c r="A64" s="1277" t="s">
        <v>56</v>
      </c>
      <c r="B64" s="1277" t="s">
        <v>57</v>
      </c>
      <c r="C64" s="333">
        <v>0</v>
      </c>
      <c r="D64" s="333">
        <v>0</v>
      </c>
      <c r="E64" s="333">
        <v>0</v>
      </c>
      <c r="F64" s="333">
        <v>0</v>
      </c>
    </row>
    <row r="65" spans="1:6">
      <c r="A65" s="1277" t="s">
        <v>56</v>
      </c>
      <c r="B65" s="1277" t="s">
        <v>29</v>
      </c>
      <c r="C65" s="333">
        <v>0</v>
      </c>
      <c r="D65" s="333">
        <v>0</v>
      </c>
      <c r="E65" s="333">
        <v>3</v>
      </c>
      <c r="F65" s="333">
        <v>54852.293268654801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108114.608164345</v>
      </c>
      <c r="E68" s="333">
        <v>14</v>
      </c>
      <c r="F68" s="333">
        <v>56049.019933868301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90937788</v>
      </c>
      <c r="E73" s="333">
        <v>107016306.38676333</v>
      </c>
      <c r="F73" s="333">
        <v>97651748</v>
      </c>
    </row>
    <row r="74" spans="1:6">
      <c r="A74" s="1277" t="s">
        <v>64</v>
      </c>
      <c r="B74" s="1277" t="s">
        <v>774</v>
      </c>
      <c r="C74" s="1288" t="s">
        <v>775</v>
      </c>
      <c r="D74" s="333">
        <v>14244797.025109736</v>
      </c>
      <c r="E74" s="333">
        <v>16230373.473372994</v>
      </c>
      <c r="F74" s="333">
        <v>15527871.729698783</v>
      </c>
    </row>
    <row r="75" spans="1:6">
      <c r="A75" s="1277" t="s">
        <v>65</v>
      </c>
      <c r="B75" s="1277" t="s">
        <v>772</v>
      </c>
      <c r="C75" s="1288" t="s">
        <v>776</v>
      </c>
      <c r="D75" s="333">
        <v>15210470</v>
      </c>
      <c r="E75" s="333">
        <v>19239969.328887537</v>
      </c>
      <c r="F75" s="333">
        <v>17047589</v>
      </c>
    </row>
    <row r="76" spans="1:6">
      <c r="A76" s="1277" t="s">
        <v>65</v>
      </c>
      <c r="B76" s="1277" t="s">
        <v>774</v>
      </c>
      <c r="C76" s="1288" t="s">
        <v>777</v>
      </c>
      <c r="D76" s="333">
        <v>1331144.0251097362</v>
      </c>
      <c r="E76" s="333">
        <v>1554375.2430115517</v>
      </c>
      <c r="F76" s="333">
        <v>1472662.729698783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413483.94978052762</v>
      </c>
      <c r="C83" s="333">
        <v>377770.40827917913</v>
      </c>
      <c r="D83" s="333">
        <v>372328.5406024339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17509.807786802328</v>
      </c>
    </row>
    <row r="91" spans="1:6">
      <c r="A91" s="1277" t="s">
        <v>68</v>
      </c>
      <c r="B91" s="333">
        <v>1243.6300153950635</v>
      </c>
    </row>
    <row r="92" spans="1:6">
      <c r="A92" s="1273" t="s">
        <v>69</v>
      </c>
      <c r="B92" s="336">
        <v>300.65781373769676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4927</v>
      </c>
    </row>
    <row r="98" spans="1:6">
      <c r="A98" s="1277" t="s">
        <v>72</v>
      </c>
      <c r="B98" s="333">
        <v>3</v>
      </c>
    </row>
    <row r="99" spans="1:6">
      <c r="A99" s="1277" t="s">
        <v>73</v>
      </c>
      <c r="B99" s="333">
        <v>85</v>
      </c>
    </row>
    <row r="100" spans="1:6">
      <c r="A100" s="1277" t="s">
        <v>74</v>
      </c>
      <c r="B100" s="333">
        <v>935</v>
      </c>
    </row>
    <row r="101" spans="1:6">
      <c r="A101" s="1277" t="s">
        <v>75</v>
      </c>
      <c r="B101" s="333">
        <v>75</v>
      </c>
    </row>
    <row r="102" spans="1:6">
      <c r="A102" s="1277" t="s">
        <v>76</v>
      </c>
      <c r="B102" s="333">
        <v>200</v>
      </c>
    </row>
    <row r="103" spans="1:6">
      <c r="A103" s="1277" t="s">
        <v>77</v>
      </c>
      <c r="B103" s="333">
        <v>148</v>
      </c>
    </row>
    <row r="104" spans="1:6">
      <c r="A104" s="1277" t="s">
        <v>78</v>
      </c>
      <c r="B104" s="333">
        <v>1641</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5</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30</v>
      </c>
    </row>
    <row r="130" spans="1:6">
      <c r="A130" s="1277" t="s">
        <v>295</v>
      </c>
      <c r="B130" s="333">
        <v>0</v>
      </c>
    </row>
    <row r="131" spans="1:6">
      <c r="A131" s="1277" t="s">
        <v>296</v>
      </c>
      <c r="B131" s="333">
        <v>6</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125966.74695730093</v>
      </c>
      <c r="C3" s="43" t="s">
        <v>170</v>
      </c>
      <c r="D3" s="43"/>
      <c r="E3" s="156"/>
      <c r="F3" s="43"/>
      <c r="G3" s="43"/>
      <c r="H3" s="43"/>
      <c r="I3" s="43"/>
      <c r="J3" s="43"/>
      <c r="K3" s="96"/>
    </row>
    <row r="4" spans="1:11">
      <c r="A4" s="364" t="s">
        <v>171</v>
      </c>
      <c r="B4" s="49">
        <f>IF(ISERROR('SEAP template'!B78),0,'SEAP template'!B78)</f>
        <v>19954.09561593509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0.18599191066181561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1495.9459999999999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1495.9459999999999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0.18599191066181561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278.23385478690039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35721.328929809999</v>
      </c>
      <c r="C5" s="17">
        <f>IF(ISERROR('Eigen informatie GS &amp; warmtenet'!B57),0,'Eigen informatie GS &amp; warmtenet'!B57)</f>
        <v>0</v>
      </c>
      <c r="D5" s="30">
        <f>(SUM(HH_hh_gas_kWh,HH_rest_gas_kWh)/1000)*0.902</f>
        <v>89537.82345166961</v>
      </c>
      <c r="E5" s="17">
        <f>B46*B57</f>
        <v>3715.7579842289456</v>
      </c>
      <c r="F5" s="17">
        <f>B51*B62</f>
        <v>4603.7451732623749</v>
      </c>
      <c r="G5" s="18"/>
      <c r="H5" s="17"/>
      <c r="I5" s="17"/>
      <c r="J5" s="17">
        <f>B50*B61+C50*C61</f>
        <v>0</v>
      </c>
      <c r="K5" s="17"/>
      <c r="L5" s="17"/>
      <c r="M5" s="17"/>
      <c r="N5" s="17">
        <f>B48*B59+C48*C59</f>
        <v>9486.1428047288464</v>
      </c>
      <c r="O5" s="17">
        <f>B69*B70*B71</f>
        <v>54.716666666666669</v>
      </c>
      <c r="P5" s="17">
        <f>B77*B78*B79/1000-B77*B78*B79/1000/B80</f>
        <v>228.8</v>
      </c>
    </row>
    <row r="6" spans="1:16">
      <c r="A6" s="16" t="s">
        <v>632</v>
      </c>
      <c r="B6" s="779">
        <f>kWh_PV_kleiner_dan_10kW</f>
        <v>1243.6300153950635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36964.958945205064</v>
      </c>
      <c r="C8" s="21">
        <f>C5</f>
        <v>0</v>
      </c>
      <c r="D8" s="21">
        <f>D5</f>
        <v>89537.82345166961</v>
      </c>
      <c r="E8" s="21">
        <f>E5</f>
        <v>3715.7579842289456</v>
      </c>
      <c r="F8" s="21">
        <f>F5</f>
        <v>4603.7451732623749</v>
      </c>
      <c r="G8" s="21"/>
      <c r="H8" s="21"/>
      <c r="I8" s="21"/>
      <c r="J8" s="21">
        <f>J5</f>
        <v>0</v>
      </c>
      <c r="K8" s="21"/>
      <c r="L8" s="21">
        <f>L5</f>
        <v>0</v>
      </c>
      <c r="M8" s="21">
        <f>M5</f>
        <v>0</v>
      </c>
      <c r="N8" s="21">
        <f>N5</f>
        <v>9486.1428047288464</v>
      </c>
      <c r="O8" s="21">
        <f>O5</f>
        <v>54.716666666666669</v>
      </c>
      <c r="P8" s="21">
        <f>P5</f>
        <v>228.8</v>
      </c>
    </row>
    <row r="9" spans="1:16">
      <c r="B9" s="19"/>
      <c r="C9" s="19"/>
      <c r="D9" s="260"/>
      <c r="E9" s="19"/>
      <c r="F9" s="19"/>
      <c r="G9" s="19"/>
      <c r="H9" s="19"/>
      <c r="I9" s="19"/>
      <c r="J9" s="19"/>
      <c r="K9" s="19"/>
      <c r="L9" s="19"/>
      <c r="M9" s="19"/>
      <c r="N9" s="19"/>
      <c r="O9" s="19"/>
      <c r="P9" s="19"/>
    </row>
    <row r="10" spans="1:16">
      <c r="A10" s="24" t="s">
        <v>214</v>
      </c>
      <c r="B10" s="25">
        <f ca="1">'EF ele_warmte'!B12</f>
        <v>0.18599191066181561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6875.1833417542621</v>
      </c>
      <c r="C12" s="23">
        <f ca="1">C10*C8</f>
        <v>0</v>
      </c>
      <c r="D12" s="23">
        <f>D8*D10</f>
        <v>18086.640337237262</v>
      </c>
      <c r="E12" s="23">
        <f>E10*E8</f>
        <v>843.47706241997071</v>
      </c>
      <c r="F12" s="23">
        <f>F10*F8</f>
        <v>1229.1999612610541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4927</v>
      </c>
      <c r="C18" s="167" t="s">
        <v>111</v>
      </c>
      <c r="D18" s="229"/>
      <c r="E18" s="15"/>
    </row>
    <row r="19" spans="1:7">
      <c r="A19" s="172" t="s">
        <v>72</v>
      </c>
      <c r="B19" s="37">
        <f>aantalw2001_ander</f>
        <v>3</v>
      </c>
      <c r="C19" s="167" t="s">
        <v>111</v>
      </c>
      <c r="D19" s="230"/>
      <c r="E19" s="15"/>
    </row>
    <row r="20" spans="1:7">
      <c r="A20" s="172" t="s">
        <v>73</v>
      </c>
      <c r="B20" s="37">
        <f>aantalw2001_propaan</f>
        <v>85</v>
      </c>
      <c r="C20" s="168">
        <f>IF(ISERROR(B20/SUM($B$20,$B$21,$B$22)*100),0,B20/SUM($B$20,$B$21,$B$22)*100)</f>
        <v>7.7625570776255701</v>
      </c>
      <c r="D20" s="230"/>
      <c r="E20" s="15"/>
    </row>
    <row r="21" spans="1:7">
      <c r="A21" s="172" t="s">
        <v>74</v>
      </c>
      <c r="B21" s="37">
        <f>aantalw2001_elektriciteit</f>
        <v>935</v>
      </c>
      <c r="C21" s="168">
        <f>IF(ISERROR(B21/SUM($B$20,$B$21,$B$22)*100),0,B21/SUM($B$20,$B$21,$B$22)*100)</f>
        <v>85.388127853881286</v>
      </c>
      <c r="D21" s="230"/>
      <c r="E21" s="15"/>
    </row>
    <row r="22" spans="1:7">
      <c r="A22" s="172" t="s">
        <v>75</v>
      </c>
      <c r="B22" s="37">
        <f>aantalw2001_hout</f>
        <v>75</v>
      </c>
      <c r="C22" s="168">
        <f>IF(ISERROR(B22/SUM($B$20,$B$21,$B$22)*100),0,B22/SUM($B$20,$B$21,$B$22)*100)</f>
        <v>6.8493150684931505</v>
      </c>
      <c r="D22" s="230"/>
      <c r="E22" s="15"/>
    </row>
    <row r="23" spans="1:7">
      <c r="A23" s="172" t="s">
        <v>76</v>
      </c>
      <c r="B23" s="37">
        <f>aantalw2001_niet_gespec</f>
        <v>200</v>
      </c>
      <c r="C23" s="167" t="s">
        <v>111</v>
      </c>
      <c r="D23" s="229"/>
      <c r="E23" s="15"/>
    </row>
    <row r="24" spans="1:7">
      <c r="A24" s="172" t="s">
        <v>77</v>
      </c>
      <c r="B24" s="37">
        <f>aantalw2001_steenkool</f>
        <v>148</v>
      </c>
      <c r="C24" s="167" t="s">
        <v>111</v>
      </c>
      <c r="D24" s="230"/>
      <c r="E24" s="15"/>
    </row>
    <row r="25" spans="1:7">
      <c r="A25" s="172" t="s">
        <v>78</v>
      </c>
      <c r="B25" s="37">
        <f>aantalw2001_stookolie</f>
        <v>1641</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9067</v>
      </c>
      <c r="C28" s="36"/>
      <c r="D28" s="229"/>
    </row>
    <row r="29" spans="1:7" s="15" customFormat="1">
      <c r="A29" s="231" t="s">
        <v>713</v>
      </c>
      <c r="B29" s="37">
        <f>SUM(HH_hh_gas_aantal,HH_rest_gas_aantal)</f>
        <v>6526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6526</v>
      </c>
      <c r="C32" s="168">
        <f>IF(ISERROR(B32/SUM($B$32,$B$34,$B$35,$B$36,$B$38,$B$39)*100),0,B32/SUM($B$32,$B$34,$B$35,$B$36,$B$38,$B$39)*100)</f>
        <v>72.07067918277194</v>
      </c>
      <c r="D32" s="234"/>
      <c r="G32" s="15"/>
    </row>
    <row r="33" spans="1:7">
      <c r="A33" s="172" t="s">
        <v>72</v>
      </c>
      <c r="B33" s="34" t="s">
        <v>111</v>
      </c>
      <c r="C33" s="168"/>
      <c r="D33" s="234"/>
      <c r="G33" s="15"/>
    </row>
    <row r="34" spans="1:7">
      <c r="A34" s="172" t="s">
        <v>73</v>
      </c>
      <c r="B34" s="33">
        <f>IF((($B$28-$B$32-$B$39-$B$77-$B$38)*C20/100)&lt;0,0,($B$28-$B$32-$B$39-$B$77-$B$38)*C20/100)</f>
        <v>180.64246575342466</v>
      </c>
      <c r="C34" s="168">
        <f>IF(ISERROR(B34/SUM($B$32,$B$34,$B$35,$B$36,$B$38,$B$39)*100),0,B34/SUM($B$32,$B$34,$B$35,$B$36,$B$38,$B$39)*100)</f>
        <v>1.994947164587793</v>
      </c>
      <c r="D34" s="234"/>
      <c r="G34" s="15"/>
    </row>
    <row r="35" spans="1:7">
      <c r="A35" s="172" t="s">
        <v>74</v>
      </c>
      <c r="B35" s="33">
        <f>IF((($B$28-$B$32-$B$39-$B$77-$B$38)*C21/100)&lt;0,0,($B$28-$B$32-$B$39-$B$77-$B$38)*C21/100)</f>
        <v>1987.0671232876716</v>
      </c>
      <c r="C35" s="168">
        <f>IF(ISERROR(B35/SUM($B$32,$B$34,$B$35,$B$36,$B$38,$B$39)*100),0,B35/SUM($B$32,$B$34,$B$35,$B$36,$B$38,$B$39)*100)</f>
        <v>21.944418810465727</v>
      </c>
      <c r="D35" s="234"/>
      <c r="G35" s="15"/>
    </row>
    <row r="36" spans="1:7">
      <c r="A36" s="172" t="s">
        <v>75</v>
      </c>
      <c r="B36" s="33">
        <f>IF((($B$28-$B$32-$B$39-$B$77-$B$38)*C22/100)&lt;0,0,($B$28-$B$32-$B$39-$B$77-$B$38)*C22/100)</f>
        <v>159.39041095890411</v>
      </c>
      <c r="C36" s="168">
        <f>IF(ISERROR(B36/SUM($B$32,$B$34,$B$35,$B$36,$B$38,$B$39)*100),0,B36/SUM($B$32,$B$34,$B$35,$B$36,$B$38,$B$39)*100)</f>
        <v>1.7602474981656999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201.89999999999986</v>
      </c>
      <c r="C39" s="168">
        <f>IF(ISERROR(B39/SUM($B$32,$B$34,$B$35,$B$36,$B$38,$B$39)*100),0,B39/SUM($B$32,$B$34,$B$35,$B$36,$B$38,$B$39)*100)</f>
        <v>2.2297073440088333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6526</v>
      </c>
      <c r="C44" s="34" t="s">
        <v>111</v>
      </c>
      <c r="D44" s="175"/>
    </row>
    <row r="45" spans="1:7">
      <c r="A45" s="172" t="s">
        <v>72</v>
      </c>
      <c r="B45" s="33" t="str">
        <f t="shared" si="0"/>
        <v>-</v>
      </c>
      <c r="C45" s="34" t="s">
        <v>111</v>
      </c>
      <c r="D45" s="175"/>
    </row>
    <row r="46" spans="1:7">
      <c r="A46" s="172" t="s">
        <v>73</v>
      </c>
      <c r="B46" s="33">
        <f t="shared" si="0"/>
        <v>180.64246575342466</v>
      </c>
      <c r="C46" s="34" t="s">
        <v>111</v>
      </c>
      <c r="D46" s="175"/>
    </row>
    <row r="47" spans="1:7">
      <c r="A47" s="172" t="s">
        <v>74</v>
      </c>
      <c r="B47" s="33">
        <f t="shared" si="0"/>
        <v>1987.0671232876716</v>
      </c>
      <c r="C47" s="34" t="s">
        <v>111</v>
      </c>
      <c r="D47" s="175"/>
    </row>
    <row r="48" spans="1:7">
      <c r="A48" s="172" t="s">
        <v>75</v>
      </c>
      <c r="B48" s="33">
        <f t="shared" si="0"/>
        <v>159.39041095890411</v>
      </c>
      <c r="C48" s="33">
        <f>B48*10</f>
        <v>1593.9041095890411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201.89999999999986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32843.933159421475</v>
      </c>
      <c r="C5" s="17">
        <f>IF(ISERROR('Eigen informatie GS &amp; warmtenet'!B58),0,'Eigen informatie GS &amp; warmtenet'!B58)</f>
        <v>0</v>
      </c>
      <c r="D5" s="30">
        <f>SUM(D6:D12)</f>
        <v>42188.1907043756</v>
      </c>
      <c r="E5" s="17">
        <f>SUM(E6:E12)</f>
        <v>513.89201527651664</v>
      </c>
      <c r="F5" s="17">
        <f>SUM(F6:F12)</f>
        <v>6711.3770932903835</v>
      </c>
      <c r="G5" s="18"/>
      <c r="H5" s="17"/>
      <c r="I5" s="17"/>
      <c r="J5" s="17">
        <f>SUM(J6:J12)</f>
        <v>0</v>
      </c>
      <c r="K5" s="17"/>
      <c r="L5" s="17"/>
      <c r="M5" s="17"/>
      <c r="N5" s="17">
        <f>SUM(N6:N12)</f>
        <v>952.71964766557801</v>
      </c>
      <c r="O5" s="17">
        <f>B38*B39*B40</f>
        <v>0</v>
      </c>
      <c r="P5" s="17">
        <f>B46*B47*B48/1000-B46*B47*B48/1000/B49</f>
        <v>114.4</v>
      </c>
      <c r="R5" s="32"/>
    </row>
    <row r="6" spans="1:18">
      <c r="A6" s="32" t="s">
        <v>54</v>
      </c>
      <c r="B6" s="37">
        <f>B26</f>
        <v>7687.2806543050101</v>
      </c>
      <c r="C6" s="33"/>
      <c r="D6" s="37">
        <f>IF(ISERROR(TER_kantoor_gas_kWh/1000),0,TER_kantoor_gas_kWh/1000)*0.902</f>
        <v>14133.249159023388</v>
      </c>
      <c r="E6" s="33">
        <f>$C$26*'E Balans VL '!I12/100/3.6*1000000</f>
        <v>269.08506271508344</v>
      </c>
      <c r="F6" s="33">
        <f>$C$26*('E Balans VL '!L12+'E Balans VL '!N12)/100/3.6*1000000</f>
        <v>1165.5567914910016</v>
      </c>
      <c r="G6" s="34"/>
      <c r="H6" s="33"/>
      <c r="I6" s="33"/>
      <c r="J6" s="33">
        <f>$C$26*('E Balans VL '!D12+'E Balans VL '!E12)/100/3.6*1000000</f>
        <v>0</v>
      </c>
      <c r="K6" s="33"/>
      <c r="L6" s="33"/>
      <c r="M6" s="33"/>
      <c r="N6" s="33">
        <f>$C$26*'E Balans VL '!Y12/100/3.6*1000000</f>
        <v>59.420273405150475</v>
      </c>
      <c r="O6" s="33"/>
      <c r="P6" s="33"/>
      <c r="R6" s="32"/>
    </row>
    <row r="7" spans="1:18">
      <c r="A7" s="32" t="s">
        <v>53</v>
      </c>
      <c r="B7" s="37">
        <f t="shared" ref="B7:B12" si="0">B27</f>
        <v>1881.31066961448</v>
      </c>
      <c r="C7" s="33"/>
      <c r="D7" s="37">
        <f>IF(ISERROR(TER_horeca_gas_kWh/1000),0,TER_horeca_gas_kWh/1000)*0.902</f>
        <v>2298.1603971189988</v>
      </c>
      <c r="E7" s="33">
        <f>$C$27*'E Balans VL '!I9/100/3.6*1000000</f>
        <v>106.13093710589506</v>
      </c>
      <c r="F7" s="33">
        <f>$C$27*('E Balans VL '!L9+'E Balans VL '!N9)/100/3.6*1000000</f>
        <v>327.73472995376295</v>
      </c>
      <c r="G7" s="34"/>
      <c r="H7" s="33"/>
      <c r="I7" s="33"/>
      <c r="J7" s="33">
        <f>$C$27*('E Balans VL '!D9+'E Balans VL '!E9)/100/3.6*1000000</f>
        <v>0</v>
      </c>
      <c r="K7" s="33"/>
      <c r="L7" s="33"/>
      <c r="M7" s="33"/>
      <c r="N7" s="33">
        <f>$C$27*'E Balans VL '!Y9/100/3.6*1000000</f>
        <v>0</v>
      </c>
      <c r="O7" s="33"/>
      <c r="P7" s="33"/>
      <c r="R7" s="32"/>
    </row>
    <row r="8" spans="1:18">
      <c r="A8" s="6" t="s">
        <v>52</v>
      </c>
      <c r="B8" s="37">
        <f t="shared" si="0"/>
        <v>10494.5147122329</v>
      </c>
      <c r="C8" s="33"/>
      <c r="D8" s="37">
        <f>IF(ISERROR(TER_handel_gas_kWh/1000),0,TER_handel_gas_kWh/1000)*0.902</f>
        <v>5071.2709220097659</v>
      </c>
      <c r="E8" s="33">
        <f>$C$28*'E Balans VL '!I13/100/3.6*1000000</f>
        <v>53.877772305372837</v>
      </c>
      <c r="F8" s="33">
        <f>$C$28*('E Balans VL '!L13+'E Balans VL '!N13)/100/3.6*1000000</f>
        <v>1618.0920117278765</v>
      </c>
      <c r="G8" s="34"/>
      <c r="H8" s="33"/>
      <c r="I8" s="33"/>
      <c r="J8" s="33">
        <f>$C$28*('E Balans VL '!D13+'E Balans VL '!E13)/100/3.6*1000000</f>
        <v>0</v>
      </c>
      <c r="K8" s="33"/>
      <c r="L8" s="33"/>
      <c r="M8" s="33"/>
      <c r="N8" s="33">
        <f>$C$28*'E Balans VL '!Y13/100/3.6*1000000</f>
        <v>4.908412633706507</v>
      </c>
      <c r="O8" s="33"/>
      <c r="P8" s="33"/>
      <c r="R8" s="32"/>
    </row>
    <row r="9" spans="1:18">
      <c r="A9" s="32" t="s">
        <v>51</v>
      </c>
      <c r="B9" s="37">
        <f t="shared" si="0"/>
        <v>5512.5353556800601</v>
      </c>
      <c r="C9" s="33"/>
      <c r="D9" s="37">
        <f>IF(ISERROR(TER_gezond_gas_kWh/1000),0,TER_gezond_gas_kWh/1000)*0.902</f>
        <v>8997.7706502204783</v>
      </c>
      <c r="E9" s="33">
        <f>$C$29*'E Balans VL '!I10/100/3.6*1000000</f>
        <v>2.2849066460596115</v>
      </c>
      <c r="F9" s="33">
        <f>$C$29*('E Balans VL '!L10+'E Balans VL '!N10)/100/3.6*1000000</f>
        <v>1357.6583978009451</v>
      </c>
      <c r="G9" s="34"/>
      <c r="H9" s="33"/>
      <c r="I9" s="33"/>
      <c r="J9" s="33">
        <f>$C$29*('E Balans VL '!D10+'E Balans VL '!E10)/100/3.6*1000000</f>
        <v>0</v>
      </c>
      <c r="K9" s="33"/>
      <c r="L9" s="33"/>
      <c r="M9" s="33"/>
      <c r="N9" s="33">
        <f>$C$29*'E Balans VL '!Y10/100/3.6*1000000</f>
        <v>47.641949687797577</v>
      </c>
      <c r="O9" s="33"/>
      <c r="P9" s="33"/>
      <c r="R9" s="32"/>
    </row>
    <row r="10" spans="1:18">
      <c r="A10" s="32" t="s">
        <v>50</v>
      </c>
      <c r="B10" s="37">
        <f t="shared" si="0"/>
        <v>3279.7465219666101</v>
      </c>
      <c r="C10" s="33"/>
      <c r="D10" s="37">
        <f>IF(ISERROR(TER_ander_gas_kWh/1000),0,TER_ander_gas_kWh/1000)*0.902</f>
        <v>4575.5447049944441</v>
      </c>
      <c r="E10" s="33">
        <f>$C$30*'E Balans VL '!I14/100/3.6*1000000</f>
        <v>19.99341571810211</v>
      </c>
      <c r="F10" s="33">
        <f>$C$30*('E Balans VL '!L14+'E Balans VL '!N14)/100/3.6*1000000</f>
        <v>869.50573040435961</v>
      </c>
      <c r="G10" s="34"/>
      <c r="H10" s="33"/>
      <c r="I10" s="33"/>
      <c r="J10" s="33">
        <f>$C$30*('E Balans VL '!D14+'E Balans VL '!E14)/100/3.6*1000000</f>
        <v>0</v>
      </c>
      <c r="K10" s="33"/>
      <c r="L10" s="33"/>
      <c r="M10" s="33"/>
      <c r="N10" s="33">
        <f>$C$30*'E Balans VL '!Y14/100/3.6*1000000</f>
        <v>755.91070320730273</v>
      </c>
      <c r="O10" s="33"/>
      <c r="P10" s="33"/>
      <c r="R10" s="32"/>
    </row>
    <row r="11" spans="1:18">
      <c r="A11" s="32" t="s">
        <v>55</v>
      </c>
      <c r="B11" s="37">
        <f t="shared" si="0"/>
        <v>1113.0104621697499</v>
      </c>
      <c r="C11" s="33"/>
      <c r="D11" s="37">
        <f>IF(ISERROR(TER_onderwijs_gas_kWh/1000),0,TER_onderwijs_gas_kWh/1000)*0.902</f>
        <v>2291.7992437673133</v>
      </c>
      <c r="E11" s="33">
        <f>$C$31*'E Balans VL '!I11/100/3.6*1000000</f>
        <v>0.84817192724037127</v>
      </c>
      <c r="F11" s="33">
        <f>$C$31*('E Balans VL '!L11+'E Balans VL '!N11)/100/3.6*1000000</f>
        <v>805.43536593724855</v>
      </c>
      <c r="G11" s="34"/>
      <c r="H11" s="33"/>
      <c r="I11" s="33"/>
      <c r="J11" s="33">
        <f>$C$31*('E Balans VL '!D11+'E Balans VL '!E11)/100/3.6*1000000</f>
        <v>0</v>
      </c>
      <c r="K11" s="33"/>
      <c r="L11" s="33"/>
      <c r="M11" s="33"/>
      <c r="N11" s="33">
        <f>$C$31*'E Balans VL '!Y11/100/3.6*1000000</f>
        <v>3.2803078366675833</v>
      </c>
      <c r="O11" s="33"/>
      <c r="P11" s="33"/>
      <c r="R11" s="32"/>
    </row>
    <row r="12" spans="1:18">
      <c r="A12" s="32" t="s">
        <v>260</v>
      </c>
      <c r="B12" s="37">
        <f t="shared" si="0"/>
        <v>2875.5347834526597</v>
      </c>
      <c r="C12" s="33"/>
      <c r="D12" s="37">
        <f>IF(ISERROR(TER_rest_gas_kWh/1000),0,TER_rest_gas_kWh/1000)*0.902</f>
        <v>4820.3956272412106</v>
      </c>
      <c r="E12" s="33">
        <f>$C$32*'E Balans VL '!I8/100/3.6*1000000</f>
        <v>61.671748858763301</v>
      </c>
      <c r="F12" s="33">
        <f>$C$32*('E Balans VL '!L8+'E Balans VL '!N8)/100/3.6*1000000</f>
        <v>567.39406597518996</v>
      </c>
      <c r="G12" s="34"/>
      <c r="H12" s="33"/>
      <c r="I12" s="33"/>
      <c r="J12" s="33">
        <f>$C$32*('E Balans VL '!D8+'E Balans VL '!E8)/100/3.6*1000000</f>
        <v>0</v>
      </c>
      <c r="K12" s="33"/>
      <c r="L12" s="33"/>
      <c r="M12" s="33"/>
      <c r="N12" s="33">
        <f>$C$32*'E Balans VL '!Y8/100/3.6*1000000</f>
        <v>81.558000894953125</v>
      </c>
      <c r="O12" s="33"/>
      <c r="P12" s="33"/>
      <c r="R12" s="32"/>
    </row>
    <row r="13" spans="1:18">
      <c r="A13" s="16" t="s">
        <v>496</v>
      </c>
      <c r="B13" s="248">
        <f ca="1">'lokale energieproductie'!N91+'lokale energieproductie'!N60</f>
        <v>900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-2250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33743.933159421475</v>
      </c>
      <c r="C16" s="21">
        <f ca="1">C5+C13+C14</f>
        <v>0</v>
      </c>
      <c r="D16" s="21">
        <f t="shared" ref="D16:N16" ca="1" si="1">MAX((D5+D13+D14),0)</f>
        <v>42188.1907043756</v>
      </c>
      <c r="E16" s="21">
        <f t="shared" si="1"/>
        <v>513.89201527651664</v>
      </c>
      <c r="F16" s="21">
        <f t="shared" ca="1" si="1"/>
        <v>6711.3770932903835</v>
      </c>
      <c r="G16" s="21">
        <f t="shared" si="1"/>
        <v>0</v>
      </c>
      <c r="H16" s="21">
        <f t="shared" si="1"/>
        <v>0</v>
      </c>
      <c r="I16" s="21">
        <f t="shared" si="1"/>
        <v>0</v>
      </c>
      <c r="J16" s="21">
        <f t="shared" si="1"/>
        <v>0</v>
      </c>
      <c r="K16" s="21">
        <f t="shared" si="1"/>
        <v>0</v>
      </c>
      <c r="L16" s="21">
        <f t="shared" ca="1" si="1"/>
        <v>0</v>
      </c>
      <c r="M16" s="21">
        <f t="shared" si="1"/>
        <v>0</v>
      </c>
      <c r="N16" s="21">
        <f t="shared" ca="1" si="1"/>
        <v>952.71964766557801</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0.18599191066181561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6276.0986015653962</v>
      </c>
      <c r="C20" s="23">
        <f t="shared" ref="C20:P20" ca="1" si="2">C16*C18</f>
        <v>0</v>
      </c>
      <c r="D20" s="23">
        <f t="shared" ca="1" si="2"/>
        <v>8522.014522283871</v>
      </c>
      <c r="E20" s="23">
        <f t="shared" si="2"/>
        <v>116.65348746776928</v>
      </c>
      <c r="F20" s="23">
        <f t="shared" ca="1" si="2"/>
        <v>1791.9376839085326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7687.2806543050101</v>
      </c>
      <c r="C26" s="39">
        <f>IF(ISERROR(B26*3.6/1000000/'E Balans VL '!Z12*100),0,B26*3.6/1000000/'E Balans VL '!Z12*100)</f>
        <v>0.16176607297448628</v>
      </c>
      <c r="D26" s="238" t="s">
        <v>719</v>
      </c>
      <c r="F26" s="6"/>
    </row>
    <row r="27" spans="1:18">
      <c r="A27" s="232" t="s">
        <v>53</v>
      </c>
      <c r="B27" s="33">
        <f>IF(ISERROR(TER_horeca_ele_kWh/1000),0,TER_horeca_ele_kWh/1000)</f>
        <v>1881.31066961448</v>
      </c>
      <c r="C27" s="39">
        <f>IF(ISERROR(B27*3.6/1000000/'E Balans VL '!Z9*100),0,B27*3.6/1000000/'E Balans VL '!Z9*100)</f>
        <v>0.1592852879622321</v>
      </c>
      <c r="D27" s="238" t="s">
        <v>719</v>
      </c>
      <c r="F27" s="6"/>
    </row>
    <row r="28" spans="1:18">
      <c r="A28" s="172" t="s">
        <v>52</v>
      </c>
      <c r="B28" s="33">
        <f>IF(ISERROR(TER_handel_ele_kWh/1000),0,TER_handel_ele_kWh/1000)</f>
        <v>10494.5147122329</v>
      </c>
      <c r="C28" s="39">
        <f>IF(ISERROR(B28*3.6/1000000/'E Balans VL '!Z13*100),0,B28*3.6/1000000/'E Balans VL '!Z13*100)</f>
        <v>0.29053918863668826</v>
      </c>
      <c r="D28" s="238" t="s">
        <v>719</v>
      </c>
      <c r="F28" s="6"/>
    </row>
    <row r="29" spans="1:18">
      <c r="A29" s="232" t="s">
        <v>51</v>
      </c>
      <c r="B29" s="33">
        <f>IF(ISERROR(TER_gezond_ele_kWh/1000),0,TER_gezond_ele_kWh/1000)</f>
        <v>5512.5353556800601</v>
      </c>
      <c r="C29" s="39">
        <f>IF(ISERROR(B29*3.6/1000000/'E Balans VL '!Z10*100),0,B29*3.6/1000000/'E Balans VL '!Z10*100)</f>
        <v>0.71656848265877504</v>
      </c>
      <c r="D29" s="238" t="s">
        <v>719</v>
      </c>
      <c r="F29" s="6"/>
    </row>
    <row r="30" spans="1:18">
      <c r="A30" s="232" t="s">
        <v>50</v>
      </c>
      <c r="B30" s="33">
        <f>IF(ISERROR(TER_ander_ele_kWh/1000),0,TER_ander_ele_kWh/1000)</f>
        <v>3279.7465219666101</v>
      </c>
      <c r="C30" s="39">
        <f>IF(ISERROR(B30*3.6/1000000/'E Balans VL '!Z14*100),0,B30*3.6/1000000/'E Balans VL '!Z14*100)</f>
        <v>0.2542104330256752</v>
      </c>
      <c r="D30" s="238" t="s">
        <v>719</v>
      </c>
      <c r="F30" s="6"/>
    </row>
    <row r="31" spans="1:18">
      <c r="A31" s="232" t="s">
        <v>55</v>
      </c>
      <c r="B31" s="33">
        <f>IF(ISERROR(TER_onderwijs_ele_kWh/1000),0,TER_onderwijs_ele_kWh/1000)</f>
        <v>1113.0104621697499</v>
      </c>
      <c r="C31" s="39">
        <f>IF(ISERROR(B31*3.6/1000000/'E Balans VL '!Z11*100),0,B31*3.6/1000000/'E Balans VL '!Z11*100)</f>
        <v>0.21293786671000217</v>
      </c>
      <c r="D31" s="238" t="s">
        <v>719</v>
      </c>
    </row>
    <row r="32" spans="1:18">
      <c r="A32" s="232" t="s">
        <v>260</v>
      </c>
      <c r="B32" s="33">
        <f>IF(ISERROR(TER_rest_ele_kWh/1000),0,TER_rest_ele_kWh/1000)</f>
        <v>2875.5347834526597</v>
      </c>
      <c r="C32" s="39">
        <f>IF(ISERROR(B32*3.6/1000000/'E Balans VL '!Z8*100),0,B32*3.6/1000000/'E Balans VL '!Z8*100)</f>
        <v>2.3710992457480044E-2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6</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49331.637262819691</v>
      </c>
      <c r="C5" s="17">
        <f>IF(ISERROR('Eigen informatie GS &amp; warmtenet'!B59),0,'Eigen informatie GS &amp; warmtenet'!B59)</f>
        <v>0</v>
      </c>
      <c r="D5" s="30">
        <f>SUM(D6:D15)</f>
        <v>20028.125873409947</v>
      </c>
      <c r="E5" s="17">
        <f>SUM(E6:E15)</f>
        <v>960.57490215063899</v>
      </c>
      <c r="F5" s="17">
        <f>SUM(F6:F15)</f>
        <v>11341.235311406635</v>
      </c>
      <c r="G5" s="18"/>
      <c r="H5" s="17"/>
      <c r="I5" s="17"/>
      <c r="J5" s="17">
        <f>SUM(J6:J15)</f>
        <v>203.39373598480233</v>
      </c>
      <c r="K5" s="17"/>
      <c r="L5" s="17"/>
      <c r="M5" s="17"/>
      <c r="N5" s="17">
        <f>SUM(N6:N15)</f>
        <v>569.11394943151981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3809.1714068464798</v>
      </c>
      <c r="C8" s="33"/>
      <c r="D8" s="37">
        <f>IF( ISERROR(IND_metaal_Gas_kWH/1000),0,IND_metaal_Gas_kWH/1000)*0.902</f>
        <v>4261.5255444832319</v>
      </c>
      <c r="E8" s="33">
        <f>C30*'E Balans VL '!I18/100/3.6*1000000</f>
        <v>26.766207020362572</v>
      </c>
      <c r="F8" s="33">
        <f>C30*'E Balans VL '!L18/100/3.6*1000000+C30*'E Balans VL '!N18/100/3.6*1000000</f>
        <v>418.22473462545014</v>
      </c>
      <c r="G8" s="34"/>
      <c r="H8" s="33"/>
      <c r="I8" s="33"/>
      <c r="J8" s="40">
        <f>C30*'E Balans VL '!D18/100/3.6*1000000+C30*'E Balans VL '!E18/100/3.6*1000000</f>
        <v>78.591416379952875</v>
      </c>
      <c r="K8" s="33"/>
      <c r="L8" s="33"/>
      <c r="M8" s="33"/>
      <c r="N8" s="33">
        <f>C30*'E Balans VL '!Y18/100/3.6*1000000</f>
        <v>14.277048769091069</v>
      </c>
      <c r="O8" s="33"/>
      <c r="P8" s="33"/>
      <c r="R8" s="32"/>
    </row>
    <row r="9" spans="1:18">
      <c r="A9" s="6" t="s">
        <v>33</v>
      </c>
      <c r="B9" s="37">
        <f t="shared" si="0"/>
        <v>2871.00739724603</v>
      </c>
      <c r="C9" s="33"/>
      <c r="D9" s="37">
        <f>IF( ISERROR(IND_andere_gas_kWh/1000),0,IND_andere_gas_kWh/1000)*0.902</f>
        <v>2813.7121503997041</v>
      </c>
      <c r="E9" s="33">
        <f>C31*'E Balans VL '!I19/100/3.6*1000000</f>
        <v>48.222086333103341</v>
      </c>
      <c r="F9" s="33">
        <f>C31*'E Balans VL '!L19/100/3.6*1000000+C31*'E Balans VL '!N19/100/3.6*1000000</f>
        <v>2244.3900627952689</v>
      </c>
      <c r="G9" s="34"/>
      <c r="H9" s="33"/>
      <c r="I9" s="33"/>
      <c r="J9" s="40">
        <f>C31*'E Balans VL '!D19/100/3.6*1000000+C31*'E Balans VL '!E19/100/3.6*1000000</f>
        <v>0.25893952374420631</v>
      </c>
      <c r="K9" s="33"/>
      <c r="L9" s="33"/>
      <c r="M9" s="33"/>
      <c r="N9" s="33">
        <f>C31*'E Balans VL '!Y19/100/3.6*1000000</f>
        <v>212.78770939451226</v>
      </c>
      <c r="O9" s="33"/>
      <c r="P9" s="33"/>
      <c r="R9" s="32"/>
    </row>
    <row r="10" spans="1:18">
      <c r="A10" s="6" t="s">
        <v>41</v>
      </c>
      <c r="B10" s="37">
        <f t="shared" si="0"/>
        <v>2829.5717530268398</v>
      </c>
      <c r="C10" s="33"/>
      <c r="D10" s="37">
        <f>IF( ISERROR(IND_voed_gas_kWh/1000),0,IND_voed_gas_kWh/1000)*0.902</f>
        <v>1642.2420904229414</v>
      </c>
      <c r="E10" s="33">
        <f>C32*'E Balans VL '!I20/100/3.6*1000000</f>
        <v>25.81583684613145</v>
      </c>
      <c r="F10" s="33">
        <f>C32*'E Balans VL '!L20/100/3.6*1000000+C32*'E Balans VL '!N20/100/3.6*1000000</f>
        <v>456.49842758823979</v>
      </c>
      <c r="G10" s="34"/>
      <c r="H10" s="33"/>
      <c r="I10" s="33"/>
      <c r="J10" s="40">
        <f>C32*'E Balans VL '!D20/100/3.6*1000000+C32*'E Balans VL '!E20/100/3.6*1000000</f>
        <v>11.654031636004836</v>
      </c>
      <c r="K10" s="33"/>
      <c r="L10" s="33"/>
      <c r="M10" s="33"/>
      <c r="N10" s="33">
        <f>C32*'E Balans VL '!Y20/100/3.6*1000000</f>
        <v>41.394403566834946</v>
      </c>
      <c r="O10" s="33"/>
      <c r="P10" s="33"/>
      <c r="R10" s="32"/>
    </row>
    <row r="11" spans="1:18">
      <c r="A11" s="6" t="s">
        <v>40</v>
      </c>
      <c r="B11" s="37">
        <f t="shared" si="0"/>
        <v>78.289011181774299</v>
      </c>
      <c r="C11" s="33"/>
      <c r="D11" s="37">
        <f>IF( ISERROR(IND_textiel_gas_kWh/1000),0,IND_textiel_gas_kWh/1000)*0.902</f>
        <v>0</v>
      </c>
      <c r="E11" s="33">
        <f>C33*'E Balans VL '!I21/100/3.6*1000000</f>
        <v>0.17856271251494404</v>
      </c>
      <c r="F11" s="33">
        <f>C33*'E Balans VL '!L21/100/3.6*1000000+C33*'E Balans VL '!N21/100/3.6*1000000</f>
        <v>1.6735002267411663</v>
      </c>
      <c r="G11" s="34"/>
      <c r="H11" s="33"/>
      <c r="I11" s="33"/>
      <c r="J11" s="40">
        <f>C33*'E Balans VL '!D21/100/3.6*1000000+C33*'E Balans VL '!E21/100/3.6*1000000</f>
        <v>0</v>
      </c>
      <c r="K11" s="33"/>
      <c r="L11" s="33"/>
      <c r="M11" s="33"/>
      <c r="N11" s="33">
        <f>C33*'E Balans VL '!Y21/100/3.6*1000000</f>
        <v>0.55537168338856469</v>
      </c>
      <c r="O11" s="33"/>
      <c r="P11" s="33"/>
      <c r="R11" s="32"/>
    </row>
    <row r="12" spans="1:18">
      <c r="A12" s="6" t="s">
        <v>37</v>
      </c>
      <c r="B12" s="37">
        <f t="shared" si="0"/>
        <v>106.287872466368</v>
      </c>
      <c r="C12" s="33"/>
      <c r="D12" s="37">
        <f>IF( ISERROR(IND_min_gas_kWh/1000),0,IND_min_gas_kWh/1000)*0.902</f>
        <v>0</v>
      </c>
      <c r="E12" s="33">
        <f>C34*'E Balans VL '!I22/100/3.6*1000000</f>
        <v>2.6362847841747166</v>
      </c>
      <c r="F12" s="33">
        <f>C34*'E Balans VL '!L22/100/3.6*1000000+C34*'E Balans VL '!N22/100/3.6*1000000</f>
        <v>11.294104155532985</v>
      </c>
      <c r="G12" s="34"/>
      <c r="H12" s="33"/>
      <c r="I12" s="33"/>
      <c r="J12" s="40">
        <f>C34*'E Balans VL '!D22/100/3.6*1000000+C34*'E Balans VL '!E22/100/3.6*1000000</f>
        <v>0.60377748131508002</v>
      </c>
      <c r="K12" s="33"/>
      <c r="L12" s="33"/>
      <c r="M12" s="33"/>
      <c r="N12" s="33">
        <f>C34*'E Balans VL '!Y22/100/3.6*1000000</f>
        <v>0</v>
      </c>
      <c r="O12" s="33"/>
      <c r="P12" s="33"/>
      <c r="R12" s="32"/>
    </row>
    <row r="13" spans="1:18">
      <c r="A13" s="6" t="s">
        <v>39</v>
      </c>
      <c r="B13" s="37">
        <f t="shared" si="0"/>
        <v>22961.2817090467</v>
      </c>
      <c r="C13" s="33"/>
      <c r="D13" s="37">
        <f>IF( ISERROR(IND_papier_gas_kWh/1000),0,IND_papier_gas_kWh/1000)*0.902</f>
        <v>0</v>
      </c>
      <c r="E13" s="33">
        <f>C35*'E Balans VL '!I23/100/3.6*1000000</f>
        <v>706.45871457905298</v>
      </c>
      <c r="F13" s="33">
        <f>C35*'E Balans VL '!L23/100/3.6*1000000+C35*'E Balans VL '!N23/100/3.6*1000000</f>
        <v>4875.4825562157193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16676.028113005501</v>
      </c>
      <c r="C15" s="33"/>
      <c r="D15" s="37">
        <f>IF( ISERROR(IND_rest_gas_kWh/1000),0,IND_rest_gas_kWh/1000)*0.902</f>
        <v>11310.646088104068</v>
      </c>
      <c r="E15" s="33">
        <f>C37*'E Balans VL '!I15/100/3.6*1000000</f>
        <v>150.49720987529889</v>
      </c>
      <c r="F15" s="33">
        <f>C37*'E Balans VL '!L15/100/3.6*1000000+C37*'E Balans VL '!N15/100/3.6*1000000</f>
        <v>3333.6719257996824</v>
      </c>
      <c r="G15" s="34"/>
      <c r="H15" s="33"/>
      <c r="I15" s="33"/>
      <c r="J15" s="40">
        <f>C37*'E Balans VL '!D15/100/3.6*1000000+C37*'E Balans VL '!E15/100/3.6*1000000</f>
        <v>112.28557096378533</v>
      </c>
      <c r="K15" s="33"/>
      <c r="L15" s="33"/>
      <c r="M15" s="33"/>
      <c r="N15" s="33">
        <f>C37*'E Balans VL '!Y15/100/3.6*1000000</f>
        <v>300.09941601769299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49331.637262819691</v>
      </c>
      <c r="C18" s="21">
        <f>C5+C16</f>
        <v>0</v>
      </c>
      <c r="D18" s="21">
        <f>MAX((D5+D16),0)</f>
        <v>20028.125873409947</v>
      </c>
      <c r="E18" s="21">
        <f>MAX((E5+E16),0)</f>
        <v>960.57490215063899</v>
      </c>
      <c r="F18" s="21">
        <f>MAX((F5+F16),0)</f>
        <v>11341.235311406635</v>
      </c>
      <c r="G18" s="21"/>
      <c r="H18" s="21"/>
      <c r="I18" s="21"/>
      <c r="J18" s="21">
        <f>MAX((J5+J16),0)</f>
        <v>203.39373598480233</v>
      </c>
      <c r="K18" s="21"/>
      <c r="L18" s="21">
        <f>MAX((L5+L16),0)</f>
        <v>0</v>
      </c>
      <c r="M18" s="21"/>
      <c r="N18" s="21">
        <f>MAX((N5+N16),0)</f>
        <v>569.11394943151981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0.18599191066181561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9175.2854705874543</v>
      </c>
      <c r="C22" s="23">
        <f ca="1">C18*C20</f>
        <v>0</v>
      </c>
      <c r="D22" s="23">
        <f>D18*D20</f>
        <v>4045.6814264288096</v>
      </c>
      <c r="E22" s="23">
        <f>E18*E20</f>
        <v>218.05050278819505</v>
      </c>
      <c r="F22" s="23">
        <f>F18*F20</f>
        <v>3028.109828145572</v>
      </c>
      <c r="G22" s="23"/>
      <c r="H22" s="23"/>
      <c r="I22" s="23"/>
      <c r="J22" s="23">
        <f>J18*J20</f>
        <v>72.001382538620021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3809.1714068464798</v>
      </c>
      <c r="C30" s="39">
        <f>IF(ISERROR(B30*3.6/1000000/'E Balans VL '!Z18*100),0,B30*3.6/1000000/'E Balans VL '!Z18*100)</f>
        <v>0.25357886662875212</v>
      </c>
      <c r="D30" s="238" t="s">
        <v>719</v>
      </c>
    </row>
    <row r="31" spans="1:18">
      <c r="A31" s="6" t="s">
        <v>33</v>
      </c>
      <c r="B31" s="37">
        <f>IF( ISERROR(IND_ander_ele_kWh/1000),0,IND_ander_ele_kWh/1000)</f>
        <v>2871.00739724603</v>
      </c>
      <c r="C31" s="39">
        <f>IF(ISERROR(B31*3.6/1000000/'E Balans VL '!Z19*100),0,B31*3.6/1000000/'E Balans VL '!Z19*100)</f>
        <v>0.12726038027019013</v>
      </c>
      <c r="D31" s="238" t="s">
        <v>719</v>
      </c>
    </row>
    <row r="32" spans="1:18">
      <c r="A32" s="172" t="s">
        <v>41</v>
      </c>
      <c r="B32" s="37">
        <f>IF( ISERROR(IND_voed_ele_kWh/1000),0,IND_voed_ele_kWh/1000)</f>
        <v>2829.5717530268398</v>
      </c>
      <c r="C32" s="39">
        <f>IF(ISERROR(B32*3.6/1000000/'E Balans VL '!Z20*100),0,B32*3.6/1000000/'E Balans VL '!Z20*100)</f>
        <v>9.4515813541911964E-2</v>
      </c>
      <c r="D32" s="238" t="s">
        <v>719</v>
      </c>
    </row>
    <row r="33" spans="1:5">
      <c r="A33" s="172" t="s">
        <v>40</v>
      </c>
      <c r="B33" s="37">
        <f>IF( ISERROR(IND_textiel_ele_kWh/1000),0,IND_textiel_ele_kWh/1000)</f>
        <v>78.289011181774299</v>
      </c>
      <c r="C33" s="39">
        <f>IF(ISERROR(B33*3.6/1000000/'E Balans VL '!Z21*100),0,B33*3.6/1000000/'E Balans VL '!Z21*100)</f>
        <v>1.0306928859670239E-2</v>
      </c>
      <c r="D33" s="238" t="s">
        <v>719</v>
      </c>
    </row>
    <row r="34" spans="1:5">
      <c r="A34" s="172" t="s">
        <v>37</v>
      </c>
      <c r="B34" s="37">
        <f>IF( ISERROR(IND_min_ele_kWh/1000),0,IND_min_ele_kWh/1000)</f>
        <v>106.287872466368</v>
      </c>
      <c r="C34" s="39">
        <f>IF(ISERROR(B34*3.6/1000000/'E Balans VL '!Z22*100),0,B34*3.6/1000000/'E Balans VL '!Z22*100)</f>
        <v>2.0671823688794583E-2</v>
      </c>
      <c r="D34" s="238" t="s">
        <v>719</v>
      </c>
    </row>
    <row r="35" spans="1:5">
      <c r="A35" s="172" t="s">
        <v>39</v>
      </c>
      <c r="B35" s="37">
        <f>IF( ISERROR(IND_papier_ele_kWh/1000),0,IND_papier_ele_kWh/1000)</f>
        <v>22961.2817090467</v>
      </c>
      <c r="C35" s="39">
        <f>IF(ISERROR(B35*3.6/1000000/'E Balans VL '!Z22*100),0,B35*3.6/1000000/'E Balans VL '!Z22*100)</f>
        <v>4.4657170770667962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16676.028113005501</v>
      </c>
      <c r="C37" s="39">
        <f>IF(ISERROR(B37*3.6/1000000/'E Balans VL '!Z15*100),0,B37*3.6/1000000/'E Balans VL '!Z15*100)</f>
        <v>0.1240424815870711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2171.643422657156</v>
      </c>
      <c r="C5" s="17">
        <f>'Eigen informatie GS &amp; warmtenet'!B60</f>
        <v>0</v>
      </c>
      <c r="D5" s="30">
        <f>IF(ISERROR(SUM(LB_lb_gas_kWh,LB_rest_gas_kWh)/1000),0,SUM(LB_lb_gas_kWh,LB_rest_gas_kWh)/1000)*0.902</f>
        <v>232.57345221027987</v>
      </c>
      <c r="E5" s="17">
        <f>B17*'E Balans VL '!I25/3.6*1000000/100</f>
        <v>22.741920063694476</v>
      </c>
      <c r="F5" s="17">
        <f>B17*('E Balans VL '!L25/3.6*1000000+'E Balans VL '!N25/3.6*1000000)/100</f>
        <v>9296.2839475270648</v>
      </c>
      <c r="G5" s="18"/>
      <c r="H5" s="17"/>
      <c r="I5" s="17"/>
      <c r="J5" s="17">
        <f>('E Balans VL '!D25+'E Balans VL '!E25)/3.6*1000000*landbouw!B17/100</f>
        <v>193.9472224153437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2171.643422657156</v>
      </c>
      <c r="C8" s="21">
        <f>C5+C6</f>
        <v>0</v>
      </c>
      <c r="D8" s="21">
        <f>MAX((D5+D6),0)</f>
        <v>232.57345221027987</v>
      </c>
      <c r="E8" s="21">
        <f>MAX((E5+E6),0)</f>
        <v>22.741920063694476</v>
      </c>
      <c r="F8" s="21">
        <f>MAX((F5+F6),0)</f>
        <v>9296.2839475270648</v>
      </c>
      <c r="G8" s="21"/>
      <c r="H8" s="21"/>
      <c r="I8" s="21"/>
      <c r="J8" s="21">
        <f>MAX((J5+J6),0)</f>
        <v>193.9472224153437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0.18599191066181561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403.90810945616926</v>
      </c>
      <c r="C12" s="23">
        <f ca="1">C8*C10</f>
        <v>0</v>
      </c>
      <c r="D12" s="23">
        <f>D8*D10</f>
        <v>46.979837346476536</v>
      </c>
      <c r="E12" s="23">
        <f>E8*E10</f>
        <v>5.1624158544586463</v>
      </c>
      <c r="F12" s="23">
        <f>F8*F10</f>
        <v>2482.1078139897263</v>
      </c>
      <c r="G12" s="23"/>
      <c r="H12" s="23"/>
      <c r="I12" s="23"/>
      <c r="J12" s="23">
        <f>J8*J10</f>
        <v>68.657316735031671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0.33425784321183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395.17374707673446</v>
      </c>
      <c r="C26" s="248">
        <f>B26*'GWP N2O_CH4'!B5</f>
        <v>8298.6486886114235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238.37818188918808</v>
      </c>
      <c r="C27" s="248">
        <f>B27*'GWP N2O_CH4'!B5</f>
        <v>5005.9418196729494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5.4129918267814752</v>
      </c>
      <c r="C28" s="248">
        <f>B28*'GWP N2O_CH4'!B4</f>
        <v>1678.0274663022574</v>
      </c>
      <c r="D28" s="50"/>
    </row>
    <row r="29" spans="1:4">
      <c r="A29" s="41" t="s">
        <v>277</v>
      </c>
      <c r="B29" s="248">
        <f>B34*'ha_N2O bodem landbouw'!B4</f>
        <v>14.692202843365827</v>
      </c>
      <c r="C29" s="248">
        <f>B29*'GWP N2O_CH4'!B4</f>
        <v>4554.5828814434062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2.4280794828027146E-3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3.0509665116041372E-6</v>
      </c>
      <c r="C5" s="446" t="s">
        <v>211</v>
      </c>
      <c r="D5" s="431">
        <f>SUM(D6:D11)</f>
        <v>1.464882966406915E-5</v>
      </c>
      <c r="E5" s="431">
        <f>SUM(E6:E11)</f>
        <v>1.4935415690591532E-3</v>
      </c>
      <c r="F5" s="444" t="s">
        <v>211</v>
      </c>
      <c r="G5" s="431">
        <f>SUM(G6:G11)</f>
        <v>0.3321849241839574</v>
      </c>
      <c r="H5" s="431">
        <f>SUM(H6:H11)</f>
        <v>4.8890500681937253E-2</v>
      </c>
      <c r="I5" s="446" t="s">
        <v>211</v>
      </c>
      <c r="J5" s="446" t="s">
        <v>211</v>
      </c>
      <c r="K5" s="446" t="s">
        <v>211</v>
      </c>
      <c r="L5" s="446" t="s">
        <v>211</v>
      </c>
      <c r="M5" s="431">
        <f>SUM(M6:M11)</f>
        <v>1.6606429747493684E-2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2.6137795481048455E-6</v>
      </c>
      <c r="C6" s="432"/>
      <c r="D6" s="432">
        <f>vkm_2011_GW_PW*SUMIFS(TableVerdeelsleutelVkm[CNG],TableVerdeelsleutelVkm[Voertuigtype],"Lichte voertuigen")*SUMIFS(TableECFTransport[EnergieConsumptieFactor (PJ per km)],TableECFTransport[Index],CONCATENATE($A6,"_CNG_CNG"))</f>
        <v>1.1267699806480772E-5</v>
      </c>
      <c r="E6" s="434">
        <f>vkm_2011_GW_PW*SUMIFS(TableVerdeelsleutelVkm[LPG],TableVerdeelsleutelVkm[Voertuigtype],"Lichte voertuigen")*SUMIFS(TableECFTransport[EnergieConsumptieFactor (PJ per km)],TableECFTransport[Index],CONCATENATE($A6,"_LPG_LPG"))</f>
        <v>1.1723350277093706E-3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0.14420042679485209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3.7964984106745703E-2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7.9833616401559452E-3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0.13321327142776004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4.5676984750052973E-5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5.7545637272916053E-3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4.3718696349929157E-7</v>
      </c>
      <c r="C8" s="432"/>
      <c r="D8" s="434">
        <f>vkm_2011_NGW_PW*SUMIFS(TableVerdeelsleutelVkm[CNG],TableVerdeelsleutelVkm[Voertuigtype],"Lichte voertuigen")*SUMIFS(TableECFTransport[EnergieConsumptieFactor (PJ per km)],TableECFTransport[Index],CONCATENATE($A8,"_CNG_CNG"))</f>
        <v>3.3811298575883782E-6</v>
      </c>
      <c r="E8" s="434">
        <f>vkm_2011_NGW_PW*SUMIFS(TableVerdeelsleutelVkm[LPG],TableVerdeelsleutelVkm[Voertuigtype],"Lichte voertuigen")*SUMIFS(TableECFTransport[EnergieConsumptieFactor (PJ per km)],TableECFTransport[Index],CONCATENATE($A8,"_LPG_LPG"))</f>
        <v>3.212065413497827E-4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3.7473658528960181E-2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1.0874687099529151E-2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2.1213178993850675E-3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1.72975674323851E-2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5.1524909123484696E-6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7.471864806610684E-4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0.84749069766781593</v>
      </c>
      <c r="C14" s="21"/>
      <c r="D14" s="21">
        <f t="shared" ref="D14:M14" si="0">((D5)*10^9/3600)+D12</f>
        <v>4.0691193511303192</v>
      </c>
      <c r="E14" s="21">
        <f t="shared" si="0"/>
        <v>414.87265807198702</v>
      </c>
      <c r="F14" s="21"/>
      <c r="G14" s="21">
        <f t="shared" si="0"/>
        <v>92273.59005109928</v>
      </c>
      <c r="H14" s="21">
        <f t="shared" si="0"/>
        <v>13580.694633871461</v>
      </c>
      <c r="I14" s="21"/>
      <c r="J14" s="21"/>
      <c r="K14" s="21"/>
      <c r="L14" s="21"/>
      <c r="M14" s="21">
        <f t="shared" si="0"/>
        <v>4612.8971520815794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0.18599191066181561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0.1576264141273522</v>
      </c>
      <c r="C18" s="23"/>
      <c r="D18" s="23">
        <f t="shared" ref="D18:M18" si="1">D14*D16</f>
        <v>0.82196210892832455</v>
      </c>
      <c r="E18" s="23">
        <f t="shared" si="1"/>
        <v>94.176093382341051</v>
      </c>
      <c r="F18" s="23"/>
      <c r="G18" s="23">
        <f t="shared" si="1"/>
        <v>24637.048543643508</v>
      </c>
      <c r="H18" s="23">
        <f t="shared" si="1"/>
        <v>3381.5929638339935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5.4292033944650731E-3</v>
      </c>
      <c r="H50" s="322">
        <f t="shared" si="2"/>
        <v>0</v>
      </c>
      <c r="I50" s="322">
        <f t="shared" si="2"/>
        <v>0</v>
      </c>
      <c r="J50" s="322">
        <f t="shared" si="2"/>
        <v>0</v>
      </c>
      <c r="K50" s="322">
        <f t="shared" si="2"/>
        <v>0</v>
      </c>
      <c r="L50" s="322">
        <f t="shared" si="2"/>
        <v>0</v>
      </c>
      <c r="M50" s="322">
        <f t="shared" si="2"/>
        <v>2.3142335365912246E-4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5.4292033944650731E-3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2.3142335365912246E-4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1508.1120540180759</v>
      </c>
      <c r="H54" s="21">
        <f t="shared" si="3"/>
        <v>0</v>
      </c>
      <c r="I54" s="21">
        <f t="shared" si="3"/>
        <v>0</v>
      </c>
      <c r="J54" s="21">
        <f t="shared" si="3"/>
        <v>0</v>
      </c>
      <c r="K54" s="21">
        <f t="shared" si="3"/>
        <v>0</v>
      </c>
      <c r="L54" s="21">
        <f t="shared" si="3"/>
        <v>0</v>
      </c>
      <c r="M54" s="21">
        <f t="shared" si="3"/>
        <v>64.284264905311787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0.18599191066181561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402.66591842282628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17509.807786802328</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1544.2878291327602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900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19954.09561593509</v>
      </c>
      <c r="C10" s="569">
        <f t="shared" ref="C10:L10" si="0">SUM(C8:C9)</f>
        <v>0</v>
      </c>
      <c r="D10" s="569">
        <f t="shared" si="0"/>
        <v>0</v>
      </c>
      <c r="E10" s="569">
        <f t="shared" si="0"/>
        <v>0</v>
      </c>
      <c r="F10" s="569">
        <f t="shared" si="0"/>
        <v>0</v>
      </c>
      <c r="G10" s="569">
        <f t="shared" si="0"/>
        <v>0</v>
      </c>
      <c r="H10" s="569">
        <f t="shared" si="0"/>
        <v>0</v>
      </c>
      <c r="I10" s="569">
        <f t="shared" si="0"/>
        <v>2250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43005</v>
      </c>
      <c r="C64" s="788">
        <v>9900</v>
      </c>
      <c r="D64" s="643" t="s">
        <v>963</v>
      </c>
      <c r="E64" s="643" t="s">
        <v>964</v>
      </c>
      <c r="F64" s="643" t="s">
        <v>965</v>
      </c>
      <c r="G64" s="643" t="s">
        <v>966</v>
      </c>
      <c r="H64" s="643" t="s">
        <v>967</v>
      </c>
      <c r="I64" s="643" t="s">
        <v>968</v>
      </c>
      <c r="J64" s="787">
        <v>39066</v>
      </c>
      <c r="K64" s="787">
        <v>39142</v>
      </c>
      <c r="L64" s="643" t="s">
        <v>969</v>
      </c>
      <c r="M64" s="643">
        <v>200</v>
      </c>
      <c r="N64" s="643">
        <v>900</v>
      </c>
      <c r="O64" s="643">
        <v>0</v>
      </c>
      <c r="P64" s="643">
        <v>0</v>
      </c>
      <c r="Q64" s="643">
        <v>0</v>
      </c>
      <c r="R64" s="643">
        <v>0</v>
      </c>
      <c r="S64" s="643">
        <v>0</v>
      </c>
      <c r="T64" s="643">
        <v>0</v>
      </c>
      <c r="U64" s="643">
        <v>2250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200</v>
      </c>
      <c r="N89" s="598">
        <f t="shared" ref="N89:W89" si="5">SUM(N64:N88)</f>
        <v>900</v>
      </c>
      <c r="O89" s="598">
        <f t="shared" si="5"/>
        <v>0</v>
      </c>
      <c r="P89" s="598">
        <f t="shared" si="5"/>
        <v>0</v>
      </c>
      <c r="Q89" s="598">
        <f t="shared" si="5"/>
        <v>0</v>
      </c>
      <c r="R89" s="598">
        <f t="shared" si="5"/>
        <v>0</v>
      </c>
      <c r="S89" s="598">
        <f t="shared" si="5"/>
        <v>0</v>
      </c>
      <c r="T89" s="598">
        <f t="shared" si="5"/>
        <v>0</v>
      </c>
      <c r="U89" s="598">
        <f t="shared" si="5"/>
        <v>2250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200</v>
      </c>
      <c r="N91" s="598">
        <f t="shared" si="7"/>
        <v>900</v>
      </c>
      <c r="O91" s="598">
        <f t="shared" si="7"/>
        <v>0</v>
      </c>
      <c r="P91" s="598">
        <f t="shared" si="7"/>
        <v>0</v>
      </c>
      <c r="Q91" s="598">
        <f t="shared" si="7"/>
        <v>0</v>
      </c>
      <c r="R91" s="598">
        <f t="shared" si="7"/>
        <v>0</v>
      </c>
      <c r="S91" s="598">
        <f t="shared" si="7"/>
        <v>0</v>
      </c>
      <c r="T91" s="598">
        <f t="shared" si="7"/>
        <v>0</v>
      </c>
      <c r="U91" s="598">
        <f t="shared" si="7"/>
        <v>2250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2019-06-29T16:06:23Z</dcterms:modified>
</cp:coreProperties>
</file>