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I9" s="1"/>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F20"/>
  <c r="O18"/>
  <c r="L20"/>
  <c r="C98"/>
  <c r="O19"/>
  <c r="B10"/>
  <c r="I101"/>
  <c r="H8" s="1"/>
  <c r="H10" s="1"/>
  <c r="E101"/>
  <c r="E8" s="1"/>
  <c r="E10" s="1"/>
  <c r="H101"/>
  <c r="D101"/>
  <c r="G101"/>
  <c r="C101"/>
  <c r="F101"/>
  <c r="B101"/>
  <c r="C8"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L78" i="14" l="1"/>
  <c r="L8" i="55"/>
  <c r="L10" s="1"/>
  <c r="O78" i="14"/>
  <c r="O9" i="55"/>
  <c r="O10" s="1"/>
  <c r="C77" i="14"/>
  <c r="C9" i="55" s="1"/>
  <c r="F9"/>
  <c r="N78" i="14"/>
  <c r="N9" i="55"/>
  <c r="N10"/>
  <c r="P22" i="14"/>
  <c r="M76"/>
  <c r="M8" i="55" s="1"/>
  <c r="M10" s="1"/>
  <c r="E20"/>
  <c r="O20"/>
  <c r="Q22" i="14"/>
  <c r="M87"/>
  <c r="P32" i="48"/>
  <c r="K22" i="14"/>
  <c r="D22"/>
  <c r="L22"/>
  <c r="L20" i="55"/>
  <c r="P31" i="48"/>
  <c r="D8" i="55"/>
  <c r="E90" i="14"/>
  <c r="E18" i="55"/>
  <c r="G78" i="14"/>
  <c r="G9" i="55"/>
  <c r="G10" s="1"/>
  <c r="F90" i="14"/>
  <c r="F18" i="55"/>
  <c r="N90" i="14"/>
  <c r="N18" i="55"/>
  <c r="N20" s="1"/>
  <c r="R25" i="14"/>
  <c r="F20" i="55"/>
  <c r="L90" i="14"/>
  <c r="G20" i="55"/>
  <c r="H90" i="14"/>
  <c r="F76"/>
  <c r="D10" i="55"/>
  <c r="K20"/>
  <c r="R9" i="14"/>
  <c r="H20" i="55"/>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M90"/>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4"/>
  <c r="F27"/>
  <c r="F29"/>
  <c r="F31"/>
  <c r="F30"/>
  <c r="D22"/>
  <c r="D30"/>
  <c r="D24"/>
  <c r="D28"/>
  <c r="D32"/>
  <c r="D31"/>
  <c r="D29"/>
  <c r="K30"/>
  <c r="K32"/>
  <c r="K29"/>
  <c r="K27"/>
  <c r="K31"/>
  <c r="K25"/>
  <c r="K28"/>
  <c r="K26"/>
  <c r="K24"/>
  <c r="K22"/>
  <c r="B10"/>
  <c r="C19" i="14"/>
  <c r="I5" i="48"/>
  <c r="J10" i="14"/>
  <c r="J16" s="1"/>
  <c r="J27" s="1"/>
  <c r="J32" i="48"/>
  <c r="J29"/>
  <c r="J27"/>
  <c r="J28"/>
  <c r="J31"/>
  <c r="J24"/>
  <c r="J30"/>
  <c r="Q11" i="14"/>
  <c r="P4" i="48"/>
  <c r="P11" i="14"/>
  <c r="O4" i="48"/>
  <c r="I27"/>
  <c r="I30"/>
  <c r="I24"/>
  <c r="I32"/>
  <c r="I28"/>
  <c r="I29"/>
  <c r="I26"/>
  <c r="I25"/>
  <c r="I31"/>
  <c r="I22"/>
  <c r="B4"/>
  <c r="C11" i="14"/>
  <c r="N32" i="48"/>
  <c r="N27"/>
  <c r="N29"/>
  <c r="N24"/>
  <c r="N31"/>
  <c r="N30"/>
  <c r="N28"/>
  <c r="B7"/>
  <c r="C24" i="14"/>
  <c r="C26" s="1"/>
  <c r="E24" i="48"/>
  <c r="E32"/>
  <c r="E30"/>
  <c r="E31"/>
  <c r="E28"/>
  <c r="E29"/>
  <c r="M32"/>
  <c r="M26"/>
  <c r="M30"/>
  <c r="M24"/>
  <c r="M29"/>
  <c r="M25"/>
  <c r="M22"/>
  <c r="K5"/>
  <c r="L10" i="14"/>
  <c r="L16" s="1"/>
  <c r="L27" s="1"/>
  <c r="L30" i="48"/>
  <c r="L32"/>
  <c r="L22"/>
  <c r="L28"/>
  <c r="L24"/>
  <c r="L27"/>
  <c r="L29"/>
  <c r="L31"/>
  <c r="P5"/>
  <c r="P23" s="1"/>
  <c r="Q10" i="14"/>
  <c r="H12" i="22"/>
  <c r="H13" i="48"/>
  <c r="H31" s="1"/>
  <c r="I18" i="14"/>
  <c r="D4" i="48"/>
  <c r="E11" i="14"/>
  <c r="H30" i="48"/>
  <c r="H32"/>
  <c r="H26"/>
  <c r="H25"/>
  <c r="H22"/>
  <c r="H24"/>
  <c r="H29"/>
  <c r="H28"/>
  <c r="H23"/>
  <c r="C4"/>
  <c r="D11" i="14"/>
  <c r="G30" i="48"/>
  <c r="G32"/>
  <c r="G24"/>
  <c r="G22"/>
  <c r="G26"/>
  <c r="G29"/>
  <c r="G25"/>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K23" i="48"/>
  <c r="K33" s="1"/>
  <c r="K15"/>
  <c r="G11" i="14"/>
  <c r="F4" i="48"/>
  <c r="F22" s="1"/>
  <c r="I23"/>
  <c r="I15"/>
  <c r="G12" i="22"/>
  <c r="G13" i="48"/>
  <c r="H18" i="14"/>
  <c r="I33" i="48"/>
  <c r="C8"/>
  <c r="D16" i="15"/>
  <c r="D5" i="48" s="1"/>
  <c r="L46" i="14"/>
  <c r="L61" s="1"/>
  <c r="L63" s="1"/>
  <c r="J63"/>
  <c r="O22" i="48"/>
  <c r="M23"/>
  <c r="P10" i="14"/>
  <c r="O5" i="48"/>
  <c r="O23" s="1"/>
  <c r="N18" i="14"/>
  <c r="M13" i="48"/>
  <c r="M31" s="1"/>
  <c r="P22" i="16"/>
  <c r="Q43" i="14" s="1"/>
  <c r="Q13"/>
  <c r="P8" i="48"/>
  <c r="P26" s="1"/>
  <c r="P22"/>
  <c r="Q16" i="14"/>
  <c r="Q27" s="1"/>
  <c r="I52"/>
  <c r="I61"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Q13"/>
  <c r="G31"/>
  <c r="C20" i="14"/>
  <c r="B9" i="48"/>
  <c r="E9"/>
  <c r="E27" s="1"/>
  <c r="F20" i="14"/>
  <c r="F22" s="1"/>
  <c r="P33" i="48"/>
  <c r="G14" i="22"/>
  <c r="O15" i="48"/>
  <c r="R18" i="14"/>
  <c r="P46"/>
  <c r="P61" s="1"/>
  <c r="C15" i="48"/>
  <c r="J4"/>
  <c r="J22" s="1"/>
  <c r="K11" i="14"/>
  <c r="D9" i="48"/>
  <c r="D27" s="1"/>
  <c r="E20" i="14"/>
  <c r="E22" s="1"/>
  <c r="O8" i="48"/>
  <c r="O26" s="1"/>
  <c r="O33" s="1"/>
  <c r="P13" i="14"/>
  <c r="P16" s="1"/>
  <c r="P27" s="1"/>
  <c r="N4" i="48"/>
  <c r="N22" s="1"/>
  <c r="O11" i="14"/>
  <c r="M10" i="48"/>
  <c r="M28" s="1"/>
  <c r="N19" i="14"/>
  <c r="E12" i="13"/>
  <c r="F41" i="14" s="1"/>
  <c r="F11"/>
  <c r="R11" s="1"/>
  <c r="E4"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M9" i="48"/>
  <c r="B15"/>
  <c r="P63" i="14"/>
  <c r="D15" i="48"/>
  <c r="R20" i="14"/>
  <c r="R22" s="1"/>
  <c r="C22"/>
  <c r="E22" i="48"/>
  <c r="Q4"/>
  <c r="G28"/>
  <c r="Q10"/>
  <c r="G9"/>
  <c r="H20" i="14"/>
  <c r="H22" s="1"/>
  <c r="H27" s="1"/>
  <c r="Q9" i="48"/>
  <c r="H52" i="14"/>
  <c r="H61" s="1"/>
  <c r="J5" i="48"/>
  <c r="K10" i="14"/>
  <c r="E20" i="15"/>
  <c r="F40" i="14" s="1"/>
  <c r="E5" i="48"/>
  <c r="F10" i="14"/>
  <c r="L15" i="48"/>
  <c r="Q7"/>
  <c r="R24" i="14"/>
  <c r="R26" s="1"/>
  <c r="J18" i="16"/>
  <c r="N18"/>
  <c r="E18"/>
  <c r="F18"/>
  <c r="F22"/>
  <c r="G43" i="14" s="1"/>
  <c r="M27" i="48" l="1"/>
  <c r="M33" s="1"/>
  <c r="M15"/>
  <c r="N63" i="14"/>
  <c r="G27" i="48"/>
  <c r="G33" s="1"/>
  <c r="G15"/>
  <c r="H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<sst xmlns="http://schemas.openxmlformats.org/spreadsheetml/2006/main" count="2502" uniqueCount="969">
  <si>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</si>
  <si>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</si>
  <si>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</si>
  <si>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</si>
  <si>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</si>
  <si>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</si>
  <si>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</si>
  <si>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</si>
  <si>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</si>
  <si>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</si>
  <si>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</si>
  <si>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</si>
  <si>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</si>
  <si>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</si>
  <si>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</si>
  <si>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</si>
  <si>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</si>
  <si>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</si>
  <si>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</si>
  <si>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</si>
  <si>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</si>
  <si>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</si>
  <si>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</si>
  <si>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</si>
  <si>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</si>
  <si>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</si>
  <si>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</si>
  <si>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</si>
  <si>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</si>
  <si>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</si>
  <si>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</si>
  <si>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</si>
  <si>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</si>
  <si>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</si>
  <si>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</si>
  <si>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</si>
  <si>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</si>
  <si>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</si>
  <si>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</si>
  <si>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</si>
  <si>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</si>
  <si>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</si>
  <si>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</si>
  <si>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</si>
  <si>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</si>
  <si>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</si>
  <si>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</si>
  <si>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</si>
  <si>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</si>
  <si>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</si>
  <si>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</si>
  <si>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</si>
  <si>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</si>
  <si>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</si>
  <si>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</si>
  <si>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</si>
  <si>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</si>
  <si>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</si>
  <si>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</si>
  <si>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</si>
  <si>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</si>
  <si>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</si>
  <si>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</si>
  <si>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</si>
  <si>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</si>
  <si>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</si>
  <si>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</si>
  <si>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</si>
  <si>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</si>
  <si>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</si>
  <si>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</si>
  <si>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</si>
  <si>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</si>
  <si>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</si>
  <si>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</si>
  <si>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</si>
  <si>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</si>
  <si>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</si>
  <si>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</si>
  <si>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</si>
  <si>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</si>
  <si>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</si>
  <si>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</si>
  <si>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</si>
  <si>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</si>
  <si>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</si>
  <si>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</si>
  <si>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</si>
  <si>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</si>
  <si>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</si>
  <si>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</si>
  <si>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</si>
  <si>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</si>
  <si>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</si>
  <si>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</si>
  <si>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</si>
  <si>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</si>
  <si>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</si>
  <si>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</si>
  <si>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</si>
  <si>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</si>
  <si>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</si>
  <si>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</si>
  <si>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</si>
  <si>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</si>
  <si>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</si>
  <si>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</si>
  <si>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</si>
  <si>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</si>
  <si>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</si>
  <si>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</si>
  <si>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</si>
  <si>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</si>
  <si>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</si>
  <si>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</si>
  <si>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</si>
  <si>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</si>
  <si>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</si>
  <si>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</si>
  <si>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</si>
  <si>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</si>
  <si>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</si>
  <si>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</si>
  <si>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</si>
  <si>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</si>
  <si>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</si>
  <si>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</si>
  <si>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</si>
  <si>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</si>
  <si>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</si>
  <si>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</si>
  <si>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</si>
  <si>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</si>
  <si>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</si>
  <si>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</si>
  <si>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</si>
  <si>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</si>
  <si>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</si>
  <si>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</si>
  <si>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</si>
  <si>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</si>
  <si>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</si>
  <si>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</si>
  <si>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</si>
  <si>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</si>
  <si>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</si>
  <si>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</si>
  <si>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</si>
  <si>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</si>
  <si>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</si>
  <si>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</si>
  <si>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</si>
  <si>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</si>
  <si>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</si>
  <si>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</si>
  <si>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</si>
  <si>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</si>
  <si>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</si>
  <si>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</si>
  <si>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</si>
  <si>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</si>
  <si>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</si>
  <si>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</si>
  <si>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</si>
  <si>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</si>
  <si>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</si>
  <si>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</si>
  <si>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</si>
  <si>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</si>
  <si>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</si>
  <si>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</si>
  <si>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</si>
  <si>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</si>
  <si>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</si>
  <si>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</si>
  <si>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</si>
  <si>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</si>
  <si>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</si>
  <si>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</si>
  <si>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</si>
  <si>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</si>
  <si>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</si>
  <si>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</si>
  <si>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</si>
  <si>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</si>
  <si>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</si>
  <si>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</si>
  <si>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</si>
  <si>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</si>
  <si>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</si>
  <si>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</si>
  <si>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</si>
  <si>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</si>
  <si>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</si>
  <si>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</si>
  <si>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</si>
  <si>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</si>
  <si>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</si>
  <si>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</si>
  <si>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</si>
  <si>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</si>
  <si>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</si>
  <si>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</si>
  <si>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</si>
  <si>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</si>
  <si>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</si>
  <si>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</si>
  <si>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</si>
  <si>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</si>
  <si>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</si>
  <si>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</si>
  <si>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</si>
  <si>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</si>
  <si>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</si>
  <si>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</si>
  <si>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</si>
  <si>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</si>
  <si>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</si>
  <si>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</si>
  <si>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</si>
  <si>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</si>
  <si>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</si>
  <si>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</si>
  <si>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</si>
  <si>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</si>
  <si>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</si>
  <si>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</si>
  <si>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</si>
  <si>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</si>
  <si>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</si>
  <si>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</si>
  <si>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</si>
  <si>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</si>
  <si>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</si>
  <si>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</si>
  <si>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</si>
  <si>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</si>
  <si>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</si>
  <si>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</si>
  <si>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</si>
  <si>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</si>
  <si>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</si>
  <si>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</si>
  <si>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</si>
  <si>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</si>
  <si>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</si>
  <si>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</si>
  <si>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</si>
  <si>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</si>
  <si>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</si>
  <si>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</si>
  <si>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</si>
  <si>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</si>
  <si>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</si>
  <si>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</si>
  <si>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</si>
  <si>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</si>
  <si>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</si>
  <si>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</si>
  <si>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</si>
  <si>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</si>
  <si>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</si>
  <si>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</si>
  <si>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</si>
  <si>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</si>
  <si>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</si>
  <si>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</si>
  <si>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</si>
  <si>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</si>
  <si>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</si>
  <si>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</si>
  <si>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</si>
  <si>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</si>
  <si>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</si>
  <si>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</si>
  <si>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</si>
  <si>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</si>
  <si>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</si>
  <si>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</si>
  <si>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</si>
  <si>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</si>
  <si>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</si>
  <si>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</si>
  <si>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</si>
  <si>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</si>
  <si>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</si>
  <si>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</si>
  <si>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</si>
  <si>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</si>
  <si>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</si>
  <si>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</si>
  <si>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</si>
  <si>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</si>
  <si>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</si>
  <si>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</si>
  <si>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</si>
  <si>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</si>
  <si>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</si>
  <si>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</si>
  <si>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</si>
  <si>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</si>
  <si>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</si>
  <si>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</si>
  <si>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</si>
  <si>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</si>
  <si>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</si>
  <si>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</si>
  <si>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</si>
  <si>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</si>
  <si>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</si>
  <si>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</si>
  <si>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</si>
  <si>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</si>
  <si>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</si>
  <si>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</si>
  <si>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</si>
  <si>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</si>
  <si>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</si>
  <si>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</si>
  <si>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</si>
  <si>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</si>
  <si>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</si>
  <si>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</si>
  <si>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</si>
  <si>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</si>
  <si>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</si>
  <si>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</si>
  <si>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</si>
  <si>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</si>
  <si>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</si>
  <si>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</si>
  <si>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</si>
  <si>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</si>
  <si>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</si>
  <si>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</si>
  <si>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</si>
  <si>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</si>
  <si>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</si>
  <si>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</si>
  <si>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</si>
  <si>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</si>
  <si>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</si>
  <si>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</si>
  <si>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</si>
  <si>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</si>
  <si>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</si>
  <si>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</si>
  <si>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</si>
  <si>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</si>
  <si>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</si>
  <si>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</si>
  <si>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</si>
  <si>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</si>
  <si>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</si>
  <si>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</si>
  <si>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</si>
  <si>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</si>
  <si>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</si>
  <si>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</si>
  <si>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</si>
  <si>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</si>
  <si>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</si>
  <si>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</si>
  <si>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</si>
  <si>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</si>
  <si>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</si>
  <si>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</si>
  <si>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</si>
  <si>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</si>
  <si>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</si>
  <si>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</si>
  <si>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</si>
  <si>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</si>
  <si>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</si>
  <si>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</si>
  <si>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</si>
  <si>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</si>
  <si>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</si>
  <si>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</si>
  <si>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</si>
  <si>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</si>
  <si>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</si>
  <si>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</si>
  <si>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</si>
  <si>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</si>
  <si>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</si>
  <si>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</si>
  <si>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</si>
  <si>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</si>
  <si>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</si>
  <si>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</si>
  <si>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</si>
  <si>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</si>
  <si>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</si>
  <si>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</si>
  <si>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</si>
  <si>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</si>
  <si>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</si>
  <si>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</si>
  <si>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</si>
  <si>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</si>
  <si>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</si>
  <si>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</si>
  <si>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</si>
  <si>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</si>
  <si>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</si>
  <si>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</si>
  <si>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</si>
  <si>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</si>
  <si>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</si>
  <si>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</si>
  <si>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</si>
  <si>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</si>
  <si>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</si>
  <si>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</si>
  <si>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</si>
  <si>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</si>
  <si>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</si>
  <si>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</si>
  <si>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</si>
  <si>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</si>
  <si>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</si>
  <si>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</si>
  <si>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</si>
  <si>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</si>
  <si>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</si>
  <si>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</si>
  <si>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</si>
  <si>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</si>
  <si>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</si>
  <si>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</si>
  <si>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</si>
  <si>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</si>
  <si>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</si>
  <si>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</si>
  <si>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</si>
  <si>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</si>
  <si>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</si>
  <si>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</si>
  <si>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</si>
  <si>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</si>
  <si>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</si>
  <si>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</si>
  <si>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</si>
  <si>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</si>
  <si>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</si>
  <si>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</si>
  <si>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</si>
  <si>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</si>
  <si>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</si>
  <si>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</si>
  <si>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</si>
  <si>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</si>
  <si>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</si>
  <si>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</si>
  <si>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</si>
  <si>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</si>
  <si>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</si>
  <si>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</si>
  <si>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</si>
  <si>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</si>
  <si>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</si>
  <si>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</si>
  <si>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</si>
  <si>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</si>
  <si>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</si>
  <si>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</si>
  <si>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</si>
  <si>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</si>
  <si>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</si>
  <si>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</si>
  <si>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</si>
  <si>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</si>
  <si>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</si>
  <si>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</si>
  <si>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</si>
  <si>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</si>
  <si>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</si>
  <si>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</si>
  <si>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</si>
  <si>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</si>
  <si>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</si>
  <si>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</si>
  <si>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</si>
  <si>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</si>
  <si>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</si>
  <si>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</si>
  <si>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</si>
  <si>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</si>
  <si>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</si>
  <si>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</si>
  <si>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</si>
  <si>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</si>
  <si>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</si>
  <si>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</si>
  <si>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</si>
  <si>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</si>
  <si>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</si>
  <si>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</si>
  <si>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</si>
  <si>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</si>
  <si>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</si>
  <si>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</si>
  <si>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</si>
  <si>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</si>
  <si>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</si>
  <si>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</si>
  <si>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</si>
  <si>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</si>
  <si>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</si>
  <si>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</si>
  <si>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</si>
  <si>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</si>
  <si>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</si>
  <si>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</si>
  <si>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</si>
  <si>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</si>
  <si>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</si>
  <si>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</si>
  <si>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</si>
  <si>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</si>
  <si>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</si>
  <si>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</si>
  <si>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</si>
  <si>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</si>
  <si>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</si>
  <si>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</si>
  <si>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</si>
  <si>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</si>
  <si>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</si>
  <si>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</si>
  <si>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</si>
  <si>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</si>
  <si>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</si>
  <si>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</si>
  <si>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</si>
  <si>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</si>
  <si>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</si>
  <si>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</si>
  <si>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</si>
  <si>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</si>
  <si>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</si>
  <si>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</si>
  <si>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</si>
  <si>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</si>
  <si>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</si>
  <si>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</si>
  <si>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</si>
  <si>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</si>
  <si>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</si>
  <si>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</si>
  <si>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</si>
  <si>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</si>
  <si>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</si>
  <si>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</si>
  <si>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</si>
  <si>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</si>
  <si>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</si>
  <si>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</si>
  <si>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</si>
  <si>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</si>
  <si>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</si>
  <si>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</si>
  <si>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</si>
  <si>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</si>
  <si>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</si>
  <si>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</si>
  <si>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</si>
  <si>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</si>
  <si>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</si>
  <si>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</si>
  <si>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</si>
  <si>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</si>
  <si>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</si>
  <si>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</si>
  <si>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</si>
  <si>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</si>
  <si>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</si>
  <si>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</si>
  <si>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</si>
  <si>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</si>
  <si>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</si>
  <si>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</si>
  <si>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</si>
  <si>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</si>
  <si>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</si>
  <si>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</si>
  <si>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</si>
  <si>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</si>
  <si>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</si>
  <si>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</si>
  <si>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</si>
  <si>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</si>
  <si>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</si>
  <si>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</si>
  <si>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</si>
  <si>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</si>
  <si>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</si>
  <si>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</si>
  <si>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</si>
  <si>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</si>
  <si>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</si>
  <si>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</si>
  <si>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</si>
  <si>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</si>
  <si>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</si>
  <si>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</si>
  <si>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</si>
  <si>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</si>
  <si>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</si>
  <si>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</si>
  <si>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</si>
  <si>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</si>
  <si>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</si>
  <si>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</si>
  <si>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</si>
  <si>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</si>
  <si>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</si>
  <si>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</si>
  <si>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</si>
  <si>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</si>
  <si>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</si>
  <si>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</si>
  <si>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</si>
  <si>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</si>
  <si>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</si>
  <si>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</si>
  <si>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</si>
  <si>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</si>
  <si>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</si>
  <si>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</si>
  <si>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</si>
  <si>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</si>
  <si>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</si>
  <si>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</si>
  <si>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</si>
  <si>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</si>
  <si>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</si>
  <si>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</si>
  <si>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</si>
  <si>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</si>
  <si>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</si>
  <si>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</si>
  <si>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</si>
  <si>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</si>
  <si>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</si>
  <si>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</si>
  <si>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</si>
  <si>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</si>
  <si>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</si>
  <si>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</si>
  <si>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</si>
  <si>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</si>
  <si>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</si>
  <si>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</si>
  <si>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</si>
  <si>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</si>
  <si>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</si>
  <si>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</si>
  <si>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</si>
  <si>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</si>
  <si>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</si>
  <si>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</si>
  <si>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</si>
  <si>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</si>
  <si>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</si>
  <si>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</si>
  <si>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</si>
  <si>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</si>
  <si>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</si>
  <si>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</si>
  <si>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</si>
  <si>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</si>
  <si>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</si>
  <si>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</si>
  <si>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</si>
  <si>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</si>
  <si>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</si>
  <si>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</si>
  <si>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</si>
  <si>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</si>
  <si>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</si>
  <si>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</si>
  <si>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</si>
  <si>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</si>
  <si>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</si>
  <si>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</si>
  <si>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</si>
  <si>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</si>
  <si>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</si>
  <si>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</si>
  <si>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</si>
  <si>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</si>
  <si>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</si>
  <si>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</si>
  <si>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</si>
  <si>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</si>
  <si>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</si>
  <si>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</si>
  <si>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</si>
  <si>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</si>
  <si>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</si>
  <si>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</si>
  <si>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</si>
  <si>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</si>
  <si>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</si>
  <si>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</si>
  <si>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</si>
  <si>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</si>
  <si>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</si>
  <si>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</si>
  <si>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</si>
  <si>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</si>
  <si>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</si>
  <si>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</si>
  <si>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</si>
  <si>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</si>
  <si>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</si>
  <si>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</si>
  <si>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</si>
  <si>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</si>
  <si>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</si>
  <si>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</si>
  <si>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</si>
  <si>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</si>
  <si>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</si>
  <si>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</si>
  <si>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</si>
  <si>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</si>
  <si>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</si>
  <si>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</si>
  <si>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</si>
  <si>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</si>
  <si>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</si>
  <si>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</si>
  <si>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</si>
  <si>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</si>
  <si>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</si>
  <si>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</si>
  <si>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</si>
  <si>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</si>
  <si>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</si>
  <si>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</si>
  <si>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</si>
  <si>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</si>
  <si>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</si>
  <si>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</si>
  <si>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</si>
  <si>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</si>
  <si>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</si>
  <si>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</si>
  <si>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</si>
  <si>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</si>
  <si>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</si>
  <si>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</si>
  <si>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</si>
  <si>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</si>
  <si>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</si>
  <si>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</si>
  <si>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</si>
  <si>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</si>
  <si>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</si>
  <si>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</si>
  <si>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</si>
  <si>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</si>
  <si>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</si>
  <si>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</si>
  <si>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</si>
  <si>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</si>
  <si>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</si>
  <si>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</si>
  <si>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</si>
  <si>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</si>
  <si>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</si>
  <si>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</si>
  <si>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</si>
  <si>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</si>
  <si>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</si>
  <si>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</si>
  <si>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</si>
  <si>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</si>
  <si>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</si>
  <si>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</si>
  <si>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</si>
  <si>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</si>
  <si>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</si>
  <si>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</si>
  <si>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</si>
  <si>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</si>
  <si>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</si>
  <si>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</si>
  <si>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</si>
  <si>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</si>
  <si>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</si>
  <si>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</si>
  <si>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</si>
  <si>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</si>
  <si>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</si>
  <si>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</si>
  <si>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</si>
  <si>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</si>
  <si>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</si>
  <si>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</si>
  <si>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</si>
  <si>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</si>
  <si>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</si>
  <si>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</si>
  <si>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</si>
  <si>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</si>
  <si>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</si>
  <si>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</si>
  <si>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</si>
  <si>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</si>
  <si>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</si>
  <si>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</si>
  <si>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</si>
  <si>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</si>
  <si>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</si>
  <si>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</si>
  <si>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</si>
  <si>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</si>
  <si>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</si>
  <si>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</si>
  <si>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</si>
  <si>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</si>
  <si>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</si>
  <si>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</si>
  <si>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</si>
  <si>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</si>
  <si>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</si>
  <si>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</si>
  <si>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</si>
  <si>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</si>
  <si>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</si>
  <si>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</si>
  <si>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</si>
  <si>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</si>
  <si>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</si>
  <si>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</si>
  <si>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</si>
  <si>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</si>
  <si>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</si>
  <si>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</si>
  <si>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</si>
  <si>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</si>
  <si>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</si>
  <si>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</si>
  <si>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</si>
  <si>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</si>
  <si>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</si>
  <si>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</si>
  <si>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</si>
  <si>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</si>
  <si>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</si>
  <si>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</si>
  <si>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</si>
  <si>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</si>
  <si>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</si>
  <si>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</si>
  <si>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</si>
  <si>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</si>
  <si>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</si>
  <si>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</si>
  <si>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</si>
  <si>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</si>
  <si>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</si>
  <si>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</si>
  <si>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</si>
  <si>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</si>
  <si>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</si>
  <si>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</si>
  <si>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</si>
  <si>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</si>
  <si>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</si>
  <si>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</si>
  <si>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</si>
  <si>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</si>
  <si>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</si>
  <si>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</si>
  <si>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</si>
  <si>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</si>
  <si>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</si>
  <si>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</si>
  <si>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</si>
  <si>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</si>
  <si>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</si>
  <si>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</si>
  <si>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</si>
  <si>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</si>
  <si>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</si>
  <si>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</si>
  <si>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</si>
  <si>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</si>
  <si>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</si>
  <si>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</si>
  <si>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</si>
  <si>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</si>
  <si>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</si>
  <si>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</si>
  <si>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</si>
  <si>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</si>
  <si>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</si>
  <si>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</si>
  <si>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</si>
  <si>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</si>
  <si>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</si>
  <si>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</si>
  <si>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</si>
  <si>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</si>
  <si>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</si>
  <si>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</si>
  <si>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</si>
  <si>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</si>
  <si>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</si>
  <si>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</si>
  <si>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</si>
  <si>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</si>
  <si>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</si>
  <si>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</si>
  <si>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</si>
  <si>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</si>
  <si>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</si>
  <si>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</si>
  <si>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</si>
  <si>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</si>
  <si>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</si>
  <si>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</si>
  <si>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</si>
  <si>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</si>
  <si>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</si>
  <si>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</si>
  <si>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</si>
  <si>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</si>
  <si>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</si>
  <si>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</si>
  <si>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</si>
  <si>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</si>
  <si>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</si>
  <si>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</si>
  <si>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</si>
  <si>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</si>
  <si>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</si>
  <si>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</si>
  <si>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</si>
  <si>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</si>
  <si>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</si>
  <si>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</si>
  <si>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</si>
  <si>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</si>
  <si>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</si>
  <si>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</si>
  <si>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</si>
  <si>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</si>
  <si>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</si>
  <si>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42011</t>
  </si>
  <si>
    <t>LEBBEKE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</si>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</sst>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42011</v>
      </c>
      <c r="B6" s="396"/>
      <c r="C6" s="397"/>
    </row>
    <row r="7" spans="1:7" s="394" customFormat="1" ht="15.75" customHeight="1">
      <c r="A7" s="398" t="str">
        <f>txtMunicipality</f>
        <v>LEBBEKE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13812.181531230432</v>
      </c>
      <c r="D10" s="687">
        <f ca="1">tertiair!C16</f>
        <v>0</v>
      </c>
      <c r="E10" s="687">
        <f ca="1">tertiair!D16</f>
        <v>15044.331351211242</v>
      </c>
      <c r="F10" s="687">
        <f>tertiair!E16</f>
        <v>243.55931381481767</v>
      </c>
      <c r="G10" s="687">
        <f ca="1">tertiair!F16</f>
        <v>2282.9626036459435</v>
      </c>
      <c r="H10" s="687">
        <f>tertiair!G16</f>
        <v>0</v>
      </c>
      <c r="I10" s="687">
        <f>tertiair!H16</f>
        <v>0</v>
      </c>
      <c r="J10" s="687">
        <f>tertiair!I16</f>
        <v>0</v>
      </c>
      <c r="K10" s="687">
        <f>tertiair!J16</f>
        <v>0</v>
      </c>
      <c r="L10" s="687">
        <f>tertiair!K16</f>
        <v>0</v>
      </c>
      <c r="M10" s="687">
        <f ca="1">tertiair!L16</f>
        <v>0</v>
      </c>
      <c r="N10" s="687">
        <f>tertiair!M16</f>
        <v>0</v>
      </c>
      <c r="O10" s="687">
        <f ca="1">tertiair!N16</f>
        <v>287.29827643178675</v>
      </c>
      <c r="P10" s="687">
        <f>tertiair!O16</f>
        <v>1.5633333333333335</v>
      </c>
      <c r="Q10" s="688">
        <f>tertiair!P16</f>
        <v>0</v>
      </c>
      <c r="R10" s="690">
        <f ca="1">SUM(C10:Q10)</f>
        <v>31671.896409667555</v>
      </c>
      <c r="S10" s="67"/>
    </row>
    <row r="11" spans="1:19" s="456" customFormat="1">
      <c r="A11" s="802" t="s">
        <v>225</v>
      </c>
      <c r="B11" s="807"/>
      <c r="C11" s="687">
        <f>huishoudens!B8</f>
        <v>33839.853697085608</v>
      </c>
      <c r="D11" s="687">
        <f>huishoudens!C8</f>
        <v>0</v>
      </c>
      <c r="E11" s="687">
        <f>huishoudens!D8</f>
        <v>65147.079497428051</v>
      </c>
      <c r="F11" s="687">
        <f>huishoudens!E8</f>
        <v>3242.9773057782486</v>
      </c>
      <c r="G11" s="687">
        <f>huishoudens!F8</f>
        <v>34479.064271867472</v>
      </c>
      <c r="H11" s="687">
        <f>huishoudens!G8</f>
        <v>0</v>
      </c>
      <c r="I11" s="687">
        <f>huishoudens!H8</f>
        <v>0</v>
      </c>
      <c r="J11" s="687">
        <f>huishoudens!I8</f>
        <v>0</v>
      </c>
      <c r="K11" s="687">
        <f>huishoudens!J8</f>
        <v>2923.108327633101</v>
      </c>
      <c r="L11" s="687">
        <f>huishoudens!K8</f>
        <v>0</v>
      </c>
      <c r="M11" s="687">
        <f>huishoudens!L8</f>
        <v>0</v>
      </c>
      <c r="N11" s="687">
        <f>huishoudens!M8</f>
        <v>0</v>
      </c>
      <c r="O11" s="687">
        <f>huishoudens!N8</f>
        <v>11694.810013594641</v>
      </c>
      <c r="P11" s="687">
        <f>huishoudens!O8</f>
        <v>64.096666666666678</v>
      </c>
      <c r="Q11" s="688">
        <f>huishoudens!P8</f>
        <v>266.93333333333334</v>
      </c>
      <c r="R11" s="690">
        <f>SUM(C11:Q11)</f>
        <v>151657.92311338711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76774.689179184672</v>
      </c>
      <c r="D13" s="687">
        <f>industrie!C18</f>
        <v>0</v>
      </c>
      <c r="E13" s="687">
        <f>industrie!D18</f>
        <v>32913.659365031352</v>
      </c>
      <c r="F13" s="687">
        <f>industrie!E18</f>
        <v>713.64720741650797</v>
      </c>
      <c r="G13" s="687">
        <f>industrie!F18</f>
        <v>13308.336595857394</v>
      </c>
      <c r="H13" s="687">
        <f>industrie!G18</f>
        <v>0</v>
      </c>
      <c r="I13" s="687">
        <f>industrie!H18</f>
        <v>0</v>
      </c>
      <c r="J13" s="687">
        <f>industrie!I18</f>
        <v>0</v>
      </c>
      <c r="K13" s="687">
        <f>industrie!J18</f>
        <v>316.90029185304024</v>
      </c>
      <c r="L13" s="687">
        <f>industrie!K18</f>
        <v>0</v>
      </c>
      <c r="M13" s="687">
        <f>industrie!L18</f>
        <v>0</v>
      </c>
      <c r="N13" s="687">
        <f>industrie!M18</f>
        <v>0</v>
      </c>
      <c r="O13" s="687">
        <f>industrie!N18</f>
        <v>1207.720051750247</v>
      </c>
      <c r="P13" s="687">
        <f>industrie!O18</f>
        <v>0</v>
      </c>
      <c r="Q13" s="688">
        <f>industrie!P18</f>
        <v>0</v>
      </c>
      <c r="R13" s="690">
        <f>SUM(C13:Q13)</f>
        <v>125234.95269109322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124426.7244075007</v>
      </c>
      <c r="D16" s="720">
        <f t="shared" ref="D16:R16" ca="1" si="0">SUM(D9:D15)</f>
        <v>0</v>
      </c>
      <c r="E16" s="720">
        <f t="shared" ca="1" si="0"/>
        <v>113105.07021367064</v>
      </c>
      <c r="F16" s="720">
        <f t="shared" si="0"/>
        <v>4200.1838270095741</v>
      </c>
      <c r="G16" s="720">
        <f t="shared" ca="1" si="0"/>
        <v>50070.363471370809</v>
      </c>
      <c r="H16" s="720">
        <f t="shared" si="0"/>
        <v>0</v>
      </c>
      <c r="I16" s="720">
        <f t="shared" si="0"/>
        <v>0</v>
      </c>
      <c r="J16" s="720">
        <f t="shared" si="0"/>
        <v>0</v>
      </c>
      <c r="K16" s="720">
        <f t="shared" si="0"/>
        <v>3240.0086194861415</v>
      </c>
      <c r="L16" s="720">
        <f t="shared" si="0"/>
        <v>0</v>
      </c>
      <c r="M16" s="720">
        <f t="shared" ca="1" si="0"/>
        <v>0</v>
      </c>
      <c r="N16" s="720">
        <f t="shared" si="0"/>
        <v>0</v>
      </c>
      <c r="O16" s="720">
        <f t="shared" ca="1" si="0"/>
        <v>13189.828341776676</v>
      </c>
      <c r="P16" s="720">
        <f t="shared" si="0"/>
        <v>65.660000000000011</v>
      </c>
      <c r="Q16" s="720">
        <f t="shared" si="0"/>
        <v>266.93333333333334</v>
      </c>
      <c r="R16" s="720">
        <f t="shared" ca="1" si="0"/>
        <v>308564.7722141479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851.28381408253449</v>
      </c>
      <c r="I19" s="687">
        <f>transport!H54</f>
        <v>0</v>
      </c>
      <c r="J19" s="687">
        <f>transport!I54</f>
        <v>0</v>
      </c>
      <c r="K19" s="687">
        <f>transport!J54</f>
        <v>0</v>
      </c>
      <c r="L19" s="687">
        <f>transport!K54</f>
        <v>0</v>
      </c>
      <c r="M19" s="687">
        <f>transport!L54</f>
        <v>0</v>
      </c>
      <c r="N19" s="687">
        <f>transport!M54</f>
        <v>36.286530611756469</v>
      </c>
      <c r="O19" s="687">
        <f>transport!N54</f>
        <v>0</v>
      </c>
      <c r="P19" s="687">
        <f>transport!O54</f>
        <v>0</v>
      </c>
      <c r="Q19" s="688">
        <f>transport!P54</f>
        <v>0</v>
      </c>
      <c r="R19" s="690">
        <f>SUM(C19:Q19)</f>
        <v>887.57034469429095</v>
      </c>
      <c r="S19" s="67"/>
    </row>
    <row r="20" spans="1:19" s="456" customFormat="1">
      <c r="A20" s="802" t="s">
        <v>307</v>
      </c>
      <c r="B20" s="807"/>
      <c r="C20" s="687">
        <f>transport!B14</f>
        <v>0.7860466297120996</v>
      </c>
      <c r="D20" s="687">
        <f>transport!C14</f>
        <v>0</v>
      </c>
      <c r="E20" s="687">
        <f>transport!D14</f>
        <v>5.1024013877704846</v>
      </c>
      <c r="F20" s="687">
        <f>transport!E14</f>
        <v>495.85231337764822</v>
      </c>
      <c r="G20" s="687">
        <f>transport!F14</f>
        <v>0</v>
      </c>
      <c r="H20" s="687">
        <f>transport!G14</f>
        <v>79590.834730366434</v>
      </c>
      <c r="I20" s="687">
        <f>transport!H14</f>
        <v>16605.664591230507</v>
      </c>
      <c r="J20" s="687">
        <f>transport!I14</f>
        <v>0</v>
      </c>
      <c r="K20" s="687">
        <f>transport!J14</f>
        <v>0</v>
      </c>
      <c r="L20" s="687">
        <f>transport!K14</f>
        <v>0</v>
      </c>
      <c r="M20" s="687">
        <f>transport!L14</f>
        <v>0</v>
      </c>
      <c r="N20" s="687">
        <f>transport!M14</f>
        <v>4205.1781891983728</v>
      </c>
      <c r="O20" s="687">
        <f>transport!N14</f>
        <v>0</v>
      </c>
      <c r="P20" s="687">
        <f>transport!O14</f>
        <v>0</v>
      </c>
      <c r="Q20" s="688">
        <f>transport!P14</f>
        <v>0</v>
      </c>
      <c r="R20" s="690">
        <f>SUM(C20:Q20)</f>
        <v>100903.41827219045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0.7860466297120996</v>
      </c>
      <c r="D22" s="805">
        <f t="shared" ref="D22:R22" si="1">SUM(D18:D21)</f>
        <v>0</v>
      </c>
      <c r="E22" s="805">
        <f t="shared" si="1"/>
        <v>5.1024013877704846</v>
      </c>
      <c r="F22" s="805">
        <f t="shared" si="1"/>
        <v>495.85231337764822</v>
      </c>
      <c r="G22" s="805">
        <f t="shared" si="1"/>
        <v>0</v>
      </c>
      <c r="H22" s="805">
        <f t="shared" si="1"/>
        <v>80442.118544448967</v>
      </c>
      <c r="I22" s="805">
        <f t="shared" si="1"/>
        <v>16605.664591230507</v>
      </c>
      <c r="J22" s="805">
        <f t="shared" si="1"/>
        <v>0</v>
      </c>
      <c r="K22" s="805">
        <f t="shared" si="1"/>
        <v>0</v>
      </c>
      <c r="L22" s="805">
        <f t="shared" si="1"/>
        <v>0</v>
      </c>
      <c r="M22" s="805">
        <f t="shared" si="1"/>
        <v>0</v>
      </c>
      <c r="N22" s="805">
        <f t="shared" si="1"/>
        <v>4241.4647198101293</v>
      </c>
      <c r="O22" s="805">
        <f t="shared" si="1"/>
        <v>0</v>
      </c>
      <c r="P22" s="805">
        <f t="shared" si="1"/>
        <v>0</v>
      </c>
      <c r="Q22" s="805">
        <f t="shared" si="1"/>
        <v>0</v>
      </c>
      <c r="R22" s="805">
        <f t="shared" si="1"/>
        <v>101790.98861688474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1604.564579195581</v>
      </c>
      <c r="D24" s="687">
        <f>+landbouw!C8</f>
        <v>4050</v>
      </c>
      <c r="E24" s="687">
        <f>+landbouw!D8</f>
        <v>542.51974067003096</v>
      </c>
      <c r="F24" s="687">
        <f>+landbouw!E8</f>
        <v>16.803347647401687</v>
      </c>
      <c r="G24" s="687">
        <f>+landbouw!F8</f>
        <v>4618.7556091022725</v>
      </c>
      <c r="H24" s="687">
        <f>+landbouw!G8</f>
        <v>0</v>
      </c>
      <c r="I24" s="687">
        <f>+landbouw!H8</f>
        <v>0</v>
      </c>
      <c r="J24" s="687">
        <f>+landbouw!I8</f>
        <v>0</v>
      </c>
      <c r="K24" s="687">
        <f>+landbouw!J8</f>
        <v>143.30199887984</v>
      </c>
      <c r="L24" s="687">
        <f>+landbouw!K8</f>
        <v>0</v>
      </c>
      <c r="M24" s="687">
        <f>+landbouw!L8</f>
        <v>0</v>
      </c>
      <c r="N24" s="687">
        <f>+landbouw!M8</f>
        <v>0</v>
      </c>
      <c r="O24" s="687">
        <f>+landbouw!N8</f>
        <v>0</v>
      </c>
      <c r="P24" s="687">
        <f>+landbouw!O8</f>
        <v>0</v>
      </c>
      <c r="Q24" s="688">
        <f>+landbouw!P8</f>
        <v>0</v>
      </c>
      <c r="R24" s="690">
        <f>SUM(C24:Q24)</f>
        <v>10975.945275495127</v>
      </c>
      <c r="S24" s="67"/>
    </row>
    <row r="25" spans="1:19" s="456" customFormat="1" ht="15" thickBot="1">
      <c r="A25" s="824" t="s">
        <v>925</v>
      </c>
      <c r="B25" s="988"/>
      <c r="C25" s="989">
        <f>IF(Onbekend_ele_kWh="---",0,Onbekend_ele_kWh)/1000+IF(REST_rest_ele_kWh="---",0,REST_rest_ele_kWh)/1000</f>
        <v>1726.3013740266401</v>
      </c>
      <c r="D25" s="989"/>
      <c r="E25" s="989">
        <f>IF(onbekend_gas_kWh="---",0,onbekend_gas_kWh)/1000+IF(REST_rest_gas_kWh="---",0,REST_rest_gas_kWh)/1000</f>
        <v>3200.3382972671502</v>
      </c>
      <c r="F25" s="989"/>
      <c r="G25" s="989"/>
      <c r="H25" s="989"/>
      <c r="I25" s="989"/>
      <c r="J25" s="989"/>
      <c r="K25" s="989"/>
      <c r="L25" s="989"/>
      <c r="M25" s="989"/>
      <c r="N25" s="989"/>
      <c r="O25" s="989"/>
      <c r="P25" s="989"/>
      <c r="Q25" s="990"/>
      <c r="R25" s="690">
        <f>SUM(C25:Q25)</f>
        <v>4926.6396712937903</v>
      </c>
      <c r="S25" s="67"/>
    </row>
    <row r="26" spans="1:19" s="456" customFormat="1" ht="15.75" thickBot="1">
      <c r="A26" s="693" t="s">
        <v>926</v>
      </c>
      <c r="B26" s="810"/>
      <c r="C26" s="805">
        <f>SUM(C24:C25)</f>
        <v>3330.8659532222209</v>
      </c>
      <c r="D26" s="805">
        <f t="shared" ref="D26:R26" si="2">SUM(D24:D25)</f>
        <v>4050</v>
      </c>
      <c r="E26" s="805">
        <f t="shared" si="2"/>
        <v>3742.8580379371811</v>
      </c>
      <c r="F26" s="805">
        <f t="shared" si="2"/>
        <v>16.803347647401687</v>
      </c>
      <c r="G26" s="805">
        <f t="shared" si="2"/>
        <v>4618.7556091022725</v>
      </c>
      <c r="H26" s="805">
        <f t="shared" si="2"/>
        <v>0</v>
      </c>
      <c r="I26" s="805">
        <f t="shared" si="2"/>
        <v>0</v>
      </c>
      <c r="J26" s="805">
        <f t="shared" si="2"/>
        <v>0</v>
      </c>
      <c r="K26" s="805">
        <f t="shared" si="2"/>
        <v>143.30199887984</v>
      </c>
      <c r="L26" s="805">
        <f t="shared" si="2"/>
        <v>0</v>
      </c>
      <c r="M26" s="805">
        <f t="shared" si="2"/>
        <v>0</v>
      </c>
      <c r="N26" s="805">
        <f t="shared" si="2"/>
        <v>0</v>
      </c>
      <c r="O26" s="805">
        <f t="shared" si="2"/>
        <v>0</v>
      </c>
      <c r="P26" s="805">
        <f t="shared" si="2"/>
        <v>0</v>
      </c>
      <c r="Q26" s="805">
        <f t="shared" si="2"/>
        <v>0</v>
      </c>
      <c r="R26" s="805">
        <f t="shared" si="2"/>
        <v>15902.584946788917</v>
      </c>
      <c r="S26" s="67"/>
    </row>
    <row r="27" spans="1:19" s="456" customFormat="1" ht="17.25" thickTop="1" thickBot="1">
      <c r="A27" s="694" t="s">
        <v>116</v>
      </c>
      <c r="B27" s="797"/>
      <c r="C27" s="695">
        <f ca="1">C22+C16+C26</f>
        <v>127758.37640735264</v>
      </c>
      <c r="D27" s="695">
        <f t="shared" ref="D27:R27" ca="1" si="3">D22+D16+D26</f>
        <v>4050</v>
      </c>
      <c r="E27" s="695">
        <f t="shared" ca="1" si="3"/>
        <v>116853.0306529956</v>
      </c>
      <c r="F27" s="695">
        <f t="shared" si="3"/>
        <v>4712.8394880346241</v>
      </c>
      <c r="G27" s="695">
        <f t="shared" ca="1" si="3"/>
        <v>54689.11908047308</v>
      </c>
      <c r="H27" s="695">
        <f t="shared" si="3"/>
        <v>80442.118544448967</v>
      </c>
      <c r="I27" s="695">
        <f t="shared" si="3"/>
        <v>16605.664591230507</v>
      </c>
      <c r="J27" s="695">
        <f t="shared" si="3"/>
        <v>0</v>
      </c>
      <c r="K27" s="695">
        <f t="shared" si="3"/>
        <v>3383.3106183659816</v>
      </c>
      <c r="L27" s="695">
        <f t="shared" si="3"/>
        <v>0</v>
      </c>
      <c r="M27" s="695">
        <f t="shared" ca="1" si="3"/>
        <v>0</v>
      </c>
      <c r="N27" s="695">
        <f t="shared" si="3"/>
        <v>4241.4647198101293</v>
      </c>
      <c r="O27" s="695">
        <f t="shared" ca="1" si="3"/>
        <v>13189.828341776676</v>
      </c>
      <c r="P27" s="695">
        <f t="shared" si="3"/>
        <v>65.660000000000011</v>
      </c>
      <c r="Q27" s="695">
        <f t="shared" si="3"/>
        <v>266.93333333333334</v>
      </c>
      <c r="R27" s="695">
        <f t="shared" ca="1" si="3"/>
        <v>426258.34577782155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2972.8865402454894</v>
      </c>
      <c r="D40" s="687">
        <f ca="1">tertiair!C20</f>
        <v>0</v>
      </c>
      <c r="E40" s="687">
        <f ca="1">tertiair!D20</f>
        <v>3038.9549329446709</v>
      </c>
      <c r="F40" s="687">
        <f>tertiair!E20</f>
        <v>55.287964235963614</v>
      </c>
      <c r="G40" s="687">
        <f ca="1">tertiair!F20</f>
        <v>609.55101517346691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6676.6804525995913</v>
      </c>
    </row>
    <row r="41" spans="1:18">
      <c r="A41" s="815" t="s">
        <v>225</v>
      </c>
      <c r="B41" s="822"/>
      <c r="C41" s="687">
        <f ca="1">huishoudens!B12</f>
        <v>7283.5739490154556</v>
      </c>
      <c r="D41" s="687">
        <f ca="1">huishoudens!C12</f>
        <v>0</v>
      </c>
      <c r="E41" s="687">
        <f>huishoudens!D12</f>
        <v>13159.710058480467</v>
      </c>
      <c r="F41" s="687">
        <f>huishoudens!E12</f>
        <v>736.15584841166242</v>
      </c>
      <c r="G41" s="687">
        <f>huishoudens!F12</f>
        <v>9205.9101605886153</v>
      </c>
      <c r="H41" s="687">
        <f>huishoudens!G12</f>
        <v>0</v>
      </c>
      <c r="I41" s="687">
        <f>huishoudens!H12</f>
        <v>0</v>
      </c>
      <c r="J41" s="687">
        <f>huishoudens!I12</f>
        <v>0</v>
      </c>
      <c r="K41" s="687">
        <f>huishoudens!J12</f>
        <v>1034.7803479821177</v>
      </c>
      <c r="L41" s="687">
        <f>huishoudens!K12</f>
        <v>0</v>
      </c>
      <c r="M41" s="687">
        <f>huishoudens!L12</f>
        <v>0</v>
      </c>
      <c r="N41" s="687">
        <f>huishoudens!M12</f>
        <v>0</v>
      </c>
      <c r="O41" s="687">
        <f>huishoudens!N12</f>
        <v>0</v>
      </c>
      <c r="P41" s="687">
        <f>huishoudens!O12</f>
        <v>0</v>
      </c>
      <c r="Q41" s="762">
        <f>huishoudens!P12</f>
        <v>0</v>
      </c>
      <c r="R41" s="843">
        <f t="shared" ca="1" si="4"/>
        <v>31420.130364478318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16524.720557448149</v>
      </c>
      <c r="D43" s="687">
        <f ca="1">industrie!C22</f>
        <v>0</v>
      </c>
      <c r="E43" s="687">
        <f>industrie!D22</f>
        <v>6648.5591917363336</v>
      </c>
      <c r="F43" s="687">
        <f>industrie!E22</f>
        <v>161.99791608354732</v>
      </c>
      <c r="G43" s="687">
        <f>industrie!F22</f>
        <v>3553.3258710939244</v>
      </c>
      <c r="H43" s="687">
        <f>industrie!G22</f>
        <v>0</v>
      </c>
      <c r="I43" s="687">
        <f>industrie!H22</f>
        <v>0</v>
      </c>
      <c r="J43" s="687">
        <f>industrie!I22</f>
        <v>0</v>
      </c>
      <c r="K43" s="687">
        <f>industrie!J22</f>
        <v>112.18270331597624</v>
      </c>
      <c r="L43" s="687">
        <f>industrie!K22</f>
        <v>0</v>
      </c>
      <c r="M43" s="687">
        <f>industrie!L22</f>
        <v>0</v>
      </c>
      <c r="N43" s="687">
        <f>industrie!M22</f>
        <v>0</v>
      </c>
      <c r="O43" s="687">
        <f>industrie!N22</f>
        <v>0</v>
      </c>
      <c r="P43" s="687">
        <f>industrie!O22</f>
        <v>0</v>
      </c>
      <c r="Q43" s="762">
        <f>industrie!P22</f>
        <v>0</v>
      </c>
      <c r="R43" s="842">
        <f t="shared" ca="1" si="4"/>
        <v>27000.786239677927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26781.181046709095</v>
      </c>
      <c r="D46" s="720">
        <f t="shared" ref="D46:Q46" ca="1" si="5">SUM(D39:D45)</f>
        <v>0</v>
      </c>
      <c r="E46" s="720">
        <f t="shared" ca="1" si="5"/>
        <v>22847.22418316147</v>
      </c>
      <c r="F46" s="720">
        <f t="shared" si="5"/>
        <v>953.44172873117338</v>
      </c>
      <c r="G46" s="720">
        <f t="shared" ca="1" si="5"/>
        <v>13368.787046856007</v>
      </c>
      <c r="H46" s="720">
        <f t="shared" si="5"/>
        <v>0</v>
      </c>
      <c r="I46" s="720">
        <f t="shared" si="5"/>
        <v>0</v>
      </c>
      <c r="J46" s="720">
        <f t="shared" si="5"/>
        <v>0</v>
      </c>
      <c r="K46" s="720">
        <f t="shared" si="5"/>
        <v>1146.9630512980939</v>
      </c>
      <c r="L46" s="720">
        <f t="shared" si="5"/>
        <v>0</v>
      </c>
      <c r="M46" s="720">
        <f t="shared" ca="1" si="5"/>
        <v>0</v>
      </c>
      <c r="N46" s="720">
        <f t="shared" si="5"/>
        <v>0</v>
      </c>
      <c r="O46" s="720">
        <f t="shared" ca="1" si="5"/>
        <v>0</v>
      </c>
      <c r="P46" s="720">
        <f t="shared" si="5"/>
        <v>0</v>
      </c>
      <c r="Q46" s="720">
        <f t="shared" si="5"/>
        <v>0</v>
      </c>
      <c r="R46" s="720">
        <f ca="1">SUM(R39:R45)</f>
        <v>65097.59705675584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227.29277836003672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227.29277836003672</v>
      </c>
    </row>
    <row r="50" spans="1:18">
      <c r="A50" s="818" t="s">
        <v>307</v>
      </c>
      <c r="B50" s="828"/>
      <c r="C50" s="995">
        <f ca="1">transport!B18</f>
        <v>0.16918597834764046</v>
      </c>
      <c r="D50" s="995">
        <f>transport!C18</f>
        <v>0</v>
      </c>
      <c r="E50" s="995">
        <f>transport!D18</f>
        <v>1.0306850803296379</v>
      </c>
      <c r="F50" s="995">
        <f>transport!E18</f>
        <v>112.55847513672614</v>
      </c>
      <c r="G50" s="995">
        <f>transport!F18</f>
        <v>0</v>
      </c>
      <c r="H50" s="995">
        <f>transport!G18</f>
        <v>21250.752873007837</v>
      </c>
      <c r="I50" s="995">
        <f>transport!H18</f>
        <v>4134.8104832163963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25499.321702419635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0.16918597834764046</v>
      </c>
      <c r="D52" s="720">
        <f t="shared" ref="D52:Q52" ca="1" si="6">SUM(D48:D51)</f>
        <v>0</v>
      </c>
      <c r="E52" s="720">
        <f t="shared" si="6"/>
        <v>1.0306850803296379</v>
      </c>
      <c r="F52" s="720">
        <f t="shared" si="6"/>
        <v>112.55847513672614</v>
      </c>
      <c r="G52" s="720">
        <f t="shared" si="6"/>
        <v>0</v>
      </c>
      <c r="H52" s="720">
        <f t="shared" si="6"/>
        <v>21478.045651367873</v>
      </c>
      <c r="I52" s="720">
        <f t="shared" si="6"/>
        <v>4134.8104832163963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25726.61448077967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345.36097209984092</v>
      </c>
      <c r="D54" s="995">
        <f ca="1">+landbouw!C12</f>
        <v>318.04411764705884</v>
      </c>
      <c r="E54" s="995">
        <f>+landbouw!D12</f>
        <v>109.58898761534626</v>
      </c>
      <c r="F54" s="995">
        <f>+landbouw!E12</f>
        <v>3.8143599159601829</v>
      </c>
      <c r="G54" s="995">
        <f>+landbouw!F12</f>
        <v>1233.2077476303068</v>
      </c>
      <c r="H54" s="995">
        <f>+landbouw!G12</f>
        <v>0</v>
      </c>
      <c r="I54" s="995">
        <f>+landbouw!H12</f>
        <v>0</v>
      </c>
      <c r="J54" s="995">
        <f>+landbouw!I12</f>
        <v>0</v>
      </c>
      <c r="K54" s="995">
        <f>+landbouw!J12</f>
        <v>50.728907603463355</v>
      </c>
      <c r="L54" s="995">
        <f>+landbouw!K12</f>
        <v>0</v>
      </c>
      <c r="M54" s="995">
        <f>+landbouw!L12</f>
        <v>0</v>
      </c>
      <c r="N54" s="995">
        <f>+landbouw!M12</f>
        <v>0</v>
      </c>
      <c r="O54" s="995">
        <f>+landbouw!N12</f>
        <v>0</v>
      </c>
      <c r="P54" s="995">
        <f>+landbouw!O12</f>
        <v>0</v>
      </c>
      <c r="Q54" s="996">
        <f>+landbouw!P12</f>
        <v>0</v>
      </c>
      <c r="R54" s="719">
        <f ca="1">SUM(C54:Q54)</f>
        <v>2060.7450925119765</v>
      </c>
    </row>
    <row r="55" spans="1:18" ht="15" thickBot="1">
      <c r="A55" s="818" t="s">
        <v>925</v>
      </c>
      <c r="B55" s="828"/>
      <c r="C55" s="995">
        <f ca="1">C25*'EF ele_warmte'!B12</f>
        <v>371.56318193813297</v>
      </c>
      <c r="D55" s="995"/>
      <c r="E55" s="995">
        <f>E25*EF_CO2_aardgas</f>
        <v>646.46833604796439</v>
      </c>
      <c r="F55" s="995"/>
      <c r="G55" s="995"/>
      <c r="H55" s="995"/>
      <c r="I55" s="995"/>
      <c r="J55" s="995"/>
      <c r="K55" s="995"/>
      <c r="L55" s="995"/>
      <c r="M55" s="995"/>
      <c r="N55" s="995"/>
      <c r="O55" s="995"/>
      <c r="P55" s="995"/>
      <c r="Q55" s="996"/>
      <c r="R55" s="719">
        <f ca="1">SUM(C55:Q55)</f>
        <v>1018.0315179860974</v>
      </c>
    </row>
    <row r="56" spans="1:18" ht="15.75" thickBot="1">
      <c r="A56" s="816" t="s">
        <v>926</v>
      </c>
      <c r="B56" s="829"/>
      <c r="C56" s="720">
        <f ca="1">SUM(C54:C55)</f>
        <v>716.92415403797395</v>
      </c>
      <c r="D56" s="720">
        <f t="shared" ref="D56:Q56" ca="1" si="7">SUM(D54:D55)</f>
        <v>318.04411764705884</v>
      </c>
      <c r="E56" s="720">
        <f t="shared" si="7"/>
        <v>756.05732366331063</v>
      </c>
      <c r="F56" s="720">
        <f t="shared" si="7"/>
        <v>3.8143599159601829</v>
      </c>
      <c r="G56" s="720">
        <f t="shared" si="7"/>
        <v>1233.2077476303068</v>
      </c>
      <c r="H56" s="720">
        <f t="shared" si="7"/>
        <v>0</v>
      </c>
      <c r="I56" s="720">
        <f t="shared" si="7"/>
        <v>0</v>
      </c>
      <c r="J56" s="720">
        <f t="shared" si="7"/>
        <v>0</v>
      </c>
      <c r="K56" s="720">
        <f t="shared" si="7"/>
        <v>50.728907603463355</v>
      </c>
      <c r="L56" s="720">
        <f t="shared" si="7"/>
        <v>0</v>
      </c>
      <c r="M56" s="720">
        <f t="shared" si="7"/>
        <v>0</v>
      </c>
      <c r="N56" s="720">
        <f t="shared" si="7"/>
        <v>0</v>
      </c>
      <c r="O56" s="720">
        <f t="shared" si="7"/>
        <v>0</v>
      </c>
      <c r="P56" s="720">
        <f t="shared" si="7"/>
        <v>0</v>
      </c>
      <c r="Q56" s="721">
        <f t="shared" si="7"/>
        <v>0</v>
      </c>
      <c r="R56" s="722">
        <f ca="1">SUM(R54:R55)</f>
        <v>3078.7766104980738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27498.274386725414</v>
      </c>
      <c r="D61" s="728">
        <f t="shared" ref="D61:Q61" ca="1" si="8">D46+D52+D56</f>
        <v>318.04411764705884</v>
      </c>
      <c r="E61" s="728">
        <f t="shared" ca="1" si="8"/>
        <v>23604.312191905108</v>
      </c>
      <c r="F61" s="728">
        <f t="shared" si="8"/>
        <v>1069.8145637838597</v>
      </c>
      <c r="G61" s="728">
        <f t="shared" ca="1" si="8"/>
        <v>14601.994794486314</v>
      </c>
      <c r="H61" s="728">
        <f t="shared" si="8"/>
        <v>21478.045651367873</v>
      </c>
      <c r="I61" s="728">
        <f t="shared" si="8"/>
        <v>4134.8104832163963</v>
      </c>
      <c r="J61" s="728">
        <f t="shared" si="8"/>
        <v>0</v>
      </c>
      <c r="K61" s="728">
        <f t="shared" si="8"/>
        <v>1197.6919589015572</v>
      </c>
      <c r="L61" s="728">
        <f t="shared" si="8"/>
        <v>0</v>
      </c>
      <c r="M61" s="728">
        <f t="shared" ca="1" si="8"/>
        <v>0</v>
      </c>
      <c r="N61" s="728">
        <f t="shared" si="8"/>
        <v>0</v>
      </c>
      <c r="O61" s="728">
        <f t="shared" ca="1" si="8"/>
        <v>0</v>
      </c>
      <c r="P61" s="728">
        <f t="shared" si="8"/>
        <v>0</v>
      </c>
      <c r="Q61" s="728">
        <f t="shared" si="8"/>
        <v>0</v>
      </c>
      <c r="R61" s="728">
        <f ca="1">R46+R52+R56</f>
        <v>93902.988148033575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0.21523656733902308</v>
      </c>
      <c r="D63" s="772">
        <f t="shared" ca="1" si="9"/>
        <v>7.8529411764705889E-2</v>
      </c>
      <c r="E63" s="997">
        <f t="shared" ca="1" si="9"/>
        <v>0.20199999999999999</v>
      </c>
      <c r="F63" s="772">
        <f t="shared" si="9"/>
        <v>0.22700000000000001</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1911.0076092871489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2700</v>
      </c>
      <c r="C76" s="738">
        <f>'lokale energieproductie'!B8*IFERROR(SUM(D76:H76)/SUM(D76:O76),0)</f>
        <v>900</v>
      </c>
      <c r="D76" s="1007">
        <f>'lokale energieproductie'!C8</f>
        <v>0</v>
      </c>
      <c r="E76" s="1008">
        <f>'lokale energieproductie'!D8</f>
        <v>0</v>
      </c>
      <c r="F76" s="1008">
        <f>'lokale energieproductie'!E8</f>
        <v>1058.8235294117646</v>
      </c>
      <c r="G76" s="1008">
        <f>'lokale energieproductie'!F8</f>
        <v>0</v>
      </c>
      <c r="H76" s="1008">
        <f>'lokale energieproductie'!G8</f>
        <v>0</v>
      </c>
      <c r="I76" s="1008">
        <f>'lokale energieproductie'!I8</f>
        <v>3176.4705882352941</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282.70588235294116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4611.0076092871486</v>
      </c>
      <c r="C78" s="743">
        <f>SUM(C72:C77)</f>
        <v>900</v>
      </c>
      <c r="D78" s="744">
        <f t="shared" ref="D78:H78" si="10">SUM(D76:D77)</f>
        <v>0</v>
      </c>
      <c r="E78" s="744">
        <f t="shared" si="10"/>
        <v>0</v>
      </c>
      <c r="F78" s="744">
        <f t="shared" si="10"/>
        <v>1058.8235294117646</v>
      </c>
      <c r="G78" s="744">
        <f t="shared" si="10"/>
        <v>0</v>
      </c>
      <c r="H78" s="744">
        <f t="shared" si="10"/>
        <v>0</v>
      </c>
      <c r="I78" s="744">
        <f>SUM(I76:I77)</f>
        <v>3176.4705882352941</v>
      </c>
      <c r="J78" s="744">
        <f>SUM(J76:J77)</f>
        <v>0</v>
      </c>
      <c r="K78" s="744">
        <f t="shared" ref="K78:L78" si="11">SUM(K76:K77)</f>
        <v>0</v>
      </c>
      <c r="L78" s="744">
        <f t="shared" si="11"/>
        <v>0</v>
      </c>
      <c r="M78" s="744">
        <f>SUM(M76:M77)</f>
        <v>0</v>
      </c>
      <c r="N78" s="744">
        <f>SUM(N76:N77)</f>
        <v>0</v>
      </c>
      <c r="O78" s="853">
        <f>SUM(O76:O77)</f>
        <v>0</v>
      </c>
      <c r="P78" s="745">
        <v>0</v>
      </c>
      <c r="Q78" s="745">
        <f>SUM(Q76:Q77)</f>
        <v>282.70588235294116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3037.5</v>
      </c>
      <c r="C87" s="754">
        <f>'lokale energieproductie'!B17*IFERROR(SUM(D87:H87)/SUM(D87:O87),0)</f>
        <v>1012.5</v>
      </c>
      <c r="D87" s="765">
        <f>'lokale energieproductie'!C17</f>
        <v>0</v>
      </c>
      <c r="E87" s="765">
        <f>'lokale energieproductie'!D17</f>
        <v>0</v>
      </c>
      <c r="F87" s="765">
        <f>'lokale energieproductie'!E17</f>
        <v>1191.1764705882354</v>
      </c>
      <c r="G87" s="765">
        <f>'lokale energieproductie'!F17</f>
        <v>0</v>
      </c>
      <c r="H87" s="765">
        <f>'lokale energieproductie'!G17</f>
        <v>0</v>
      </c>
      <c r="I87" s="765">
        <f>'lokale energieproductie'!I17</f>
        <v>3573.5294117647059</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318.04411764705884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3037.5</v>
      </c>
      <c r="C90" s="743">
        <f>SUM(C87:C89)</f>
        <v>1012.5</v>
      </c>
      <c r="D90" s="743">
        <f t="shared" ref="D90:H90" si="12">SUM(D87:D89)</f>
        <v>0</v>
      </c>
      <c r="E90" s="743">
        <f t="shared" si="12"/>
        <v>0</v>
      </c>
      <c r="F90" s="743">
        <f t="shared" si="12"/>
        <v>1191.1764705882354</v>
      </c>
      <c r="G90" s="743">
        <f t="shared" si="12"/>
        <v>0</v>
      </c>
      <c r="H90" s="743">
        <f t="shared" si="12"/>
        <v>0</v>
      </c>
      <c r="I90" s="743">
        <f>SUM(I87:I89)</f>
        <v>3573.5294117647059</v>
      </c>
      <c r="J90" s="743">
        <f>SUM(J87:J89)</f>
        <v>0</v>
      </c>
      <c r="K90" s="743">
        <f t="shared" ref="K90:L90" si="13">SUM(K87:K89)</f>
        <v>0</v>
      </c>
      <c r="L90" s="743">
        <f t="shared" si="13"/>
        <v>0</v>
      </c>
      <c r="M90" s="743">
        <f>SUM(M87:M89)</f>
        <v>0</v>
      </c>
      <c r="N90" s="743">
        <f>SUM(N87:N89)</f>
        <v>0</v>
      </c>
      <c r="O90" s="743">
        <f>SUM(O87:O89)</f>
        <v>0</v>
      </c>
      <c r="P90" s="743">
        <v>0</v>
      </c>
      <c r="Q90" s="743">
        <f>SUM(Q87:Q89)</f>
        <v>318.04411764705884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33839.853697085608</v>
      </c>
      <c r="C4" s="460">
        <f>huishoudens!C8</f>
        <v>0</v>
      </c>
      <c r="D4" s="460">
        <f>huishoudens!D8</f>
        <v>65147.079497428051</v>
      </c>
      <c r="E4" s="460">
        <f>huishoudens!E8</f>
        <v>3242.9773057782486</v>
      </c>
      <c r="F4" s="460">
        <f>huishoudens!F8</f>
        <v>34479.064271867472</v>
      </c>
      <c r="G4" s="460">
        <f>huishoudens!G8</f>
        <v>0</v>
      </c>
      <c r="H4" s="460">
        <f>huishoudens!H8</f>
        <v>0</v>
      </c>
      <c r="I4" s="460">
        <f>huishoudens!I8</f>
        <v>0</v>
      </c>
      <c r="J4" s="460">
        <f>huishoudens!J8</f>
        <v>2923.108327633101</v>
      </c>
      <c r="K4" s="460">
        <f>huishoudens!K8</f>
        <v>0</v>
      </c>
      <c r="L4" s="460">
        <f>huishoudens!L8</f>
        <v>0</v>
      </c>
      <c r="M4" s="460">
        <f>huishoudens!M8</f>
        <v>0</v>
      </c>
      <c r="N4" s="460">
        <f>huishoudens!N8</f>
        <v>11694.810013594641</v>
      </c>
      <c r="O4" s="460">
        <f>huishoudens!O8</f>
        <v>64.096666666666678</v>
      </c>
      <c r="P4" s="461">
        <f>huishoudens!P8</f>
        <v>266.93333333333334</v>
      </c>
      <c r="Q4" s="462">
        <f>SUM(B4:P4)</f>
        <v>151657.92311338711</v>
      </c>
    </row>
    <row r="5" spans="1:17">
      <c r="A5" s="459" t="s">
        <v>156</v>
      </c>
      <c r="B5" s="460">
        <f ca="1">tertiair!B16</f>
        <v>12730.509531230431</v>
      </c>
      <c r="C5" s="460">
        <f ca="1">tertiair!C16</f>
        <v>0</v>
      </c>
      <c r="D5" s="460">
        <f ca="1">tertiair!D16</f>
        <v>15044.331351211242</v>
      </c>
      <c r="E5" s="460">
        <f>tertiair!E16</f>
        <v>243.55931381481767</v>
      </c>
      <c r="F5" s="460">
        <f ca="1">tertiair!F16</f>
        <v>2282.9626036459435</v>
      </c>
      <c r="G5" s="460">
        <f>tertiair!G16</f>
        <v>0</v>
      </c>
      <c r="H5" s="460">
        <f>tertiair!H16</f>
        <v>0</v>
      </c>
      <c r="I5" s="460">
        <f>tertiair!I16</f>
        <v>0</v>
      </c>
      <c r="J5" s="460">
        <f>tertiair!J16</f>
        <v>0</v>
      </c>
      <c r="K5" s="460">
        <f>tertiair!K16</f>
        <v>0</v>
      </c>
      <c r="L5" s="460">
        <f ca="1">tertiair!L16</f>
        <v>0</v>
      </c>
      <c r="M5" s="460">
        <f>tertiair!M16</f>
        <v>0</v>
      </c>
      <c r="N5" s="460">
        <f ca="1">tertiair!N16</f>
        <v>287.29827643178675</v>
      </c>
      <c r="O5" s="460">
        <f>tertiair!O16</f>
        <v>1.5633333333333335</v>
      </c>
      <c r="P5" s="461">
        <f>tertiair!P16</f>
        <v>0</v>
      </c>
      <c r="Q5" s="459">
        <f t="shared" ref="Q5:Q14" ca="1" si="0">SUM(B5:P5)</f>
        <v>30590.224409667553</v>
      </c>
    </row>
    <row r="6" spans="1:17">
      <c r="A6" s="459" t="s">
        <v>194</v>
      </c>
      <c r="B6" s="460">
        <f>'openbare verlichting'!B8</f>
        <v>1081.672</v>
      </c>
      <c r="C6" s="460"/>
      <c r="D6" s="460"/>
      <c r="E6" s="460"/>
      <c r="F6" s="460"/>
      <c r="G6" s="460"/>
      <c r="H6" s="460"/>
      <c r="I6" s="460"/>
      <c r="J6" s="460"/>
      <c r="K6" s="460"/>
      <c r="L6" s="460"/>
      <c r="M6" s="460"/>
      <c r="N6" s="460"/>
      <c r="O6" s="460"/>
      <c r="P6" s="461"/>
      <c r="Q6" s="459">
        <f t="shared" si="0"/>
        <v>1081.672</v>
      </c>
    </row>
    <row r="7" spans="1:17">
      <c r="A7" s="459" t="s">
        <v>112</v>
      </c>
      <c r="B7" s="460">
        <f>landbouw!B8</f>
        <v>1604.564579195581</v>
      </c>
      <c r="C7" s="460">
        <f>landbouw!C8</f>
        <v>4050</v>
      </c>
      <c r="D7" s="460">
        <f>landbouw!D8</f>
        <v>542.51974067003096</v>
      </c>
      <c r="E7" s="460">
        <f>landbouw!E8</f>
        <v>16.803347647401687</v>
      </c>
      <c r="F7" s="460">
        <f>landbouw!F8</f>
        <v>4618.7556091022725</v>
      </c>
      <c r="G7" s="460">
        <f>landbouw!G8</f>
        <v>0</v>
      </c>
      <c r="H7" s="460">
        <f>landbouw!H8</f>
        <v>0</v>
      </c>
      <c r="I7" s="460">
        <f>landbouw!I8</f>
        <v>0</v>
      </c>
      <c r="J7" s="460">
        <f>landbouw!J8</f>
        <v>143.30199887984</v>
      </c>
      <c r="K7" s="460">
        <f>landbouw!K8</f>
        <v>0</v>
      </c>
      <c r="L7" s="460">
        <f>landbouw!L8</f>
        <v>0</v>
      </c>
      <c r="M7" s="460">
        <f>landbouw!M8</f>
        <v>0</v>
      </c>
      <c r="N7" s="460">
        <f>landbouw!N8</f>
        <v>0</v>
      </c>
      <c r="O7" s="460">
        <f>landbouw!O8</f>
        <v>0</v>
      </c>
      <c r="P7" s="461">
        <f>landbouw!P8</f>
        <v>0</v>
      </c>
      <c r="Q7" s="459">
        <f t="shared" si="0"/>
        <v>10975.945275495127</v>
      </c>
    </row>
    <row r="8" spans="1:17">
      <c r="A8" s="459" t="s">
        <v>655</v>
      </c>
      <c r="B8" s="460">
        <f>industrie!B18</f>
        <v>76774.689179184672</v>
      </c>
      <c r="C8" s="460">
        <f>industrie!C18</f>
        <v>0</v>
      </c>
      <c r="D8" s="460">
        <f>industrie!D18</f>
        <v>32913.659365031352</v>
      </c>
      <c r="E8" s="460">
        <f>industrie!E18</f>
        <v>713.64720741650797</v>
      </c>
      <c r="F8" s="460">
        <f>industrie!F18</f>
        <v>13308.336595857394</v>
      </c>
      <c r="G8" s="460">
        <f>industrie!G18</f>
        <v>0</v>
      </c>
      <c r="H8" s="460">
        <f>industrie!H18</f>
        <v>0</v>
      </c>
      <c r="I8" s="460">
        <f>industrie!I18</f>
        <v>0</v>
      </c>
      <c r="J8" s="460">
        <f>industrie!J18</f>
        <v>316.90029185304024</v>
      </c>
      <c r="K8" s="460">
        <f>industrie!K18</f>
        <v>0</v>
      </c>
      <c r="L8" s="460">
        <f>industrie!L18</f>
        <v>0</v>
      </c>
      <c r="M8" s="460">
        <f>industrie!M18</f>
        <v>0</v>
      </c>
      <c r="N8" s="460">
        <f>industrie!N18</f>
        <v>1207.720051750247</v>
      </c>
      <c r="O8" s="460">
        <f>industrie!O18</f>
        <v>0</v>
      </c>
      <c r="P8" s="461">
        <f>industrie!P18</f>
        <v>0</v>
      </c>
      <c r="Q8" s="459">
        <f t="shared" si="0"/>
        <v>125234.95269109322</v>
      </c>
    </row>
    <row r="9" spans="1:17" s="465" customFormat="1">
      <c r="A9" s="463" t="s">
        <v>573</v>
      </c>
      <c r="B9" s="464">
        <f>transport!B14</f>
        <v>0.7860466297120996</v>
      </c>
      <c r="C9" s="464">
        <f>transport!C14</f>
        <v>0</v>
      </c>
      <c r="D9" s="464">
        <f>transport!D14</f>
        <v>5.1024013877704846</v>
      </c>
      <c r="E9" s="464">
        <f>transport!E14</f>
        <v>495.85231337764822</v>
      </c>
      <c r="F9" s="464">
        <f>transport!F14</f>
        <v>0</v>
      </c>
      <c r="G9" s="464">
        <f>transport!G14</f>
        <v>79590.834730366434</v>
      </c>
      <c r="H9" s="464">
        <f>transport!H14</f>
        <v>16605.664591230507</v>
      </c>
      <c r="I9" s="464">
        <f>transport!I14</f>
        <v>0</v>
      </c>
      <c r="J9" s="464">
        <f>transport!J14</f>
        <v>0</v>
      </c>
      <c r="K9" s="464">
        <f>transport!K14</f>
        <v>0</v>
      </c>
      <c r="L9" s="464">
        <f>transport!L14</f>
        <v>0</v>
      </c>
      <c r="M9" s="464">
        <f>transport!M14</f>
        <v>4205.1781891983728</v>
      </c>
      <c r="N9" s="464">
        <f>transport!N14</f>
        <v>0</v>
      </c>
      <c r="O9" s="464">
        <f>transport!O14</f>
        <v>0</v>
      </c>
      <c r="P9" s="464">
        <f>transport!P14</f>
        <v>0</v>
      </c>
      <c r="Q9" s="463">
        <f>SUM(B9:P9)</f>
        <v>100903.41827219045</v>
      </c>
    </row>
    <row r="10" spans="1:17">
      <c r="A10" s="459" t="s">
        <v>563</v>
      </c>
      <c r="B10" s="460">
        <f>transport!B54</f>
        <v>0</v>
      </c>
      <c r="C10" s="460">
        <f>transport!C54</f>
        <v>0</v>
      </c>
      <c r="D10" s="460">
        <f>transport!D54</f>
        <v>0</v>
      </c>
      <c r="E10" s="460">
        <f>transport!E54</f>
        <v>0</v>
      </c>
      <c r="F10" s="460">
        <f>transport!F54</f>
        <v>0</v>
      </c>
      <c r="G10" s="460">
        <f>transport!G54</f>
        <v>851.28381408253449</v>
      </c>
      <c r="H10" s="460">
        <f>transport!H54</f>
        <v>0</v>
      </c>
      <c r="I10" s="460">
        <f>transport!I54</f>
        <v>0</v>
      </c>
      <c r="J10" s="460">
        <f>transport!J54</f>
        <v>0</v>
      </c>
      <c r="K10" s="460">
        <f>transport!K54</f>
        <v>0</v>
      </c>
      <c r="L10" s="460">
        <f>transport!L54</f>
        <v>0</v>
      </c>
      <c r="M10" s="460">
        <f>transport!M54</f>
        <v>36.286530611756469</v>
      </c>
      <c r="N10" s="460">
        <f>transport!N54</f>
        <v>0</v>
      </c>
      <c r="O10" s="460">
        <f>transport!O54</f>
        <v>0</v>
      </c>
      <c r="P10" s="461">
        <f>transport!P54</f>
        <v>0</v>
      </c>
      <c r="Q10" s="459">
        <f t="shared" si="0"/>
        <v>887.57034469429095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1726.3013740266401</v>
      </c>
      <c r="C14" s="467"/>
      <c r="D14" s="467">
        <f>'SEAP template'!E25</f>
        <v>3200.3382972671502</v>
      </c>
      <c r="E14" s="467"/>
      <c r="F14" s="467"/>
      <c r="G14" s="467"/>
      <c r="H14" s="467"/>
      <c r="I14" s="467"/>
      <c r="J14" s="467"/>
      <c r="K14" s="467"/>
      <c r="L14" s="467"/>
      <c r="M14" s="467"/>
      <c r="N14" s="467"/>
      <c r="O14" s="467"/>
      <c r="P14" s="468"/>
      <c r="Q14" s="459">
        <f t="shared" si="0"/>
        <v>4926.6396712937903</v>
      </c>
    </row>
    <row r="15" spans="1:17" s="472" customFormat="1">
      <c r="A15" s="469" t="s">
        <v>567</v>
      </c>
      <c r="B15" s="470">
        <f ca="1">SUM(B4:B14)</f>
        <v>127758.37640735265</v>
      </c>
      <c r="C15" s="470">
        <f t="shared" ref="C15:Q15" ca="1" si="1">SUM(C4:C14)</f>
        <v>4050</v>
      </c>
      <c r="D15" s="470">
        <f t="shared" ca="1" si="1"/>
        <v>116853.03065299561</v>
      </c>
      <c r="E15" s="470">
        <f t="shared" si="1"/>
        <v>4712.8394880346241</v>
      </c>
      <c r="F15" s="470">
        <f t="shared" ca="1" si="1"/>
        <v>54689.11908047308</v>
      </c>
      <c r="G15" s="470">
        <f t="shared" si="1"/>
        <v>80442.118544448967</v>
      </c>
      <c r="H15" s="470">
        <f t="shared" si="1"/>
        <v>16605.664591230507</v>
      </c>
      <c r="I15" s="470">
        <f t="shared" si="1"/>
        <v>0</v>
      </c>
      <c r="J15" s="470">
        <f t="shared" si="1"/>
        <v>3383.3106183659811</v>
      </c>
      <c r="K15" s="470">
        <f t="shared" si="1"/>
        <v>0</v>
      </c>
      <c r="L15" s="470">
        <f t="shared" ca="1" si="1"/>
        <v>0</v>
      </c>
      <c r="M15" s="470">
        <f t="shared" si="1"/>
        <v>4241.4647198101293</v>
      </c>
      <c r="N15" s="470">
        <f t="shared" ca="1" si="1"/>
        <v>13189.828341776676</v>
      </c>
      <c r="O15" s="470">
        <f t="shared" si="1"/>
        <v>65.660000000000011</v>
      </c>
      <c r="P15" s="470">
        <f t="shared" si="1"/>
        <v>266.93333333333334</v>
      </c>
      <c r="Q15" s="470">
        <f t="shared" ca="1" si="1"/>
        <v>426258.34577782149</v>
      </c>
    </row>
    <row r="17" spans="1:17">
      <c r="A17" s="473" t="s">
        <v>568</v>
      </c>
      <c r="B17" s="777">
        <f ca="1">huishoudens!B10</f>
        <v>0.21523656733902308</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7283.5739490154556</v>
      </c>
      <c r="C22" s="460">
        <f t="shared" ref="C22:C32" ca="1" si="3">C4*$C$17</f>
        <v>0</v>
      </c>
      <c r="D22" s="460">
        <f t="shared" ref="D22:D32" si="4">D4*$D$17</f>
        <v>13159.710058480467</v>
      </c>
      <c r="E22" s="460">
        <f t="shared" ref="E22:E32" si="5">E4*$E$17</f>
        <v>736.15584841166242</v>
      </c>
      <c r="F22" s="460">
        <f t="shared" ref="F22:F32" si="6">F4*$F$17</f>
        <v>9205.9101605886153</v>
      </c>
      <c r="G22" s="460">
        <f t="shared" ref="G22:G32" si="7">G4*$G$17</f>
        <v>0</v>
      </c>
      <c r="H22" s="460">
        <f t="shared" ref="H22:H32" si="8">H4*$H$17</f>
        <v>0</v>
      </c>
      <c r="I22" s="460">
        <f t="shared" ref="I22:I32" si="9">I4*$I$17</f>
        <v>0</v>
      </c>
      <c r="J22" s="460">
        <f t="shared" ref="J22:J32" si="10">J4*$J$17</f>
        <v>1034.7803479821177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31420.130364478318</v>
      </c>
    </row>
    <row r="23" spans="1:17">
      <c r="A23" s="459" t="s">
        <v>156</v>
      </c>
      <c r="B23" s="460">
        <f t="shared" ca="1" si="2"/>
        <v>2740.0711719787537</v>
      </c>
      <c r="C23" s="460">
        <f t="shared" ca="1" si="3"/>
        <v>0</v>
      </c>
      <c r="D23" s="460">
        <f t="shared" ca="1" si="4"/>
        <v>3038.9549329446709</v>
      </c>
      <c r="E23" s="460">
        <f t="shared" si="5"/>
        <v>55.287964235963614</v>
      </c>
      <c r="F23" s="460">
        <f t="shared" ca="1" si="6"/>
        <v>609.55101517346691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6443.865084332856</v>
      </c>
    </row>
    <row r="24" spans="1:17">
      <c r="A24" s="459" t="s">
        <v>194</v>
      </c>
      <c r="B24" s="460">
        <f t="shared" ca="1" si="2"/>
        <v>232.81536826673579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232.81536826673579</v>
      </c>
    </row>
    <row r="25" spans="1:17">
      <c r="A25" s="459" t="s">
        <v>112</v>
      </c>
      <c r="B25" s="460">
        <f t="shared" ca="1" si="2"/>
        <v>345.36097209984092</v>
      </c>
      <c r="C25" s="460">
        <f t="shared" ca="1" si="3"/>
        <v>318.04411764705884</v>
      </c>
      <c r="D25" s="460">
        <f t="shared" si="4"/>
        <v>109.58898761534626</v>
      </c>
      <c r="E25" s="460">
        <f t="shared" si="5"/>
        <v>3.8143599159601829</v>
      </c>
      <c r="F25" s="460">
        <f t="shared" si="6"/>
        <v>1233.2077476303068</v>
      </c>
      <c r="G25" s="460">
        <f t="shared" si="7"/>
        <v>0</v>
      </c>
      <c r="H25" s="460">
        <f t="shared" si="8"/>
        <v>0</v>
      </c>
      <c r="I25" s="460">
        <f t="shared" si="9"/>
        <v>0</v>
      </c>
      <c r="J25" s="460">
        <f t="shared" si="10"/>
        <v>50.728907603463355</v>
      </c>
      <c r="K25" s="460">
        <f t="shared" si="11"/>
        <v>0</v>
      </c>
      <c r="L25" s="460">
        <f t="shared" si="12"/>
        <v>0</v>
      </c>
      <c r="M25" s="460">
        <f t="shared" si="13"/>
        <v>0</v>
      </c>
      <c r="N25" s="460">
        <f t="shared" si="14"/>
        <v>0</v>
      </c>
      <c r="O25" s="460">
        <f t="shared" si="15"/>
        <v>0</v>
      </c>
      <c r="P25" s="461">
        <f t="shared" si="16"/>
        <v>0</v>
      </c>
      <c r="Q25" s="459">
        <f t="shared" ca="1" si="17"/>
        <v>2060.7450925119765</v>
      </c>
    </row>
    <row r="26" spans="1:17">
      <c r="A26" s="459" t="s">
        <v>655</v>
      </c>
      <c r="B26" s="460">
        <f t="shared" ca="1" si="2"/>
        <v>16524.720557448149</v>
      </c>
      <c r="C26" s="460">
        <f t="shared" ca="1" si="3"/>
        <v>0</v>
      </c>
      <c r="D26" s="460">
        <f t="shared" si="4"/>
        <v>6648.5591917363336</v>
      </c>
      <c r="E26" s="460">
        <f t="shared" si="5"/>
        <v>161.99791608354732</v>
      </c>
      <c r="F26" s="460">
        <f t="shared" si="6"/>
        <v>3553.3258710939244</v>
      </c>
      <c r="G26" s="460">
        <f t="shared" si="7"/>
        <v>0</v>
      </c>
      <c r="H26" s="460">
        <f t="shared" si="8"/>
        <v>0</v>
      </c>
      <c r="I26" s="460">
        <f t="shared" si="9"/>
        <v>0</v>
      </c>
      <c r="J26" s="460">
        <f t="shared" si="10"/>
        <v>112.18270331597624</v>
      </c>
      <c r="K26" s="460">
        <f t="shared" si="11"/>
        <v>0</v>
      </c>
      <c r="L26" s="460">
        <f t="shared" si="12"/>
        <v>0</v>
      </c>
      <c r="M26" s="460">
        <f t="shared" si="13"/>
        <v>0</v>
      </c>
      <c r="N26" s="460">
        <f t="shared" si="14"/>
        <v>0</v>
      </c>
      <c r="O26" s="460">
        <f t="shared" si="15"/>
        <v>0</v>
      </c>
      <c r="P26" s="461">
        <f t="shared" si="16"/>
        <v>0</v>
      </c>
      <c r="Q26" s="459">
        <f t="shared" ca="1" si="17"/>
        <v>27000.786239677927</v>
      </c>
    </row>
    <row r="27" spans="1:17" s="465" customFormat="1">
      <c r="A27" s="463" t="s">
        <v>573</v>
      </c>
      <c r="B27" s="771">
        <f t="shared" ca="1" si="2"/>
        <v>0.16918597834764046</v>
      </c>
      <c r="C27" s="464">
        <f t="shared" ca="1" si="3"/>
        <v>0</v>
      </c>
      <c r="D27" s="464">
        <f t="shared" si="4"/>
        <v>1.0306850803296379</v>
      </c>
      <c r="E27" s="464">
        <f t="shared" si="5"/>
        <v>112.55847513672614</v>
      </c>
      <c r="F27" s="464">
        <f t="shared" si="6"/>
        <v>0</v>
      </c>
      <c r="G27" s="464">
        <f t="shared" si="7"/>
        <v>21250.752873007837</v>
      </c>
      <c r="H27" s="464">
        <f t="shared" si="8"/>
        <v>4134.8104832163963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25499.321702419635</v>
      </c>
    </row>
    <row r="28" spans="1:17">
      <c r="A28" s="459" t="s">
        <v>563</v>
      </c>
      <c r="B28" s="460">
        <f t="shared" ca="1" si="2"/>
        <v>0</v>
      </c>
      <c r="C28" s="460">
        <f t="shared" ca="1" si="3"/>
        <v>0</v>
      </c>
      <c r="D28" s="460">
        <f t="shared" si="4"/>
        <v>0</v>
      </c>
      <c r="E28" s="460">
        <f t="shared" si="5"/>
        <v>0</v>
      </c>
      <c r="F28" s="460">
        <f t="shared" si="6"/>
        <v>0</v>
      </c>
      <c r="G28" s="460">
        <f t="shared" si="7"/>
        <v>227.29277836003672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227.29277836003672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371.56318193813297</v>
      </c>
      <c r="C32" s="460">
        <f t="shared" ca="1" si="3"/>
        <v>0</v>
      </c>
      <c r="D32" s="460">
        <f t="shared" si="4"/>
        <v>646.46833604796439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1018.0315179860974</v>
      </c>
    </row>
    <row r="33" spans="1:17" s="472" customFormat="1">
      <c r="A33" s="469" t="s">
        <v>567</v>
      </c>
      <c r="B33" s="470">
        <f ca="1">SUM(B22:B32)</f>
        <v>27498.274386725414</v>
      </c>
      <c r="C33" s="470">
        <f t="shared" ref="C33:Q33" ca="1" si="19">SUM(C22:C32)</f>
        <v>318.04411764705884</v>
      </c>
      <c r="D33" s="470">
        <f t="shared" ca="1" si="19"/>
        <v>23604.312191905112</v>
      </c>
      <c r="E33" s="470">
        <f t="shared" si="19"/>
        <v>1069.8145637838597</v>
      </c>
      <c r="F33" s="470">
        <f t="shared" ca="1" si="19"/>
        <v>14601.994794486314</v>
      </c>
      <c r="G33" s="470">
        <f t="shared" si="19"/>
        <v>21478.045651367873</v>
      </c>
      <c r="H33" s="470">
        <f t="shared" si="19"/>
        <v>4134.8104832163963</v>
      </c>
      <c r="I33" s="470">
        <f t="shared" si="19"/>
        <v>0</v>
      </c>
      <c r="J33" s="470">
        <f t="shared" si="19"/>
        <v>1197.6919589015572</v>
      </c>
      <c r="K33" s="470">
        <f t="shared" si="19"/>
        <v>0</v>
      </c>
      <c r="L33" s="470">
        <f t="shared" ca="1" si="19"/>
        <v>0</v>
      </c>
      <c r="M33" s="470">
        <f t="shared" si="19"/>
        <v>0</v>
      </c>
      <c r="N33" s="470">
        <f t="shared" ca="1" si="19"/>
        <v>0</v>
      </c>
      <c r="O33" s="470">
        <f t="shared" si="19"/>
        <v>0</v>
      </c>
      <c r="P33" s="470">
        <f t="shared" si="19"/>
        <v>0</v>
      </c>
      <c r="Q33" s="470">
        <f t="shared" ca="1" si="19"/>
        <v>93902.988148033575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1911.0076092871489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2700</v>
      </c>
      <c r="C8" s="1028">
        <f>'SEAP template'!C76</f>
        <v>900</v>
      </c>
      <c r="D8" s="1028">
        <f>'SEAP template'!D76</f>
        <v>0</v>
      </c>
      <c r="E8" s="1028">
        <f>'SEAP template'!E76</f>
        <v>0</v>
      </c>
      <c r="F8" s="1028">
        <f>'SEAP template'!F76</f>
        <v>1058.8235294117646</v>
      </c>
      <c r="G8" s="1028">
        <f>'SEAP template'!G76</f>
        <v>0</v>
      </c>
      <c r="H8" s="1028">
        <f>'SEAP template'!H76</f>
        <v>0</v>
      </c>
      <c r="I8" s="1028">
        <f>'SEAP template'!I76</f>
        <v>3176.4705882352941</v>
      </c>
      <c r="J8" s="1028">
        <f>'SEAP template'!J76</f>
        <v>0</v>
      </c>
      <c r="K8" s="1028">
        <f>'SEAP template'!K76</f>
        <v>0</v>
      </c>
      <c r="L8" s="1028">
        <f>'SEAP template'!L76</f>
        <v>0</v>
      </c>
      <c r="M8" s="1028">
        <f>'SEAP template'!M76</f>
        <v>0</v>
      </c>
      <c r="N8" s="1028">
        <f>'SEAP template'!N76</f>
        <v>0</v>
      </c>
      <c r="O8" s="1028">
        <f>'SEAP template'!O76</f>
        <v>0</v>
      </c>
      <c r="P8" s="1029">
        <f>'SEAP template'!Q76</f>
        <v>282.70588235294116</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4611.0076092871486</v>
      </c>
      <c r="C10" s="1032">
        <f>SUM(C4:C9)</f>
        <v>900</v>
      </c>
      <c r="D10" s="1032">
        <f t="shared" ref="D10:H10" si="0">SUM(D8:D9)</f>
        <v>0</v>
      </c>
      <c r="E10" s="1032">
        <f t="shared" si="0"/>
        <v>0</v>
      </c>
      <c r="F10" s="1032">
        <f t="shared" si="0"/>
        <v>1058.8235294117646</v>
      </c>
      <c r="G10" s="1032">
        <f t="shared" si="0"/>
        <v>0</v>
      </c>
      <c r="H10" s="1032">
        <f t="shared" si="0"/>
        <v>0</v>
      </c>
      <c r="I10" s="1032">
        <f>SUM(I8:I9)</f>
        <v>3176.4705882352941</v>
      </c>
      <c r="J10" s="1032">
        <f>SUM(J8:J9)</f>
        <v>0</v>
      </c>
      <c r="K10" s="1032">
        <f t="shared" ref="K10:L10" si="1">SUM(K8:K9)</f>
        <v>0</v>
      </c>
      <c r="L10" s="1032">
        <f t="shared" si="1"/>
        <v>0</v>
      </c>
      <c r="M10" s="1032">
        <f>SUM(M8:M9)</f>
        <v>0</v>
      </c>
      <c r="N10" s="1032">
        <f>SUM(N8:N9)</f>
        <v>0</v>
      </c>
      <c r="O10" s="1032">
        <f>SUM(O8:O9)</f>
        <v>0</v>
      </c>
      <c r="P10" s="1032">
        <f>SUM(P8:P9)</f>
        <v>282.70588235294116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0.21523656733902308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3037.5</v>
      </c>
      <c r="C17" s="1035">
        <f>'SEAP template'!C87</f>
        <v>1012.5</v>
      </c>
      <c r="D17" s="1029">
        <f>'SEAP template'!D87</f>
        <v>0</v>
      </c>
      <c r="E17" s="1029">
        <f>'SEAP template'!E87</f>
        <v>0</v>
      </c>
      <c r="F17" s="1029">
        <f>'SEAP template'!F87</f>
        <v>1191.1764705882354</v>
      </c>
      <c r="G17" s="1029">
        <f>'SEAP template'!G87</f>
        <v>0</v>
      </c>
      <c r="H17" s="1029">
        <f>'SEAP template'!H87</f>
        <v>0</v>
      </c>
      <c r="I17" s="1029">
        <f>'SEAP template'!I87</f>
        <v>3573.5294117647059</v>
      </c>
      <c r="J17" s="1029">
        <f>'SEAP template'!J87</f>
        <v>0</v>
      </c>
      <c r="K17" s="1029">
        <f>'SEAP template'!K87</f>
        <v>0</v>
      </c>
      <c r="L17" s="1029">
        <f>'SEAP template'!L87</f>
        <v>0</v>
      </c>
      <c r="M17" s="1029">
        <f>'SEAP template'!M87</f>
        <v>0</v>
      </c>
      <c r="N17" s="1029">
        <f>'SEAP template'!N87</f>
        <v>0</v>
      </c>
      <c r="O17" s="1029">
        <f>'SEAP template'!O87</f>
        <v>0</v>
      </c>
      <c r="P17" s="1029">
        <f>'SEAP template'!Q87</f>
        <v>318.04411764705884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3037.5</v>
      </c>
      <c r="C20" s="1032">
        <f>SUM(C17:C19)</f>
        <v>1012.5</v>
      </c>
      <c r="D20" s="1032">
        <f t="shared" ref="D20:H20" si="2">SUM(D17:D19)</f>
        <v>0</v>
      </c>
      <c r="E20" s="1032">
        <f t="shared" si="2"/>
        <v>0</v>
      </c>
      <c r="F20" s="1032">
        <f t="shared" si="2"/>
        <v>1191.1764705882354</v>
      </c>
      <c r="G20" s="1032">
        <f t="shared" si="2"/>
        <v>0</v>
      </c>
      <c r="H20" s="1032">
        <f t="shared" si="2"/>
        <v>0</v>
      </c>
      <c r="I20" s="1032">
        <f>SUM(I17:I19)</f>
        <v>3573.5294117647059</v>
      </c>
      <c r="J20" s="1032">
        <f>SUM(J17:J19)</f>
        <v>0</v>
      </c>
      <c r="K20" s="1032">
        <f t="shared" ref="K20:L20" si="3">SUM(K17:K19)</f>
        <v>0</v>
      </c>
      <c r="L20" s="1032">
        <f t="shared" si="3"/>
        <v>0</v>
      </c>
      <c r="M20" s="1032">
        <f>SUM(M17:M19)</f>
        <v>0</v>
      </c>
      <c r="N20" s="1032">
        <f>SUM(N17:N19)</f>
        <v>0</v>
      </c>
      <c r="O20" s="1032">
        <f>SUM(O17:O19)</f>
        <v>0</v>
      </c>
      <c r="P20" s="1032">
        <f>SUM(P17:P19)</f>
        <v>318.04411764705884</v>
      </c>
    </row>
    <row r="22" spans="1:16">
      <c r="A22" s="473" t="s">
        <v>947</v>
      </c>
      <c r="B22" s="777" t="s">
        <v>941</v>
      </c>
      <c r="C22" s="777">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0.21523656733902308</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0.21523656733902308</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0.21523656733902308</v>
      </c>
      <c r="C29" s="510">
        <f ca="1">'EF ele_warmte'!B22</f>
        <v>7.8529411764705889E-2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7632</v>
      </c>
      <c r="C9" s="336">
        <v>7779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1281</v>
      </c>
    </row>
    <row r="15" spans="1:6">
      <c r="A15" s="1277" t="s">
        <v>184</v>
      </c>
      <c r="B15" s="333">
        <v>12</v>
      </c>
    </row>
    <row r="16" spans="1:6">
      <c r="A16" s="1277" t="s">
        <v>6</v>
      </c>
      <c r="B16" s="333">
        <v>339</v>
      </c>
    </row>
    <row r="17" spans="1:6">
      <c r="A17" s="1277" t="s">
        <v>7</v>
      </c>
      <c r="B17" s="333">
        <v>424</v>
      </c>
    </row>
    <row r="18" spans="1:6">
      <c r="A18" s="1277" t="s">
        <v>8</v>
      </c>
      <c r="B18" s="333">
        <v>457</v>
      </c>
    </row>
    <row r="19" spans="1:6">
      <c r="A19" s="1277" t="s">
        <v>9</v>
      </c>
      <c r="B19" s="333">
        <v>433</v>
      </c>
    </row>
    <row r="20" spans="1:6">
      <c r="A20" s="1277" t="s">
        <v>10</v>
      </c>
      <c r="B20" s="333">
        <v>405</v>
      </c>
    </row>
    <row r="21" spans="1:6">
      <c r="A21" s="1277" t="s">
        <v>11</v>
      </c>
      <c r="B21" s="333">
        <v>771</v>
      </c>
    </row>
    <row r="22" spans="1:6">
      <c r="A22" s="1277" t="s">
        <v>12</v>
      </c>
      <c r="B22" s="333">
        <v>1556</v>
      </c>
    </row>
    <row r="23" spans="1:6">
      <c r="A23" s="1277" t="s">
        <v>13</v>
      </c>
      <c r="B23" s="333">
        <v>42</v>
      </c>
    </row>
    <row r="24" spans="1:6">
      <c r="A24" s="1277" t="s">
        <v>14</v>
      </c>
      <c r="B24" s="333">
        <v>3</v>
      </c>
    </row>
    <row r="25" spans="1:6">
      <c r="A25" s="1277" t="s">
        <v>15</v>
      </c>
      <c r="B25" s="333">
        <v>279</v>
      </c>
    </row>
    <row r="26" spans="1:6">
      <c r="A26" s="1277" t="s">
        <v>16</v>
      </c>
      <c r="B26" s="333">
        <v>21</v>
      </c>
    </row>
    <row r="27" spans="1:6">
      <c r="A27" s="1277" t="s">
        <v>17</v>
      </c>
      <c r="B27" s="333">
        <v>0</v>
      </c>
    </row>
    <row r="28" spans="1:6">
      <c r="A28" s="1277" t="s">
        <v>18</v>
      </c>
      <c r="B28" s="333">
        <v>0</v>
      </c>
    </row>
    <row r="29" spans="1:6">
      <c r="A29" s="1277" t="s">
        <v>957</v>
      </c>
      <c r="B29" s="333">
        <v>63</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153764.88009680601</v>
      </c>
      <c r="E38" s="333">
        <v>1</v>
      </c>
      <c r="F38" s="333">
        <v>415.3810823252</v>
      </c>
    </row>
    <row r="39" spans="1:6">
      <c r="A39" s="1277" t="s">
        <v>30</v>
      </c>
      <c r="B39" s="1277" t="s">
        <v>31</v>
      </c>
      <c r="C39" s="333">
        <v>4400</v>
      </c>
      <c r="D39" s="333">
        <v>72225143.5669934</v>
      </c>
      <c r="E39" s="333">
        <v>7495</v>
      </c>
      <c r="F39" s="333">
        <v>32192340.2462686</v>
      </c>
    </row>
    <row r="40" spans="1:6">
      <c r="A40" s="1277" t="s">
        <v>30</v>
      </c>
      <c r="B40" s="1277" t="s">
        <v>29</v>
      </c>
      <c r="C40" s="333">
        <v>0</v>
      </c>
      <c r="D40" s="333">
        <v>0</v>
      </c>
      <c r="E40" s="333">
        <v>0</v>
      </c>
      <c r="F40" s="333">
        <v>0</v>
      </c>
    </row>
    <row r="41" spans="1:6">
      <c r="A41" s="1277" t="s">
        <v>32</v>
      </c>
      <c r="B41" s="1277" t="s">
        <v>33</v>
      </c>
      <c r="C41" s="333">
        <v>46</v>
      </c>
      <c r="D41" s="333">
        <v>1279524.5876614</v>
      </c>
      <c r="E41" s="333">
        <v>148</v>
      </c>
      <c r="F41" s="333">
        <v>1316068.4777739099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139280.06602959099</v>
      </c>
      <c r="E47" s="333">
        <v>8</v>
      </c>
      <c r="F47" s="333">
        <v>154301.29174158999</v>
      </c>
    </row>
    <row r="48" spans="1:6">
      <c r="A48" s="1277" t="s">
        <v>32</v>
      </c>
      <c r="B48" s="1277" t="s">
        <v>29</v>
      </c>
      <c r="C48" s="333">
        <v>21</v>
      </c>
      <c r="D48" s="333">
        <v>3434044.7389437002</v>
      </c>
      <c r="E48" s="333">
        <v>18</v>
      </c>
      <c r="F48" s="333">
        <v>2535297.9330472699</v>
      </c>
    </row>
    <row r="49" spans="1:6">
      <c r="A49" s="1277" t="s">
        <v>32</v>
      </c>
      <c r="B49" s="1277" t="s">
        <v>40</v>
      </c>
      <c r="C49" s="333">
        <v>0</v>
      </c>
      <c r="D49" s="333">
        <v>0</v>
      </c>
      <c r="E49" s="333">
        <v>0</v>
      </c>
      <c r="F49" s="333">
        <v>0</v>
      </c>
    </row>
    <row r="50" spans="1:6">
      <c r="A50" s="1277" t="s">
        <v>32</v>
      </c>
      <c r="B50" s="1277" t="s">
        <v>41</v>
      </c>
      <c r="C50" s="333">
        <v>11</v>
      </c>
      <c r="D50" s="333">
        <v>31636795.136224899</v>
      </c>
      <c r="E50" s="333">
        <v>19</v>
      </c>
      <c r="F50" s="333">
        <v>72769021.476621896</v>
      </c>
    </row>
    <row r="51" spans="1:6">
      <c r="A51" s="1277" t="s">
        <v>42</v>
      </c>
      <c r="B51" s="1277" t="s">
        <v>43</v>
      </c>
      <c r="C51" s="333">
        <v>16</v>
      </c>
      <c r="D51" s="333">
        <v>582144.179869132</v>
      </c>
      <c r="E51" s="333">
        <v>93</v>
      </c>
      <c r="F51" s="333">
        <v>1312576.6743205499</v>
      </c>
    </row>
    <row r="52" spans="1:6">
      <c r="A52" s="1277" t="s">
        <v>42</v>
      </c>
      <c r="B52" s="1277" t="s">
        <v>29</v>
      </c>
      <c r="C52" s="333">
        <v>1</v>
      </c>
      <c r="D52" s="333">
        <v>19318.947259505399</v>
      </c>
      <c r="E52" s="333">
        <v>12</v>
      </c>
      <c r="F52" s="333">
        <v>291987.90487503097</v>
      </c>
    </row>
    <row r="53" spans="1:6">
      <c r="A53" s="1277" t="s">
        <v>44</v>
      </c>
      <c r="B53" s="1277" t="s">
        <v>45</v>
      </c>
      <c r="C53" s="333">
        <v>161</v>
      </c>
      <c r="D53" s="333">
        <v>3200338.2972671501</v>
      </c>
      <c r="E53" s="333">
        <v>343</v>
      </c>
      <c r="F53" s="333">
        <v>1726301.3740266401</v>
      </c>
    </row>
    <row r="54" spans="1:6">
      <c r="A54" s="1277" t="s">
        <v>46</v>
      </c>
      <c r="B54" s="1277" t="s">
        <v>47</v>
      </c>
      <c r="C54" s="333">
        <v>0</v>
      </c>
      <c r="D54" s="333">
        <v>0</v>
      </c>
      <c r="E54" s="333">
        <v>1</v>
      </c>
      <c r="F54" s="333">
        <v>1081672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31</v>
      </c>
      <c r="D57" s="333">
        <v>1024816.9404626</v>
      </c>
      <c r="E57" s="333">
        <v>60</v>
      </c>
      <c r="F57" s="333">
        <v>938419.79854409106</v>
      </c>
    </row>
    <row r="58" spans="1:6">
      <c r="A58" s="1277" t="s">
        <v>49</v>
      </c>
      <c r="B58" s="1277" t="s">
        <v>51</v>
      </c>
      <c r="C58" s="333">
        <v>10</v>
      </c>
      <c r="D58" s="333">
        <v>391223.89766312798</v>
      </c>
      <c r="E58" s="333">
        <v>34</v>
      </c>
      <c r="F58" s="333">
        <v>655100.15676173905</v>
      </c>
    </row>
    <row r="59" spans="1:6">
      <c r="A59" s="1277" t="s">
        <v>49</v>
      </c>
      <c r="B59" s="1277" t="s">
        <v>52</v>
      </c>
      <c r="C59" s="333">
        <v>58</v>
      </c>
      <c r="D59" s="333">
        <v>2419889.0566897402</v>
      </c>
      <c r="E59" s="333">
        <v>186</v>
      </c>
      <c r="F59" s="333">
        <v>5299675.4585748697</v>
      </c>
    </row>
    <row r="60" spans="1:6">
      <c r="A60" s="1277" t="s">
        <v>49</v>
      </c>
      <c r="B60" s="1277" t="s">
        <v>53</v>
      </c>
      <c r="C60" s="333">
        <v>54</v>
      </c>
      <c r="D60" s="333">
        <v>2213970.91799556</v>
      </c>
      <c r="E60" s="333">
        <v>65</v>
      </c>
      <c r="F60" s="333">
        <v>1383641.6964670999</v>
      </c>
    </row>
    <row r="61" spans="1:6">
      <c r="A61" s="1277" t="s">
        <v>49</v>
      </c>
      <c r="B61" s="1277" t="s">
        <v>54</v>
      </c>
      <c r="C61" s="333">
        <v>85</v>
      </c>
      <c r="D61" s="333">
        <v>4379496.9401331702</v>
      </c>
      <c r="E61" s="333">
        <v>227</v>
      </c>
      <c r="F61" s="333">
        <v>2913457.26497088</v>
      </c>
    </row>
    <row r="62" spans="1:6">
      <c r="A62" s="1277" t="s">
        <v>49</v>
      </c>
      <c r="B62" s="1277" t="s">
        <v>55</v>
      </c>
      <c r="C62" s="333">
        <v>7</v>
      </c>
      <c r="D62" s="333">
        <v>615310.85829509306</v>
      </c>
      <c r="E62" s="333">
        <v>10</v>
      </c>
      <c r="F62" s="333">
        <v>131118.093916543</v>
      </c>
    </row>
    <row r="63" spans="1:6">
      <c r="A63" s="1277" t="s">
        <v>49</v>
      </c>
      <c r="B63" s="1277" t="s">
        <v>29</v>
      </c>
      <c r="C63" s="333">
        <v>82</v>
      </c>
      <c r="D63" s="333">
        <v>5634150.9799039904</v>
      </c>
      <c r="E63" s="333">
        <v>103</v>
      </c>
      <c r="F63" s="333">
        <v>1409097.0619952099</v>
      </c>
    </row>
    <row r="64" spans="1:6">
      <c r="A64" s="1277" t="s">
        <v>56</v>
      </c>
      <c r="B64" s="1277" t="s">
        <v>57</v>
      </c>
      <c r="C64" s="333">
        <v>0</v>
      </c>
      <c r="D64" s="333">
        <v>0</v>
      </c>
      <c r="E64" s="333">
        <v>0</v>
      </c>
      <c r="F64" s="333">
        <v>0</v>
      </c>
    </row>
    <row r="65" spans="1:6">
      <c r="A65" s="1277" t="s">
        <v>56</v>
      </c>
      <c r="B65" s="1277" t="s">
        <v>29</v>
      </c>
      <c r="C65" s="333">
        <v>2</v>
      </c>
      <c r="D65" s="333">
        <v>58579.162504286003</v>
      </c>
      <c r="E65" s="333">
        <v>2</v>
      </c>
      <c r="F65" s="333">
        <v>12734.571511800301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136224.61272165299</v>
      </c>
      <c r="E68" s="333">
        <v>13</v>
      </c>
      <c r="F68" s="333">
        <v>138091.823791148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35740548</v>
      </c>
      <c r="E73" s="333">
        <v>36645883.594464771</v>
      </c>
      <c r="F73" s="333">
        <v>35210073</v>
      </c>
    </row>
    <row r="74" spans="1:6">
      <c r="A74" s="1277" t="s">
        <v>64</v>
      </c>
      <c r="B74" s="1277" t="s">
        <v>774</v>
      </c>
      <c r="C74" s="1288" t="s">
        <v>775</v>
      </c>
      <c r="D74" s="333">
        <v>2863271.3844464798</v>
      </c>
      <c r="E74" s="333">
        <v>2903282.8421549238</v>
      </c>
      <c r="F74" s="333">
        <v>2893930.8786671879</v>
      </c>
    </row>
    <row r="75" spans="1:6">
      <c r="A75" s="1277" t="s">
        <v>65</v>
      </c>
      <c r="B75" s="1277" t="s">
        <v>772</v>
      </c>
      <c r="C75" s="1288" t="s">
        <v>776</v>
      </c>
      <c r="D75" s="333">
        <v>62711837</v>
      </c>
      <c r="E75" s="333">
        <v>70440258.905961633</v>
      </c>
      <c r="F75" s="333">
        <v>60290438</v>
      </c>
    </row>
    <row r="76" spans="1:6">
      <c r="A76" s="1277" t="s">
        <v>65</v>
      </c>
      <c r="B76" s="1277" t="s">
        <v>774</v>
      </c>
      <c r="C76" s="1288" t="s">
        <v>777</v>
      </c>
      <c r="D76" s="333">
        <v>3738114.3844464798</v>
      </c>
      <c r="E76" s="333">
        <v>4153239.4720688718</v>
      </c>
      <c r="F76" s="333">
        <v>3592456.8786671879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233399.23110704069</v>
      </c>
      <c r="C83" s="333">
        <v>213240.01300208521</v>
      </c>
      <c r="D83" s="333">
        <v>210168.2426656241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1647.5134508170111</v>
      </c>
    </row>
    <row r="92" spans="1:6">
      <c r="A92" s="1273" t="s">
        <v>69</v>
      </c>
      <c r="B92" s="336">
        <v>263.49415847013773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2589</v>
      </c>
    </row>
    <row r="98" spans="1:6">
      <c r="A98" s="1277" t="s">
        <v>72</v>
      </c>
      <c r="B98" s="333">
        <v>0</v>
      </c>
    </row>
    <row r="99" spans="1:6">
      <c r="A99" s="1277" t="s">
        <v>73</v>
      </c>
      <c r="B99" s="333">
        <v>69</v>
      </c>
    </row>
    <row r="100" spans="1:6">
      <c r="A100" s="1277" t="s">
        <v>74</v>
      </c>
      <c r="B100" s="333">
        <v>547</v>
      </c>
    </row>
    <row r="101" spans="1:6">
      <c r="A101" s="1277" t="s">
        <v>75</v>
      </c>
      <c r="B101" s="333">
        <v>86</v>
      </c>
    </row>
    <row r="102" spans="1:6">
      <c r="A102" s="1277" t="s">
        <v>76</v>
      </c>
      <c r="B102" s="333">
        <v>115</v>
      </c>
    </row>
    <row r="103" spans="1:6">
      <c r="A103" s="1277" t="s">
        <v>77</v>
      </c>
      <c r="B103" s="333">
        <v>283</v>
      </c>
    </row>
    <row r="104" spans="1:6">
      <c r="A104" s="1277" t="s">
        <v>78</v>
      </c>
      <c r="B104" s="333">
        <v>3142</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1</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127758.37640735264</v>
      </c>
      <c r="C3" s="43" t="s">
        <v>170</v>
      </c>
      <c r="D3" s="43"/>
      <c r="E3" s="156"/>
      <c r="F3" s="43"/>
      <c r="G3" s="43"/>
      <c r="H3" s="43"/>
      <c r="I3" s="43"/>
      <c r="J3" s="43"/>
      <c r="K3" s="96"/>
    </row>
    <row r="4" spans="1:11">
      <c r="A4" s="364" t="s">
        <v>171</v>
      </c>
      <c r="B4" s="49">
        <f>IF(ISERROR('SEAP template'!B78),0,'SEAP template'!B78)</f>
        <v>4611.0076092871486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282.70588235294116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0.21523656733902308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318.04411764705884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4050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7.8529411764705889E-2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1081.672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1081.672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0.21523656733902308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232.81536826673579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32192.340246268599</v>
      </c>
      <c r="C5" s="17">
        <f>IF(ISERROR('Eigen informatie GS &amp; warmtenet'!B57),0,'Eigen informatie GS &amp; warmtenet'!B57)</f>
        <v>0</v>
      </c>
      <c r="D5" s="30">
        <f>(SUM(HH_hh_gas_kWh,HH_rest_gas_kWh)/1000)*0.902</f>
        <v>65147.079497428051</v>
      </c>
      <c r="E5" s="17">
        <f>B46*B57</f>
        <v>3242.9773057782486</v>
      </c>
      <c r="F5" s="17">
        <f>B51*B62</f>
        <v>34479.064271867472</v>
      </c>
      <c r="G5" s="18"/>
      <c r="H5" s="17"/>
      <c r="I5" s="17"/>
      <c r="J5" s="17">
        <f>B50*B61+C50*C61</f>
        <v>2923.108327633101</v>
      </c>
      <c r="K5" s="17"/>
      <c r="L5" s="17"/>
      <c r="M5" s="17"/>
      <c r="N5" s="17">
        <f>B48*B59+C48*C59</f>
        <v>11694.810013594641</v>
      </c>
      <c r="O5" s="17">
        <f>B69*B70*B71</f>
        <v>64.096666666666678</v>
      </c>
      <c r="P5" s="17">
        <f>B77*B78*B79/1000-B77*B78*B79/1000/B80</f>
        <v>266.93333333333334</v>
      </c>
    </row>
    <row r="6" spans="1:16">
      <c r="A6" s="16" t="s">
        <v>632</v>
      </c>
      <c r="B6" s="779">
        <f>kWh_PV_kleiner_dan_10kW</f>
        <v>1647.5134508170111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33839.853697085608</v>
      </c>
      <c r="C8" s="21">
        <f>C5</f>
        <v>0</v>
      </c>
      <c r="D8" s="21">
        <f>D5</f>
        <v>65147.079497428051</v>
      </c>
      <c r="E8" s="21">
        <f>E5</f>
        <v>3242.9773057782486</v>
      </c>
      <c r="F8" s="21">
        <f>F5</f>
        <v>34479.064271867472</v>
      </c>
      <c r="G8" s="21"/>
      <c r="H8" s="21"/>
      <c r="I8" s="21"/>
      <c r="J8" s="21">
        <f>J5</f>
        <v>2923.108327633101</v>
      </c>
      <c r="K8" s="21"/>
      <c r="L8" s="21">
        <f>L5</f>
        <v>0</v>
      </c>
      <c r="M8" s="21">
        <f>M5</f>
        <v>0</v>
      </c>
      <c r="N8" s="21">
        <f>N5</f>
        <v>11694.810013594641</v>
      </c>
      <c r="O8" s="21">
        <f>O5</f>
        <v>64.096666666666678</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0.21523656733902308</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7283.5739490154556</v>
      </c>
      <c r="C12" s="23">
        <f ca="1">C10*C8</f>
        <v>0</v>
      </c>
      <c r="D12" s="23">
        <f>D8*D10</f>
        <v>13159.710058480467</v>
      </c>
      <c r="E12" s="23">
        <f>E10*E8</f>
        <v>736.15584841166242</v>
      </c>
      <c r="F12" s="23">
        <f>F10*F8</f>
        <v>9205.9101605886153</v>
      </c>
      <c r="G12" s="23"/>
      <c r="H12" s="23"/>
      <c r="I12" s="23"/>
      <c r="J12" s="23">
        <f>J10*J8</f>
        <v>1034.7803479821177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2589</v>
      </c>
      <c r="C18" s="167" t="s">
        <v>111</v>
      </c>
      <c r="D18" s="229"/>
      <c r="E18" s="15"/>
    </row>
    <row r="19" spans="1:7">
      <c r="A19" s="172" t="s">
        <v>72</v>
      </c>
      <c r="B19" s="37">
        <f>aantalw2001_ander</f>
        <v>0</v>
      </c>
      <c r="C19" s="167" t="s">
        <v>111</v>
      </c>
      <c r="D19" s="230"/>
      <c r="E19" s="15"/>
    </row>
    <row r="20" spans="1:7">
      <c r="A20" s="172" t="s">
        <v>73</v>
      </c>
      <c r="B20" s="37">
        <f>aantalw2001_propaan</f>
        <v>69</v>
      </c>
      <c r="C20" s="168">
        <f>IF(ISERROR(B20/SUM($B$20,$B$21,$B$22)*100),0,B20/SUM($B$20,$B$21,$B$22)*100)</f>
        <v>9.8290598290598297</v>
      </c>
      <c r="D20" s="230"/>
      <c r="E20" s="15"/>
    </row>
    <row r="21" spans="1:7">
      <c r="A21" s="172" t="s">
        <v>74</v>
      </c>
      <c r="B21" s="37">
        <f>aantalw2001_elektriciteit</f>
        <v>547</v>
      </c>
      <c r="C21" s="168">
        <f>IF(ISERROR(B21/SUM($B$20,$B$21,$B$22)*100),0,B21/SUM($B$20,$B$21,$B$22)*100)</f>
        <v>77.92022792022793</v>
      </c>
      <c r="D21" s="230"/>
      <c r="E21" s="15"/>
    </row>
    <row r="22" spans="1:7">
      <c r="A22" s="172" t="s">
        <v>75</v>
      </c>
      <c r="B22" s="37">
        <f>aantalw2001_hout</f>
        <v>86</v>
      </c>
      <c r="C22" s="168">
        <f>IF(ISERROR(B22/SUM($B$20,$B$21,$B$22)*100),0,B22/SUM($B$20,$B$21,$B$22)*100)</f>
        <v>12.250712250712251</v>
      </c>
      <c r="D22" s="230"/>
      <c r="E22" s="15"/>
    </row>
    <row r="23" spans="1:7">
      <c r="A23" s="172" t="s">
        <v>76</v>
      </c>
      <c r="B23" s="37">
        <f>aantalw2001_niet_gespec</f>
        <v>115</v>
      </c>
      <c r="C23" s="167" t="s">
        <v>111</v>
      </c>
      <c r="D23" s="229"/>
      <c r="E23" s="15"/>
    </row>
    <row r="24" spans="1:7">
      <c r="A24" s="172" t="s">
        <v>77</v>
      </c>
      <c r="B24" s="37">
        <f>aantalw2001_steenkool</f>
        <v>283</v>
      </c>
      <c r="C24" s="167" t="s">
        <v>111</v>
      </c>
      <c r="D24" s="230"/>
      <c r="E24" s="15"/>
    </row>
    <row r="25" spans="1:7">
      <c r="A25" s="172" t="s">
        <v>78</v>
      </c>
      <c r="B25" s="37">
        <f>aantalw2001_stookolie</f>
        <v>3142</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7632</v>
      </c>
      <c r="C28" s="36"/>
      <c r="D28" s="229"/>
    </row>
    <row r="29" spans="1:7" s="15" customFormat="1">
      <c r="A29" s="231" t="s">
        <v>713</v>
      </c>
      <c r="B29" s="37">
        <f>SUM(HH_hh_gas_aantal,HH_rest_gas_aantal)</f>
        <v>4400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4400</v>
      </c>
      <c r="C32" s="168">
        <f>IF(ISERROR(B32/SUM($B$32,$B$34,$B$35,$B$36,$B$38,$B$39)*100),0,B32/SUM($B$32,$B$34,$B$35,$B$36,$B$38,$B$39)*100)</f>
        <v>57.757941716986082</v>
      </c>
      <c r="D32" s="234"/>
      <c r="G32" s="15"/>
    </row>
    <row r="33" spans="1:7">
      <c r="A33" s="172" t="s">
        <v>72</v>
      </c>
      <c r="B33" s="34" t="s">
        <v>111</v>
      </c>
      <c r="C33" s="168"/>
      <c r="D33" s="234"/>
      <c r="G33" s="15"/>
    </row>
    <row r="34" spans="1:7">
      <c r="A34" s="172" t="s">
        <v>73</v>
      </c>
      <c r="B34" s="33">
        <f>IF((($B$28-$B$32-$B$39-$B$77-$B$38)*C20/100)&lt;0,0,($B$28-$B$32-$B$39-$B$77-$B$38)*C20/100)</f>
        <v>157.65811965811966</v>
      </c>
      <c r="C34" s="168">
        <f>IF(ISERROR(B34/SUM($B$32,$B$34,$B$35,$B$36,$B$38,$B$39)*100),0,B34/SUM($B$32,$B$34,$B$35,$B$36,$B$38,$B$39)*100)</f>
        <v>2.0695473832780213</v>
      </c>
      <c r="D34" s="234"/>
      <c r="G34" s="15"/>
    </row>
    <row r="35" spans="1:7">
      <c r="A35" s="172" t="s">
        <v>74</v>
      </c>
      <c r="B35" s="33">
        <f>IF((($B$28-$B$32-$B$39-$B$77-$B$38)*C21/100)&lt;0,0,($B$28-$B$32-$B$39-$B$77-$B$38)*C21/100)</f>
        <v>1249.8404558404559</v>
      </c>
      <c r="C35" s="168">
        <f>IF(ISERROR(B35/SUM($B$32,$B$34,$B$35,$B$36,$B$38,$B$39)*100),0,B35/SUM($B$32,$B$34,$B$35,$B$36,$B$38,$B$39)*100)</f>
        <v>16.406411864537358</v>
      </c>
      <c r="D35" s="234"/>
      <c r="G35" s="15"/>
    </row>
    <row r="36" spans="1:7">
      <c r="A36" s="172" t="s">
        <v>75</v>
      </c>
      <c r="B36" s="33">
        <f>IF((($B$28-$B$32-$B$39-$B$77-$B$38)*C22/100)&lt;0,0,($B$28-$B$32-$B$39-$B$77-$B$38)*C22/100)</f>
        <v>196.50142450142451</v>
      </c>
      <c r="C36" s="168">
        <f>IF(ISERROR(B36/SUM($B$32,$B$34,$B$35,$B$36,$B$38,$B$39)*100),0,B36/SUM($B$32,$B$34,$B$35,$B$36,$B$38,$B$39)*100)</f>
        <v>2.579435869013186</v>
      </c>
      <c r="D36" s="234"/>
      <c r="G36" s="15"/>
    </row>
    <row r="37" spans="1:7">
      <c r="A37" s="172" t="s">
        <v>76</v>
      </c>
      <c r="B37" s="34" t="s">
        <v>111</v>
      </c>
      <c r="C37" s="168"/>
      <c r="D37" s="174"/>
      <c r="G37" s="15"/>
    </row>
    <row r="38" spans="1:7">
      <c r="A38" s="172" t="s">
        <v>77</v>
      </c>
      <c r="B38" s="33">
        <f>IF((B24-(B29-B18)*0.1)&lt;0,0,B24-(B29-B18)*0.1)</f>
        <v>101.89999999999998</v>
      </c>
      <c r="C38" s="168">
        <f>IF(ISERROR(B38/SUM($B$32,$B$34,$B$35,$B$36,$B$38,$B$39)*100),0,B38/SUM($B$32,$B$34,$B$35,$B$36,$B$38,$B$39)*100)</f>
        <v>1.3376214229456547</v>
      </c>
      <c r="D38" s="235"/>
      <c r="G38" s="15"/>
    </row>
    <row r="39" spans="1:7">
      <c r="A39" s="172" t="s">
        <v>78</v>
      </c>
      <c r="B39" s="33">
        <f>IF((B25-(B29-B18))&lt;0,0,B25-(B29-B18)*0.9)</f>
        <v>1512.1</v>
      </c>
      <c r="C39" s="168">
        <f>IF(ISERROR(B39/SUM($B$32,$B$34,$B$35,$B$36,$B$38,$B$39)*100),0,B39/SUM($B$32,$B$34,$B$35,$B$36,$B$38,$B$39)*100)</f>
        <v>19.849041743239695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4400</v>
      </c>
      <c r="C44" s="34" t="s">
        <v>111</v>
      </c>
      <c r="D44" s="175"/>
    </row>
    <row r="45" spans="1:7">
      <c r="A45" s="172" t="s">
        <v>72</v>
      </c>
      <c r="B45" s="33" t="str">
        <f t="shared" si="0"/>
        <v>-</v>
      </c>
      <c r="C45" s="34" t="s">
        <v>111</v>
      </c>
      <c r="D45" s="175"/>
    </row>
    <row r="46" spans="1:7">
      <c r="A46" s="172" t="s">
        <v>73</v>
      </c>
      <c r="B46" s="33">
        <f t="shared" si="0"/>
        <v>157.65811965811966</v>
      </c>
      <c r="C46" s="34" t="s">
        <v>111</v>
      </c>
      <c r="D46" s="175"/>
    </row>
    <row r="47" spans="1:7">
      <c r="A47" s="172" t="s">
        <v>74</v>
      </c>
      <c r="B47" s="33">
        <f t="shared" si="0"/>
        <v>1249.8404558404559</v>
      </c>
      <c r="C47" s="34" t="s">
        <v>111</v>
      </c>
      <c r="D47" s="175"/>
    </row>
    <row r="48" spans="1:7">
      <c r="A48" s="172" t="s">
        <v>75</v>
      </c>
      <c r="B48" s="33">
        <f t="shared" si="0"/>
        <v>196.50142450142451</v>
      </c>
      <c r="C48" s="33">
        <f>B48*10</f>
        <v>1965.014245014245</v>
      </c>
      <c r="D48" s="235"/>
    </row>
    <row r="49" spans="1:6">
      <c r="A49" s="172" t="s">
        <v>76</v>
      </c>
      <c r="B49" s="33" t="str">
        <f t="shared" si="0"/>
        <v>-</v>
      </c>
      <c r="C49" s="34" t="s">
        <v>111</v>
      </c>
      <c r="D49" s="235"/>
    </row>
    <row r="50" spans="1:6">
      <c r="A50" s="172" t="s">
        <v>77</v>
      </c>
      <c r="B50" s="33">
        <f t="shared" si="0"/>
        <v>101.89999999999998</v>
      </c>
      <c r="C50" s="33">
        <f>B50*2</f>
        <v>203.79999999999995</v>
      </c>
      <c r="D50" s="235"/>
    </row>
    <row r="51" spans="1:6">
      <c r="A51" s="172" t="s">
        <v>78</v>
      </c>
      <c r="B51" s="33">
        <f t="shared" si="0"/>
        <v>1512.1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12730.509531230431</v>
      </c>
      <c r="C5" s="17">
        <f>IF(ISERROR('Eigen informatie GS &amp; warmtenet'!B58),0,'Eigen informatie GS &amp; warmtenet'!B58)</f>
        <v>0</v>
      </c>
      <c r="D5" s="30">
        <f>SUM(D6:D12)</f>
        <v>15044.331351211242</v>
      </c>
      <c r="E5" s="17">
        <f>SUM(E6:E12)</f>
        <v>243.55931381481767</v>
      </c>
      <c r="F5" s="17">
        <f>SUM(F6:F12)</f>
        <v>2282.9626036459435</v>
      </c>
      <c r="G5" s="18"/>
      <c r="H5" s="17"/>
      <c r="I5" s="17"/>
      <c r="J5" s="17">
        <f>SUM(J6:J12)</f>
        <v>0</v>
      </c>
      <c r="K5" s="17"/>
      <c r="L5" s="17"/>
      <c r="M5" s="17"/>
      <c r="N5" s="17">
        <f>SUM(N6:N12)</f>
        <v>287.29827643178675</v>
      </c>
      <c r="O5" s="17">
        <f>B38*B39*B40</f>
        <v>1.5633333333333335</v>
      </c>
      <c r="P5" s="17">
        <f>B46*B47*B48/1000-B46*B47*B48/1000/B49</f>
        <v>0</v>
      </c>
      <c r="R5" s="32"/>
    </row>
    <row r="6" spans="1:18">
      <c r="A6" s="32" t="s">
        <v>54</v>
      </c>
      <c r="B6" s="37">
        <f>B26</f>
        <v>2913.4572649708798</v>
      </c>
      <c r="C6" s="33"/>
      <c r="D6" s="37">
        <f>IF(ISERROR(TER_kantoor_gas_kWh/1000),0,TER_kantoor_gas_kWh/1000)*0.902</f>
        <v>3950.3062400001195</v>
      </c>
      <c r="E6" s="33">
        <f>$C$26*'E Balans VL '!I12/100/3.6*1000000</f>
        <v>101.9824650766938</v>
      </c>
      <c r="F6" s="33">
        <f>$C$26*('E Balans VL '!L12+'E Balans VL '!N12)/100/3.6*1000000</f>
        <v>441.74267268411757</v>
      </c>
      <c r="G6" s="34"/>
      <c r="H6" s="33"/>
      <c r="I6" s="33"/>
      <c r="J6" s="33">
        <f>$C$26*('E Balans VL '!D12+'E Balans VL '!E12)/100/3.6*1000000</f>
        <v>0</v>
      </c>
      <c r="K6" s="33"/>
      <c r="L6" s="33"/>
      <c r="M6" s="33"/>
      <c r="N6" s="33">
        <f>$C$26*'E Balans VL '!Y12/100/3.6*1000000</f>
        <v>22.520112771197223</v>
      </c>
      <c r="O6" s="33"/>
      <c r="P6" s="33"/>
      <c r="R6" s="32"/>
    </row>
    <row r="7" spans="1:18">
      <c r="A7" s="32" t="s">
        <v>53</v>
      </c>
      <c r="B7" s="37">
        <f t="shared" ref="B7:B12" si="0">B27</f>
        <v>1383.6416964671</v>
      </c>
      <c r="C7" s="33"/>
      <c r="D7" s="37">
        <f>IF(ISERROR(TER_horeca_gas_kWh/1000),0,TER_horeca_gas_kWh/1000)*0.902</f>
        <v>1997.001768031995</v>
      </c>
      <c r="E7" s="33">
        <f>$C$27*'E Balans VL '!I9/100/3.6*1000000</f>
        <v>78.055789634646487</v>
      </c>
      <c r="F7" s="33">
        <f>$C$27*('E Balans VL '!L9+'E Balans VL '!N9)/100/3.6*1000000</f>
        <v>241.03804069603052</v>
      </c>
      <c r="G7" s="34"/>
      <c r="H7" s="33"/>
      <c r="I7" s="33"/>
      <c r="J7" s="33">
        <f>$C$27*('E Balans VL '!D9+'E Balans VL '!E9)/100/3.6*1000000</f>
        <v>0</v>
      </c>
      <c r="K7" s="33"/>
      <c r="L7" s="33"/>
      <c r="M7" s="33"/>
      <c r="N7" s="33">
        <f>$C$27*'E Balans VL '!Y9/100/3.6*1000000</f>
        <v>0</v>
      </c>
      <c r="O7" s="33"/>
      <c r="P7" s="33"/>
      <c r="R7" s="32"/>
    </row>
    <row r="8" spans="1:18">
      <c r="A8" s="6" t="s">
        <v>52</v>
      </c>
      <c r="B8" s="37">
        <f t="shared" si="0"/>
        <v>5299.6754585748695</v>
      </c>
      <c r="C8" s="33"/>
      <c r="D8" s="37">
        <f>IF(ISERROR(TER_handel_gas_kWh/1000),0,TER_handel_gas_kWh/1000)*0.902</f>
        <v>2182.7399291341458</v>
      </c>
      <c r="E8" s="33">
        <f>$C$28*'E Balans VL '!I13/100/3.6*1000000</f>
        <v>27.207995365105976</v>
      </c>
      <c r="F8" s="33">
        <f>$C$28*('E Balans VL '!L13+'E Balans VL '!N13)/100/3.6*1000000</f>
        <v>817.12806732019953</v>
      </c>
      <c r="G8" s="34"/>
      <c r="H8" s="33"/>
      <c r="I8" s="33"/>
      <c r="J8" s="33">
        <f>$C$28*('E Balans VL '!D13+'E Balans VL '!E13)/100/3.6*1000000</f>
        <v>0</v>
      </c>
      <c r="K8" s="33"/>
      <c r="L8" s="33"/>
      <c r="M8" s="33"/>
      <c r="N8" s="33">
        <f>$C$28*'E Balans VL '!Y13/100/3.6*1000000</f>
        <v>2.4787229032221232</v>
      </c>
      <c r="O8" s="33"/>
      <c r="P8" s="33"/>
      <c r="R8" s="32"/>
    </row>
    <row r="9" spans="1:18">
      <c r="A9" s="32" t="s">
        <v>51</v>
      </c>
      <c r="B9" s="37">
        <f t="shared" si="0"/>
        <v>655.10015676173907</v>
      </c>
      <c r="C9" s="33"/>
      <c r="D9" s="37">
        <f>IF(ISERROR(TER_gezond_gas_kWh/1000),0,TER_gezond_gas_kWh/1000)*0.902</f>
        <v>352.8839556921414</v>
      </c>
      <c r="E9" s="33">
        <f>$C$29*'E Balans VL '!I10/100/3.6*1000000</f>
        <v>0.2715343495216333</v>
      </c>
      <c r="F9" s="33">
        <f>$C$29*('E Balans VL '!L10+'E Balans VL '!N10)/100/3.6*1000000</f>
        <v>161.34177322089366</v>
      </c>
      <c r="G9" s="34"/>
      <c r="H9" s="33"/>
      <c r="I9" s="33"/>
      <c r="J9" s="33">
        <f>$C$29*('E Balans VL '!D10+'E Balans VL '!E10)/100/3.6*1000000</f>
        <v>0</v>
      </c>
      <c r="K9" s="33"/>
      <c r="L9" s="33"/>
      <c r="M9" s="33"/>
      <c r="N9" s="33">
        <f>$C$29*'E Balans VL '!Y10/100/3.6*1000000</f>
        <v>5.6616868092741326</v>
      </c>
      <c r="O9" s="33"/>
      <c r="P9" s="33"/>
      <c r="R9" s="32"/>
    </row>
    <row r="10" spans="1:18">
      <c r="A10" s="32" t="s">
        <v>50</v>
      </c>
      <c r="B10" s="37">
        <f t="shared" si="0"/>
        <v>938.41979854409101</v>
      </c>
      <c r="C10" s="33"/>
      <c r="D10" s="37">
        <f>IF(ISERROR(TER_ander_gas_kWh/1000),0,TER_ander_gas_kWh/1000)*0.902</f>
        <v>924.38488029726534</v>
      </c>
      <c r="E10" s="33">
        <f>$C$30*'E Balans VL '!I14/100/3.6*1000000</f>
        <v>5.7206302452725515</v>
      </c>
      <c r="F10" s="33">
        <f>$C$30*('E Balans VL '!L14+'E Balans VL '!N14)/100/3.6*1000000</f>
        <v>248.78794348708479</v>
      </c>
      <c r="G10" s="34"/>
      <c r="H10" s="33"/>
      <c r="I10" s="33"/>
      <c r="J10" s="33">
        <f>$C$30*('E Balans VL '!D14+'E Balans VL '!E14)/100/3.6*1000000</f>
        <v>0</v>
      </c>
      <c r="K10" s="33"/>
      <c r="L10" s="33"/>
      <c r="M10" s="33"/>
      <c r="N10" s="33">
        <f>$C$30*'E Balans VL '!Y14/100/3.6*1000000</f>
        <v>216.28548580509508</v>
      </c>
      <c r="O10" s="33"/>
      <c r="P10" s="33"/>
      <c r="R10" s="32"/>
    </row>
    <row r="11" spans="1:18">
      <c r="A11" s="32" t="s">
        <v>55</v>
      </c>
      <c r="B11" s="37">
        <f t="shared" si="0"/>
        <v>131.11809391654299</v>
      </c>
      <c r="C11" s="33"/>
      <c r="D11" s="37">
        <f>IF(ISERROR(TER_onderwijs_gas_kWh/1000),0,TER_onderwijs_gas_kWh/1000)*0.902</f>
        <v>555.01039418217397</v>
      </c>
      <c r="E11" s="33">
        <f>$C$31*'E Balans VL '!I11/100/3.6*1000000</f>
        <v>9.9918814955682819E-2</v>
      </c>
      <c r="F11" s="33">
        <f>$C$31*('E Balans VL '!L11+'E Balans VL '!N11)/100/3.6*1000000</f>
        <v>94.884238328533101</v>
      </c>
      <c r="G11" s="34"/>
      <c r="H11" s="33"/>
      <c r="I11" s="33"/>
      <c r="J11" s="33">
        <f>$C$31*('E Balans VL '!D11+'E Balans VL '!E11)/100/3.6*1000000</f>
        <v>0</v>
      </c>
      <c r="K11" s="33"/>
      <c r="L11" s="33"/>
      <c r="M11" s="33"/>
      <c r="N11" s="33">
        <f>$C$31*'E Balans VL '!Y11/100/3.6*1000000</f>
        <v>0.38643635942548282</v>
      </c>
      <c r="O11" s="33"/>
      <c r="P11" s="33"/>
      <c r="R11" s="32"/>
    </row>
    <row r="12" spans="1:18">
      <c r="A12" s="32" t="s">
        <v>260</v>
      </c>
      <c r="B12" s="37">
        <f t="shared" si="0"/>
        <v>1409.09706199521</v>
      </c>
      <c r="C12" s="33"/>
      <c r="D12" s="37">
        <f>IF(ISERROR(TER_rest_gas_kWh/1000),0,TER_rest_gas_kWh/1000)*0.902</f>
        <v>5082.0041838733996</v>
      </c>
      <c r="E12" s="33">
        <f>$C$32*'E Balans VL '!I8/100/3.6*1000000</f>
        <v>30.220980328621526</v>
      </c>
      <c r="F12" s="33">
        <f>$C$32*('E Balans VL '!L8+'E Balans VL '!N8)/100/3.6*1000000</f>
        <v>278.03986790908482</v>
      </c>
      <c r="G12" s="34"/>
      <c r="H12" s="33"/>
      <c r="I12" s="33"/>
      <c r="J12" s="33">
        <f>$C$32*('E Balans VL '!D8+'E Balans VL '!E8)/100/3.6*1000000</f>
        <v>0</v>
      </c>
      <c r="K12" s="33"/>
      <c r="L12" s="33"/>
      <c r="M12" s="33"/>
      <c r="N12" s="33">
        <f>$C$32*'E Balans VL '!Y8/100/3.6*1000000</f>
        <v>39.965831783572696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12730.509531230431</v>
      </c>
      <c r="C16" s="21">
        <f ca="1">C5+C13+C14</f>
        <v>0</v>
      </c>
      <c r="D16" s="21">
        <f t="shared" ref="D16:N16" ca="1" si="1">MAX((D5+D13+D14),0)</f>
        <v>15044.331351211242</v>
      </c>
      <c r="E16" s="21">
        <f t="shared" si="1"/>
        <v>243.55931381481767</v>
      </c>
      <c r="F16" s="21">
        <f t="shared" ca="1" si="1"/>
        <v>2282.9626036459435</v>
      </c>
      <c r="G16" s="21">
        <f t="shared" si="1"/>
        <v>0</v>
      </c>
      <c r="H16" s="21">
        <f t="shared" si="1"/>
        <v>0</v>
      </c>
      <c r="I16" s="21">
        <f t="shared" si="1"/>
        <v>0</v>
      </c>
      <c r="J16" s="21">
        <f t="shared" si="1"/>
        <v>0</v>
      </c>
      <c r="K16" s="21">
        <f t="shared" si="1"/>
        <v>0</v>
      </c>
      <c r="L16" s="21">
        <f t="shared" ca="1" si="1"/>
        <v>0</v>
      </c>
      <c r="M16" s="21">
        <f t="shared" si="1"/>
        <v>0</v>
      </c>
      <c r="N16" s="21">
        <f t="shared" ca="1" si="1"/>
        <v>287.29827643178675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0.21523656733902308</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2740.0711719787537</v>
      </c>
      <c r="C20" s="23">
        <f t="shared" ref="C20:P20" ca="1" si="2">C16*C18</f>
        <v>0</v>
      </c>
      <c r="D20" s="23">
        <f t="shared" ca="1" si="2"/>
        <v>3038.9549329446709</v>
      </c>
      <c r="E20" s="23">
        <f t="shared" si="2"/>
        <v>55.287964235963614</v>
      </c>
      <c r="F20" s="23">
        <f t="shared" ca="1" si="2"/>
        <v>609.55101517346691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2913.4572649708798</v>
      </c>
      <c r="C26" s="39">
        <f>IF(ISERROR(B26*3.6/1000000/'E Balans VL '!Z12*100),0,B26*3.6/1000000/'E Balans VL '!Z12*100)</f>
        <v>6.1308876536124803E-2</v>
      </c>
      <c r="D26" s="238" t="s">
        <v>719</v>
      </c>
      <c r="F26" s="6"/>
    </row>
    <row r="27" spans="1:18">
      <c r="A27" s="232" t="s">
        <v>53</v>
      </c>
      <c r="B27" s="33">
        <f>IF(ISERROR(TER_horeca_ele_kWh/1000),0,TER_horeca_ele_kWh/1000)</f>
        <v>1383.6416964671</v>
      </c>
      <c r="C27" s="39">
        <f>IF(ISERROR(B27*3.6/1000000/'E Balans VL '!Z9*100),0,B27*3.6/1000000/'E Balans VL '!Z9*100)</f>
        <v>0.11714905444270758</v>
      </c>
      <c r="D27" s="238" t="s">
        <v>719</v>
      </c>
      <c r="F27" s="6"/>
    </row>
    <row r="28" spans="1:18">
      <c r="A28" s="172" t="s">
        <v>52</v>
      </c>
      <c r="B28" s="33">
        <f>IF(ISERROR(TER_handel_ele_kWh/1000),0,TER_handel_ele_kWh/1000)</f>
        <v>5299.6754585748695</v>
      </c>
      <c r="C28" s="39">
        <f>IF(ISERROR(B28*3.6/1000000/'E Balans VL '!Z13*100),0,B28*3.6/1000000/'E Balans VL '!Z13*100)</f>
        <v>0.1467207822365803</v>
      </c>
      <c r="D28" s="238" t="s">
        <v>719</v>
      </c>
      <c r="F28" s="6"/>
    </row>
    <row r="29" spans="1:18">
      <c r="A29" s="232" t="s">
        <v>51</v>
      </c>
      <c r="B29" s="33">
        <f>IF(ISERROR(TER_gezond_ele_kWh/1000),0,TER_gezond_ele_kWh/1000)</f>
        <v>655.10015676173907</v>
      </c>
      <c r="C29" s="39">
        <f>IF(ISERROR(B29*3.6/1000000/'E Balans VL '!Z10*100),0,B29*3.6/1000000/'E Balans VL '!Z10*100)</f>
        <v>8.5155757747040151E-2</v>
      </c>
      <c r="D29" s="238" t="s">
        <v>719</v>
      </c>
      <c r="F29" s="6"/>
    </row>
    <row r="30" spans="1:18">
      <c r="A30" s="232" t="s">
        <v>50</v>
      </c>
      <c r="B30" s="33">
        <f>IF(ISERROR(TER_ander_ele_kWh/1000),0,TER_ander_ele_kWh/1000)</f>
        <v>938.41979854409101</v>
      </c>
      <c r="C30" s="39">
        <f>IF(ISERROR(B30*3.6/1000000/'E Balans VL '!Z14*100),0,B30*3.6/1000000/'E Balans VL '!Z14*100)</f>
        <v>7.2736140354138293E-2</v>
      </c>
      <c r="D30" s="238" t="s">
        <v>719</v>
      </c>
      <c r="F30" s="6"/>
    </row>
    <row r="31" spans="1:18">
      <c r="A31" s="232" t="s">
        <v>55</v>
      </c>
      <c r="B31" s="33">
        <f>IF(ISERROR(TER_onderwijs_ele_kWh/1000),0,TER_onderwijs_ele_kWh/1000)</f>
        <v>131.11809391654299</v>
      </c>
      <c r="C31" s="39">
        <f>IF(ISERROR(B31*3.6/1000000/'E Balans VL '!Z11*100),0,B31*3.6/1000000/'E Balans VL '!Z11*100)</f>
        <v>2.5085125571274444E-2</v>
      </c>
      <c r="D31" s="238" t="s">
        <v>719</v>
      </c>
    </row>
    <row r="32" spans="1:18">
      <c r="A32" s="232" t="s">
        <v>260</v>
      </c>
      <c r="B32" s="33">
        <f>IF(ISERROR(TER_rest_ele_kWh/1000),0,TER_rest_ele_kWh/1000)</f>
        <v>1409.09706199521</v>
      </c>
      <c r="C32" s="39">
        <f>IF(ISERROR(B32*3.6/1000000/'E Balans VL '!Z8*100),0,B32*3.6/1000000/'E Balans VL '!Z8*100)</f>
        <v>1.1619087343714533E-2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76774.689179184672</v>
      </c>
      <c r="C5" s="17">
        <f>IF(ISERROR('Eigen informatie GS &amp; warmtenet'!B59),0,'Eigen informatie GS &amp; warmtenet'!B59)</f>
        <v>0</v>
      </c>
      <c r="D5" s="30">
        <f>SUM(D6:D15)</f>
        <v>32913.659365031352</v>
      </c>
      <c r="E5" s="17">
        <f>SUM(E6:E15)</f>
        <v>713.64720741650797</v>
      </c>
      <c r="F5" s="17">
        <f>SUM(F6:F15)</f>
        <v>13308.336595857394</v>
      </c>
      <c r="G5" s="18"/>
      <c r="H5" s="17"/>
      <c r="I5" s="17"/>
      <c r="J5" s="17">
        <f>SUM(J6:J15)</f>
        <v>316.90029185304024</v>
      </c>
      <c r="K5" s="17"/>
      <c r="L5" s="17"/>
      <c r="M5" s="17"/>
      <c r="N5" s="17">
        <f>SUM(N6:N15)</f>
        <v>1207.720051750247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1316.06847777391</v>
      </c>
      <c r="C9" s="33"/>
      <c r="D9" s="37">
        <f>IF( ISERROR(IND_andere_gas_kWh/1000),0,IND_andere_gas_kWh/1000)*0.902</f>
        <v>1154.1311780705828</v>
      </c>
      <c r="E9" s="33">
        <f>C31*'E Balans VL '!I19/100/3.6*1000000</f>
        <v>22.104982319573903</v>
      </c>
      <c r="F9" s="33">
        <f>C31*'E Balans VL '!L19/100/3.6*1000000+C31*'E Balans VL '!N19/100/3.6*1000000</f>
        <v>1028.8273782600556</v>
      </c>
      <c r="G9" s="34"/>
      <c r="H9" s="33"/>
      <c r="I9" s="33"/>
      <c r="J9" s="40">
        <f>C31*'E Balans VL '!D19/100/3.6*1000000+C31*'E Balans VL '!E19/100/3.6*1000000</f>
        <v>0.11869775925218054</v>
      </c>
      <c r="K9" s="33"/>
      <c r="L9" s="33"/>
      <c r="M9" s="33"/>
      <c r="N9" s="33">
        <f>C31*'E Balans VL '!Y19/100/3.6*1000000</f>
        <v>97.541788662913262</v>
      </c>
      <c r="O9" s="33"/>
      <c r="P9" s="33"/>
      <c r="R9" s="32"/>
    </row>
    <row r="10" spans="1:18">
      <c r="A10" s="6" t="s">
        <v>41</v>
      </c>
      <c r="B10" s="37">
        <f t="shared" si="0"/>
        <v>72769.0214766219</v>
      </c>
      <c r="C10" s="33"/>
      <c r="D10" s="37">
        <f>IF( ISERROR(IND_voed_gas_kWh/1000),0,IND_voed_gas_kWh/1000)*0.902</f>
        <v>28536.389212874859</v>
      </c>
      <c r="E10" s="33">
        <f>C32*'E Balans VL '!I20/100/3.6*1000000</f>
        <v>663.91431278727748</v>
      </c>
      <c r="F10" s="33">
        <f>C32*'E Balans VL '!L20/100/3.6*1000000+C32*'E Balans VL '!N20/100/3.6*1000000</f>
        <v>11739.919245969957</v>
      </c>
      <c r="G10" s="34"/>
      <c r="H10" s="33"/>
      <c r="I10" s="33"/>
      <c r="J10" s="40">
        <f>C32*'E Balans VL '!D20/100/3.6*1000000+C32*'E Balans VL '!E20/100/3.6*1000000</f>
        <v>299.7105401206</v>
      </c>
      <c r="K10" s="33"/>
      <c r="L10" s="33"/>
      <c r="M10" s="33"/>
      <c r="N10" s="33">
        <f>C32*'E Balans VL '!Y20/100/3.6*1000000</f>
        <v>1064.5534042191134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154.30129174158998</v>
      </c>
      <c r="C13" s="33"/>
      <c r="D13" s="37">
        <f>IF( ISERROR(IND_papier_gas_kWh/1000),0,IND_papier_gas_kWh/1000)*0.902</f>
        <v>125.63061955869107</v>
      </c>
      <c r="E13" s="33">
        <f>C35*'E Balans VL '!I23/100/3.6*1000000</f>
        <v>4.747448056381903</v>
      </c>
      <c r="F13" s="33">
        <f>C35*'E Balans VL '!L23/100/3.6*1000000+C35*'E Balans VL '!N23/100/3.6*1000000</f>
        <v>32.76355674828347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2535.2979330472699</v>
      </c>
      <c r="C15" s="33"/>
      <c r="D15" s="37">
        <f>IF( ISERROR(IND_rest_gas_kWh/1000),0,IND_rest_gas_kWh/1000)*0.902</f>
        <v>3097.5083545272178</v>
      </c>
      <c r="E15" s="33">
        <f>C37*'E Balans VL '!I15/100/3.6*1000000</f>
        <v>22.880464253274717</v>
      </c>
      <c r="F15" s="33">
        <f>C37*'E Balans VL '!L15/100/3.6*1000000+C37*'E Balans VL '!N15/100/3.6*1000000</f>
        <v>506.82641487909916</v>
      </c>
      <c r="G15" s="34"/>
      <c r="H15" s="33"/>
      <c r="I15" s="33"/>
      <c r="J15" s="40">
        <f>C37*'E Balans VL '!D15/100/3.6*1000000+C37*'E Balans VL '!E15/100/3.6*1000000</f>
        <v>17.071053973188015</v>
      </c>
      <c r="K15" s="33"/>
      <c r="L15" s="33"/>
      <c r="M15" s="33"/>
      <c r="N15" s="33">
        <f>C37*'E Balans VL '!Y15/100/3.6*1000000</f>
        <v>45.624858868220294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76774.689179184672</v>
      </c>
      <c r="C18" s="21">
        <f>C5+C16</f>
        <v>0</v>
      </c>
      <c r="D18" s="21">
        <f>MAX((D5+D16),0)</f>
        <v>32913.659365031352</v>
      </c>
      <c r="E18" s="21">
        <f>MAX((E5+E16),0)</f>
        <v>713.64720741650797</v>
      </c>
      <c r="F18" s="21">
        <f>MAX((F5+F16),0)</f>
        <v>13308.336595857394</v>
      </c>
      <c r="G18" s="21"/>
      <c r="H18" s="21"/>
      <c r="I18" s="21"/>
      <c r="J18" s="21">
        <f>MAX((J5+J16),0)</f>
        <v>316.90029185304024</v>
      </c>
      <c r="K18" s="21"/>
      <c r="L18" s="21">
        <f>MAX((L5+L16),0)</f>
        <v>0</v>
      </c>
      <c r="M18" s="21"/>
      <c r="N18" s="21">
        <f>MAX((N5+N16),0)</f>
        <v>1207.720051750247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0.21523656733902308</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16524.720557448149</v>
      </c>
      <c r="C22" s="23">
        <f ca="1">C18*C20</f>
        <v>0</v>
      </c>
      <c r="D22" s="23">
        <f>D18*D20</f>
        <v>6648.5591917363336</v>
      </c>
      <c r="E22" s="23">
        <f>E18*E20</f>
        <v>161.99791608354732</v>
      </c>
      <c r="F22" s="23">
        <f>F18*F20</f>
        <v>3553.3258710939244</v>
      </c>
      <c r="G22" s="23"/>
      <c r="H22" s="23"/>
      <c r="I22" s="23"/>
      <c r="J22" s="23">
        <f>J18*J20</f>
        <v>112.18270331597624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1316.06847777391</v>
      </c>
      <c r="C31" s="39">
        <f>IF(ISERROR(B31*3.6/1000000/'E Balans VL '!Z19*100),0,B31*3.6/1000000/'E Balans VL '!Z19*100)</f>
        <v>5.8336100110286691E-2</v>
      </c>
      <c r="D31" s="238" t="s">
        <v>719</v>
      </c>
    </row>
    <row r="32" spans="1:18">
      <c r="A32" s="172" t="s">
        <v>41</v>
      </c>
      <c r="B32" s="37">
        <f>IF( ISERROR(IND_voed_ele_kWh/1000),0,IND_voed_ele_kWh/1000)</f>
        <v>72769.0214766219</v>
      </c>
      <c r="C32" s="39">
        <f>IF(ISERROR(B32*3.6/1000000/'E Balans VL '!Z20*100),0,B32*3.6/1000000/'E Balans VL '!Z20*100)</f>
        <v>2.4306940646246065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154.30129174158998</v>
      </c>
      <c r="C35" s="39">
        <f>IF(ISERROR(B35*3.6/1000000/'E Balans VL '!Z22*100),0,B35*3.6/1000000/'E Balans VL '!Z22*100)</f>
        <v>3.0009906340393605E-2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2535.2979330472699</v>
      </c>
      <c r="C37" s="39">
        <f>IF(ISERROR(B37*3.6/1000000/'E Balans VL '!Z15*100),0,B37*3.6/1000000/'E Balans VL '!Z15*100)</f>
        <v>1.8858486268231424E-2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1604.564579195581</v>
      </c>
      <c r="C5" s="17">
        <f>'Eigen informatie GS &amp; warmtenet'!B60</f>
        <v>0</v>
      </c>
      <c r="D5" s="30">
        <f>IF(ISERROR(SUM(LB_lb_gas_kWh,LB_rest_gas_kWh)/1000),0,SUM(LB_lb_gas_kWh,LB_rest_gas_kWh)/1000)*0.902</f>
        <v>542.51974067003096</v>
      </c>
      <c r="E5" s="17">
        <f>B17*'E Balans VL '!I25/3.6*1000000/100</f>
        <v>16.803347647401687</v>
      </c>
      <c r="F5" s="17">
        <f>B17*('E Balans VL '!L25/3.6*1000000+'E Balans VL '!N25/3.6*1000000)/100</f>
        <v>6868.7556091022725</v>
      </c>
      <c r="G5" s="18"/>
      <c r="H5" s="17"/>
      <c r="I5" s="17"/>
      <c r="J5" s="17">
        <f>('E Balans VL '!D25+'E Balans VL '!E25)/3.6*1000000*landbouw!B17/100</f>
        <v>143.30199887984</v>
      </c>
      <c r="K5" s="17"/>
      <c r="L5" s="17">
        <f>L6*(-1)</f>
        <v>6750</v>
      </c>
      <c r="M5" s="17"/>
      <c r="N5" s="17">
        <f>N6*(-1)</f>
        <v>0</v>
      </c>
      <c r="O5" s="17"/>
      <c r="P5" s="17"/>
      <c r="R5" s="32"/>
    </row>
    <row r="6" spans="1:18">
      <c r="A6" s="16" t="s">
        <v>496</v>
      </c>
      <c r="B6" s="17" t="s">
        <v>211</v>
      </c>
      <c r="C6" s="17">
        <f>'lokale energieproductie'!O92+'lokale energieproductie'!O61</f>
        <v>4050</v>
      </c>
      <c r="D6" s="311">
        <f>('lokale energieproductie'!P61+'lokale energieproductie'!P92)*(-1)</f>
        <v>0</v>
      </c>
      <c r="E6" s="249"/>
      <c r="F6" s="311">
        <f>('lokale energieproductie'!S61+'lokale energieproductie'!S92)*(-1)</f>
        <v>-2250</v>
      </c>
      <c r="G6" s="250"/>
      <c r="H6" s="249"/>
      <c r="I6" s="249"/>
      <c r="J6" s="249"/>
      <c r="K6" s="249"/>
      <c r="L6" s="311">
        <f>('lokale energieproductie'!T61+'lokale energieproductie'!U61+'lokale energieproductie'!T92+'lokale energieproductie'!U92)*(-1)</f>
        <v>-6750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1604.564579195581</v>
      </c>
      <c r="C8" s="21">
        <f>C5+C6</f>
        <v>4050</v>
      </c>
      <c r="D8" s="21">
        <f>MAX((D5+D6),0)</f>
        <v>542.51974067003096</v>
      </c>
      <c r="E8" s="21">
        <f>MAX((E5+E6),0)</f>
        <v>16.803347647401687</v>
      </c>
      <c r="F8" s="21">
        <f>MAX((F5+F6),0)</f>
        <v>4618.7556091022725</v>
      </c>
      <c r="G8" s="21"/>
      <c r="H8" s="21"/>
      <c r="I8" s="21"/>
      <c r="J8" s="21">
        <f>MAX((J5+J6),0)</f>
        <v>143.30199887984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0.21523656733902308</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345.36097209984092</v>
      </c>
      <c r="C12" s="23">
        <f ca="1">C8*C10</f>
        <v>318.04411764705884</v>
      </c>
      <c r="D12" s="23">
        <f>D8*D10</f>
        <v>109.58898761534626</v>
      </c>
      <c r="E12" s="23">
        <f>E8*E10</f>
        <v>3.8143599159601829</v>
      </c>
      <c r="F12" s="23">
        <f>F8*F10</f>
        <v>1233.2077476303068</v>
      </c>
      <c r="G12" s="23"/>
      <c r="H12" s="23"/>
      <c r="I12" s="23"/>
      <c r="J12" s="23">
        <f>J8*J10</f>
        <v>50.728907603463355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0.24697346255849198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147.34322273511356</v>
      </c>
      <c r="C26" s="248">
        <f>B26*'GWP N2O_CH4'!B5</f>
        <v>3094.2076774373845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32.407573400893199</v>
      </c>
      <c r="C27" s="248">
        <f>B27*'GWP N2O_CH4'!B5</f>
        <v>680.55904141875715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1.98010631889785</v>
      </c>
      <c r="C28" s="248">
        <f>B28*'GWP N2O_CH4'!B4</f>
        <v>613.83295885833354</v>
      </c>
      <c r="D28" s="50"/>
    </row>
    <row r="29" spans="1:4">
      <c r="A29" s="41" t="s">
        <v>277</v>
      </c>
      <c r="B29" s="248">
        <f>B34*'ha_N2O bodem landbouw'!B4</f>
        <v>11.525236890601116</v>
      </c>
      <c r="C29" s="248">
        <f>B29*'GWP N2O_CH4'!B4</f>
        <v>3572.8234360863457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1.904696765137953E-3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2.8297678669635585E-6</v>
      </c>
      <c r="C5" s="446" t="s">
        <v>211</v>
      </c>
      <c r="D5" s="431">
        <f>SUM(D6:D11)</f>
        <v>1.8368644995973743E-5</v>
      </c>
      <c r="E5" s="431">
        <f>SUM(E6:E11)</f>
        <v>1.7850683281595337E-3</v>
      </c>
      <c r="F5" s="444" t="s">
        <v>211</v>
      </c>
      <c r="G5" s="431">
        <f>SUM(G6:G11)</f>
        <v>0.28652700502931916</v>
      </c>
      <c r="H5" s="431">
        <f>SUM(H6:H11)</f>
        <v>5.9780392528429829E-2</v>
      </c>
      <c r="I5" s="446" t="s">
        <v>211</v>
      </c>
      <c r="J5" s="446" t="s">
        <v>211</v>
      </c>
      <c r="K5" s="446" t="s">
        <v>211</v>
      </c>
      <c r="L5" s="446" t="s">
        <v>211</v>
      </c>
      <c r="M5" s="431">
        <f>SUM(M6:M11)</f>
        <v>1.5138641481114143E-2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1.0272727702642112E-6</v>
      </c>
      <c r="C6" s="432"/>
      <c r="D6" s="432">
        <f>vkm_2011_GW_PW*SUMIFS(TableVerdeelsleutelVkm[CNG],TableVerdeelsleutelVkm[Voertuigtype],"Lichte voertuigen")*SUMIFS(TableECFTransport[EnergieConsumptieFactor (PJ per km)],TableECFTransport[Index],CONCATENATE($A6,"_CNG_CNG"))</f>
        <v>4.4284535025540402E-6</v>
      </c>
      <c r="E6" s="434">
        <f>vkm_2011_GW_PW*SUMIFS(TableVerdeelsleutelVkm[LPG],TableVerdeelsleutelVkm[Voertuigtype],"Lichte voertuigen")*SUMIFS(TableECFTransport[EnergieConsumptieFactor (PJ per km)],TableECFTransport[Index],CONCATENATE($A6,"_LPG_LPG"))</f>
        <v>4.6075341452035418E-4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5.6673934882624344E-2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1.4921072599504859E-2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3.1376364674864567E-3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2.6776495827582274E-2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9.1812893600438933E-6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1.1566944492984658E-3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1.8024950966993474E-6</v>
      </c>
      <c r="C8" s="432"/>
      <c r="D8" s="434">
        <f>vkm_2011_NGW_PW*SUMIFS(TableVerdeelsleutelVkm[CNG],TableVerdeelsleutelVkm[Voertuigtype],"Lichte voertuigen")*SUMIFS(TableECFTransport[EnergieConsumptieFactor (PJ per km)],TableECFTransport[Index],CONCATENATE($A8,"_CNG_CNG"))</f>
        <v>1.3940191493419703E-5</v>
      </c>
      <c r="E8" s="434">
        <f>vkm_2011_NGW_PW*SUMIFS(TableVerdeelsleutelVkm[LPG],TableVerdeelsleutelVkm[Voertuigtype],"Lichte voertuigen")*SUMIFS(TableECFTransport[EnergieConsumptieFactor (PJ per km)],TableECFTransport[Index],CONCATENATE($A8,"_LPG_LPG"))</f>
        <v>1.3243149136391795E-3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0.15450160090134035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4.4835669431100733E-2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8.7460638843782443E-3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4.8574973417772185E-2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1.4469208464194384E-5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2.0982466799509751E-3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0.7860466297120996</v>
      </c>
      <c r="C14" s="21"/>
      <c r="D14" s="21">
        <f t="shared" ref="D14:M14" si="0">((D5)*10^9/3600)+D12</f>
        <v>5.1024013877704846</v>
      </c>
      <c r="E14" s="21">
        <f t="shared" si="0"/>
        <v>495.85231337764822</v>
      </c>
      <c r="F14" s="21"/>
      <c r="G14" s="21">
        <f t="shared" si="0"/>
        <v>79590.834730366434</v>
      </c>
      <c r="H14" s="21">
        <f t="shared" si="0"/>
        <v>16605.664591230507</v>
      </c>
      <c r="I14" s="21"/>
      <c r="J14" s="21"/>
      <c r="K14" s="21"/>
      <c r="L14" s="21"/>
      <c r="M14" s="21">
        <f t="shared" si="0"/>
        <v>4205.1781891983728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0.21523656733902308</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0.16918597834764046</v>
      </c>
      <c r="C18" s="23"/>
      <c r="D18" s="23">
        <f t="shared" ref="D18:M18" si="1">D14*D16</f>
        <v>1.0306850803296379</v>
      </c>
      <c r="E18" s="23">
        <f t="shared" si="1"/>
        <v>112.55847513672614</v>
      </c>
      <c r="F18" s="23"/>
      <c r="G18" s="23">
        <f t="shared" si="1"/>
        <v>21250.752873007837</v>
      </c>
      <c r="H18" s="23">
        <f t="shared" si="1"/>
        <v>4134.8104832163963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3.0646217306971243E-3</v>
      </c>
      <c r="H50" s="322">
        <f t="shared" si="2"/>
        <v>0</v>
      </c>
      <c r="I50" s="322">
        <f t="shared" si="2"/>
        <v>0</v>
      </c>
      <c r="J50" s="322">
        <f t="shared" si="2"/>
        <v>0</v>
      </c>
      <c r="K50" s="322">
        <f t="shared" si="2"/>
        <v>0</v>
      </c>
      <c r="L50" s="322">
        <f t="shared" si="2"/>
        <v>0</v>
      </c>
      <c r="M50" s="322">
        <f t="shared" si="2"/>
        <v>1.3063151020232329E-4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3.0646217306971243E-3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1.3063151020232329E-4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851.28381408253449</v>
      </c>
      <c r="H54" s="21">
        <f t="shared" si="3"/>
        <v>0</v>
      </c>
      <c r="I54" s="21">
        <f t="shared" si="3"/>
        <v>0</v>
      </c>
      <c r="J54" s="21">
        <f t="shared" si="3"/>
        <v>0</v>
      </c>
      <c r="K54" s="21">
        <f t="shared" si="3"/>
        <v>0</v>
      </c>
      <c r="L54" s="21">
        <f t="shared" si="3"/>
        <v>0</v>
      </c>
      <c r="M54" s="21">
        <f t="shared" si="3"/>
        <v>36.286530611756469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0.21523656733902308</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227.29277836003672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1911.0076092871489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3600</v>
      </c>
      <c r="C8" s="557">
        <f>B101</f>
        <v>0</v>
      </c>
      <c r="D8" s="985"/>
      <c r="E8" s="985">
        <f>E101</f>
        <v>1058.8235294117646</v>
      </c>
      <c r="F8" s="986"/>
      <c r="G8" s="558"/>
      <c r="H8" s="985">
        <f>I101</f>
        <v>0</v>
      </c>
      <c r="I8" s="985">
        <f>G101+F101</f>
        <v>3176.4705882352941</v>
      </c>
      <c r="J8" s="985">
        <f>H101+D101+C101</f>
        <v>0</v>
      </c>
      <c r="K8" s="985"/>
      <c r="L8" s="985"/>
      <c r="M8" s="985"/>
      <c r="N8" s="559"/>
      <c r="O8" s="560">
        <f>C8*$C$12+D8*$D$12+E8*$E$12+F8*$F$12+G8*$G$12+H8*$H$12+I8*$I$12+J8*$J$12</f>
        <v>282.70588235294116</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5511.0076092871486</v>
      </c>
      <c r="C10" s="569">
        <f t="shared" ref="C10:L10" si="0">SUM(C8:C9)</f>
        <v>0</v>
      </c>
      <c r="D10" s="569">
        <f t="shared" si="0"/>
        <v>0</v>
      </c>
      <c r="E10" s="569">
        <f t="shared" si="0"/>
        <v>1058.8235294117646</v>
      </c>
      <c r="F10" s="569">
        <f t="shared" si="0"/>
        <v>0</v>
      </c>
      <c r="G10" s="569">
        <f t="shared" si="0"/>
        <v>0</v>
      </c>
      <c r="H10" s="569">
        <f t="shared" si="0"/>
        <v>0</v>
      </c>
      <c r="I10" s="569">
        <f t="shared" si="0"/>
        <v>3176.4705882352941</v>
      </c>
      <c r="J10" s="569">
        <f t="shared" si="0"/>
        <v>0</v>
      </c>
      <c r="K10" s="569">
        <f t="shared" si="0"/>
        <v>0</v>
      </c>
      <c r="L10" s="569">
        <f t="shared" si="0"/>
        <v>0</v>
      </c>
      <c r="M10" s="980"/>
      <c r="N10" s="980"/>
      <c r="O10" s="570">
        <f>SUM(O4:O9)</f>
        <v>282.70588235294116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4050</v>
      </c>
      <c r="C17" s="581">
        <f>B102</f>
        <v>0</v>
      </c>
      <c r="D17" s="582"/>
      <c r="E17" s="582">
        <f>E102</f>
        <v>1191.1764705882354</v>
      </c>
      <c r="F17" s="583"/>
      <c r="G17" s="584"/>
      <c r="H17" s="581">
        <f>I102</f>
        <v>0</v>
      </c>
      <c r="I17" s="582">
        <f>G102+F102</f>
        <v>3573.5294117647059</v>
      </c>
      <c r="J17" s="582">
        <f>H102+D102+C102</f>
        <v>0</v>
      </c>
      <c r="K17" s="582"/>
      <c r="L17" s="582"/>
      <c r="M17" s="582"/>
      <c r="N17" s="981"/>
      <c r="O17" s="585">
        <f>C17*$C$22+E17*$E$22+H17*$H$22+I17*$I$22+J17*$J$22+D17*$D$22+F17*$F$22+G17*$G$22+K17*$K$22+L17*$L$22</f>
        <v>318.04411764705884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4050</v>
      </c>
      <c r="C20" s="568">
        <f>SUM(C17:C19)</f>
        <v>0</v>
      </c>
      <c r="D20" s="568">
        <f t="shared" ref="D20:L20" si="1">SUM(D17:D19)</f>
        <v>0</v>
      </c>
      <c r="E20" s="568">
        <f t="shared" si="1"/>
        <v>1191.1764705882354</v>
      </c>
      <c r="F20" s="568">
        <f t="shared" si="1"/>
        <v>0</v>
      </c>
      <c r="G20" s="568">
        <f t="shared" si="1"/>
        <v>0</v>
      </c>
      <c r="H20" s="568">
        <f t="shared" si="1"/>
        <v>0</v>
      </c>
      <c r="I20" s="568">
        <f t="shared" si="1"/>
        <v>3573.5294117647059</v>
      </c>
      <c r="J20" s="568">
        <f t="shared" si="1"/>
        <v>0</v>
      </c>
      <c r="K20" s="568">
        <f t="shared" si="1"/>
        <v>0</v>
      </c>
      <c r="L20" s="568">
        <f t="shared" si="1"/>
        <v>0</v>
      </c>
      <c r="M20" s="568"/>
      <c r="N20" s="568"/>
      <c r="O20" s="589">
        <f>SUM(O17:O19)</f>
        <v>318.04411764705884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42011</v>
      </c>
      <c r="C28" s="788">
        <v>9280</v>
      </c>
      <c r="D28" s="641" t="s">
        <v>963</v>
      </c>
      <c r="E28" s="640" t="s">
        <v>964</v>
      </c>
      <c r="F28" s="640" t="s">
        <v>965</v>
      </c>
      <c r="G28" s="640" t="s">
        <v>966</v>
      </c>
      <c r="H28" s="640" t="s">
        <v>967</v>
      </c>
      <c r="I28" s="640" t="s">
        <v>964</v>
      </c>
      <c r="J28" s="787">
        <v>37876</v>
      </c>
      <c r="K28" s="787">
        <v>39063</v>
      </c>
      <c r="L28" s="640" t="s">
        <v>968</v>
      </c>
      <c r="M28" s="640">
        <v>800</v>
      </c>
      <c r="N28" s="640">
        <v>3600</v>
      </c>
      <c r="O28" s="640">
        <v>4050</v>
      </c>
      <c r="P28" s="640">
        <v>0</v>
      </c>
      <c r="Q28" s="640">
        <v>0</v>
      </c>
      <c r="R28" s="640">
        <v>0</v>
      </c>
      <c r="S28" s="640">
        <v>2250</v>
      </c>
      <c r="T28" s="640">
        <v>6750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800</v>
      </c>
      <c r="N58" s="598">
        <f>SUM(N28:N57)</f>
        <v>3600</v>
      </c>
      <c r="O58" s="598">
        <f t="shared" ref="O58:W58" si="2">SUM(O28:O57)</f>
        <v>4050</v>
      </c>
      <c r="P58" s="598">
        <f t="shared" si="2"/>
        <v>0</v>
      </c>
      <c r="Q58" s="598">
        <f t="shared" si="2"/>
        <v>0</v>
      </c>
      <c r="R58" s="598">
        <f t="shared" si="2"/>
        <v>0</v>
      </c>
      <c r="S58" s="598">
        <f t="shared" si="2"/>
        <v>2250</v>
      </c>
      <c r="T58" s="598">
        <f t="shared" si="2"/>
        <v>6750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800</v>
      </c>
      <c r="N61" s="603">
        <f t="shared" si="4"/>
        <v>3600</v>
      </c>
      <c r="O61" s="603">
        <f t="shared" si="4"/>
        <v>4050</v>
      </c>
      <c r="P61" s="603">
        <f t="shared" si="4"/>
        <v>0</v>
      </c>
      <c r="Q61" s="603">
        <f t="shared" si="4"/>
        <v>0</v>
      </c>
      <c r="R61" s="603">
        <f t="shared" si="4"/>
        <v>0</v>
      </c>
      <c r="S61" s="603">
        <f t="shared" si="4"/>
        <v>2250</v>
      </c>
      <c r="T61" s="603">
        <f t="shared" si="4"/>
        <v>6750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1058.8235294117646</v>
      </c>
      <c r="F101" s="632">
        <f t="shared" si="9"/>
        <v>3176.4705882352941</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1191.1764705882354</v>
      </c>
      <c r="F102" s="635">
        <f t="shared" si="10"/>
        <v>3573.5294117647059</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2019-06-29T16:06:18Z</dcterms:modified>
</cp:coreProperties>
</file>